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Skive Vand AS (V167)\ØR2023\"/>
    </mc:Choice>
  </mc:AlternateContent>
  <xr:revisionPtr revIDLastSave="0" documentId="13_ncr:1_{9FDD2A5A-2019-47D0-B906-21DCF604B35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91029" calcMode="manual" iterate="1" iterateCount="1"/>
</workbook>
</file>

<file path=xl/calcChain.xml><?xml version="1.0" encoding="utf-8"?>
<calcChain xmlns="http://schemas.openxmlformats.org/spreadsheetml/2006/main">
  <c r="E13" i="37" l="1"/>
  <c r="C13" i="37"/>
  <c r="E32" i="27" l="1"/>
  <c r="C19" i="23"/>
  <c r="C19" i="22"/>
  <c r="C19" i="15"/>
  <c r="C31" i="2"/>
  <c r="G18" i="40" l="1"/>
  <c r="E25" i="32" l="1"/>
  <c r="E29" i="32" s="1"/>
  <c r="E31" i="32" s="1"/>
  <c r="C17" i="15" l="1"/>
  <c r="C29" i="2"/>
  <c r="F10" i="11"/>
  <c r="E12" i="39" l="1"/>
  <c r="C12" i="39"/>
  <c r="E11" i="29"/>
  <c r="E12" i="29" s="1"/>
  <c r="C14" i="2" s="1"/>
  <c r="C11" i="29"/>
  <c r="J11" i="11"/>
  <c r="H11" i="11"/>
  <c r="C16" i="19"/>
  <c r="C17" i="19" l="1"/>
  <c r="F11" i="11" l="1"/>
  <c r="E10" i="37" s="1"/>
  <c r="C10" i="37"/>
  <c r="C14" i="37" s="1"/>
  <c r="C15" i="23" l="1"/>
  <c r="C15" i="22" l="1"/>
  <c r="C15" i="15"/>
  <c r="C12" i="29"/>
  <c r="G36" i="36" l="1"/>
  <c r="G36" i="30"/>
  <c r="G6" i="30" l="1"/>
  <c r="E13" i="39" l="1"/>
  <c r="C13" i="39"/>
  <c r="C23" i="2" s="1"/>
  <c r="C25" i="2" s="1"/>
  <c r="G10" i="30" l="1"/>
  <c r="G12" i="30" s="1"/>
  <c r="E14"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37" i="36"/>
  <c r="G41" i="36" s="1"/>
  <c r="G42" i="36" l="1"/>
  <c r="G52" i="30"/>
  <c r="C11" i="15" l="1"/>
  <c r="G53" i="30"/>
  <c r="G57" i="30" s="1"/>
  <c r="G58" i="30" s="1"/>
  <c r="G43" i="36"/>
  <c r="C18" i="2" s="1"/>
  <c r="C8" i="2" l="1"/>
  <c r="C15" i="2" s="1"/>
  <c r="E33" i="27"/>
  <c r="C11" i="22"/>
  <c r="G47" i="36"/>
  <c r="C16" i="2" l="1"/>
  <c r="C19" i="2" s="1"/>
  <c r="G48" i="36"/>
  <c r="G52" i="36" s="1"/>
  <c r="G53" i="36" s="1"/>
  <c r="C11" i="23"/>
  <c r="C8" i="15" l="1"/>
  <c r="C9" i="15" s="1"/>
  <c r="C10" i="15" s="1"/>
  <c r="C32" i="2"/>
  <c r="C12" i="15"/>
  <c r="G57" i="36"/>
  <c r="G58" i="36" s="1"/>
  <c r="C13" i="15" l="1"/>
  <c r="C20" i="15" s="1"/>
  <c r="C12" i="22"/>
  <c r="C12" i="23"/>
  <c r="C8" i="22" l="1"/>
  <c r="C9" i="22" s="1"/>
  <c r="C10" i="22" s="1"/>
  <c r="C13" i="22" s="1"/>
  <c r="C20" i="22" s="1"/>
  <c r="C8" i="23" l="1"/>
  <c r="C9" i="23" s="1"/>
  <c r="C10" i="23" s="1"/>
  <c r="C13" i="23" s="1"/>
  <c r="C20" i="23" s="1"/>
</calcChain>
</file>

<file path=xl/sharedStrings.xml><?xml version="1.0" encoding="utf-8"?>
<sst xmlns="http://schemas.openxmlformats.org/spreadsheetml/2006/main" count="516" uniqueCount="257">
  <si>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</si>
  <si>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</si>
  <si>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</si>
  <si>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</si>
  <si>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</si>
  <si>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</si>
  <si>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</si>
  <si>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</si>
  <si>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</si>
  <si>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</si>
  <si>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</si>
  <si>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</si>
  <si>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</si>
  <si>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</si>
  <si>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</si>
  <si>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</si>
  <si>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</si>
  <si>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</si>
  <si>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</si>
  <si>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</si>
  <si>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</si>
  <si>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</si>
  <si>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</si>
  <si>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</si>
  <si>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</si>
  <si>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</si>
  <si>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</si>
  <si>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</si>
  <si>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</si>
  <si>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</si>
  <si>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</si>
  <si>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</si>
  <si>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</si>
  <si>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</si>
  <si>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</si>
  <si>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</si>
  <si>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</si>
  <si>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</si>
  <si>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</si>
  <si>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</si>
  <si>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</si>
  <si>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</si>
  <si>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</si>
  <si>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</si>
  <si>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</si>
  <si>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</si>
  <si>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</si>
  <si>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</si>
  <si>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</si>
  <si>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</si>
  <si>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</si>
  <si>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</si>
  <si>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</si>
  <si>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</si>
  <si>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</si>
  <si>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</si>
  <si>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</si>
  <si>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</si>
  <si>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</si>
  <si>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</si>
  <si>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</si>
  <si>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</si>
  <si>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</si>
  <si>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</si>
  <si>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</si>
  <si>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</si>
  <si>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</si>
  <si>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</si>
  <si>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</si>
  <si>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</si>
  <si>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</si>
  <si>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</si>
  <si>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</si>
  <si>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</si>
  <si>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</si>
  <si>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</si>
  <si>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</si>
  <si>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</si>
  <si>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</si>
  <si>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</si>
  <si>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</si>
  <si>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</si>
  <si>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</si>
  <si>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</si>
  <si>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</si>
  <si>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</si>
  <si>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</si>
  <si>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</si>
  <si>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</si>
  <si>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</si>
  <si>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</si>
  <si>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</si>
  <si>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</si>
  <si>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</si>
  <si>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</si>
  <si>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</si>
  <si>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</si>
  <si>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</si>
  <si>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</si>
  <si>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</si>
  <si>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</si>
  <si>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</si>
  <si>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</si>
  <si>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</si>
  <si>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</si>
  <si>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</si>
  <si>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</si>
  <si>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</si>
  <si>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</si>
  <si>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</si>
  <si>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</si>
  <si>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</si>
  <si>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</si>
  <si>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</si>
  <si>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</si>
  <si>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</si>
  <si>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</si>
  <si>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</si>
  <si>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</si>
  <si>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</si>
  <si>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</si>
  <si>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</si>
  <si>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</si>
  <si>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</si>
  <si>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</si>
  <si>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</si>
  <si>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</si>
  <si>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</si>
  <si>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</si>
  <si>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</si>
  <si>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</si>
  <si>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</si>
  <si>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</si>
  <si>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</si>
  <si>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</si>
  <si>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</si>
  <si>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</si>
  <si>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</si>
  <si>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</si>
  <si>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</si>
  <si>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</si>
  <si>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</si>
  <si>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</si>
  <si>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</si>
  <si>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</si>
  <si>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</si>
  <si>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</si>
  <si>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</si>
  <si>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</si>
  <si>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</si>
  <si>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</si>
  <si>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</si>
  <si>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</si>
  <si>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</si>
  <si>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</si>
  <si>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</si>
  <si>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</si>
  <si>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</si>
  <si>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</si>
  <si>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</si>
  <si>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</si>
  <si>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</si>
  <si>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</si>
  <si>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</si>
  <si>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</si>
  <si>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</si>
  <si>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</si>
  <si>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</si>
  <si>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</si>
  <si>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</si>
  <si>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</si>
  <si>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</si>
  <si>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</si>
  <si>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</si>
  <si>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</si>
  <si>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</si>
  <si>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</si>
  <si>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</si>
  <si>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</si>
  <si>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</si>
  <si>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</si>
  <si>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</si>
  <si>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</si>
  <si>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</si>
  <si>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</si>
  <si>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</si>
  <si>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</si>
  <si>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</si>
  <si>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</si>
  <si>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</si>
  <si>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</si>
  <si>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</si>
  <si>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</si>
  <si>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</si>
  <si>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</si>
  <si>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</si>
  <si>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</si>
  <si>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</si>
  <si>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</si>
  <si>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</si>
  <si>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</si>
  <si>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</si>
  <si>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</si>
  <si>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</si>
  <si>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</si>
  <si>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</si>
  <si>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</si>
  <si>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</si>
  <si>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</si>
  <si>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</si>
  <si>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</si>
  <si>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</si>
  <si>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</si>
  <si>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</si>
  <si>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</si>
  <si>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</si>
  <si>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</si>
  <si>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</si>
  <si>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</si>
  <si>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</si>
  <si>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</si>
  <si>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</si>
  <si>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</si>
  <si>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</si>
  <si>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</si>
  <si>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</si>
  <si>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</si>
  <si>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</si>
  <si>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</si>
  <si>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</si>
  <si>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Afgift for ledningsført vand</t>
  </si>
  <si>
    <t>Afgift til Forsyningssekretariatet</t>
  </si>
  <si>
    <t>Køb af ydelser og produkter fra andre vandselskaber reguleret af vandsektorloven</t>
  </si>
  <si>
    <t>Ejendomsskat</t>
  </si>
  <si>
    <t>Tjenestemandspensioner</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</si>
  <si>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</si>
  <si>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</si>
  <si>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</si>
  <si>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</si>
  <si>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</si>
  <si>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</si>
  <si>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</si>
  <si>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</si>
  <si>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</si>
  <si>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</si>
  <si>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</si>
  <si>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</si>
  <si>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</si>
  <si>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</si>
  <si>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</si>
  <si>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</si>
  <si>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</si>
  <si>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Etageareal vandbehandlingsbygning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</si>
  <si>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</si>
  <si>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</si>
  <si>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</si>
  <si>
    <t xml:space="preserve">Fusion med Vejby Vandværk (83,3 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</si>
</sst>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3" t="s">
        <v>194</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98" t="s">
        <v>161</v>
      </c>
      <c r="E13" s="99"/>
      <c r="F13" s="99"/>
      <c r="G13" s="100"/>
      <c r="H13" s="1"/>
      <c r="I13" s="1"/>
    </row>
    <row r="14" spans="1:9" x14ac:dyDescent="0.25">
      <c r="A14" s="1"/>
      <c r="B14" s="1"/>
      <c r="C14" s="6" t="s">
        <v>14</v>
      </c>
      <c r="D14" s="98" t="s">
        <v>204</v>
      </c>
      <c r="E14" s="99"/>
      <c r="F14" s="99"/>
      <c r="G14" s="100"/>
      <c r="H14" s="1"/>
      <c r="I14" s="1"/>
    </row>
    <row r="15" spans="1:9" x14ac:dyDescent="0.25">
      <c r="A15" s="1"/>
      <c r="B15" s="1"/>
      <c r="C15" s="6" t="s">
        <v>32</v>
      </c>
      <c r="D15" s="98" t="s">
        <v>137</v>
      </c>
      <c r="E15" s="99"/>
      <c r="F15" s="99"/>
      <c r="G15" s="100"/>
      <c r="H15" s="1"/>
      <c r="I15" s="1"/>
    </row>
    <row r="16" spans="1:9" x14ac:dyDescent="0.25">
      <c r="A16" s="1"/>
      <c r="B16" s="1"/>
      <c r="C16" s="6" t="s">
        <v>33</v>
      </c>
      <c r="D16" s="98" t="s">
        <v>162</v>
      </c>
      <c r="E16" s="99"/>
      <c r="F16" s="99"/>
      <c r="G16" s="100"/>
      <c r="H16" s="1"/>
      <c r="I16" s="1"/>
    </row>
    <row r="17" spans="1:9" x14ac:dyDescent="0.25">
      <c r="A17" s="1"/>
      <c r="B17" s="1"/>
      <c r="C17" s="6" t="s">
        <v>110</v>
      </c>
      <c r="D17" s="98" t="s">
        <v>163</v>
      </c>
      <c r="E17" s="99"/>
      <c r="F17" s="99"/>
      <c r="G17" s="100"/>
      <c r="H17" s="1"/>
      <c r="I17" s="1"/>
    </row>
    <row r="18" spans="1:9" x14ac:dyDescent="0.25">
      <c r="A18" s="1"/>
      <c r="B18" s="1"/>
      <c r="C18" s="6" t="s">
        <v>94</v>
      </c>
      <c r="D18" s="104" t="s">
        <v>86</v>
      </c>
      <c r="E18" s="105"/>
      <c r="F18" s="105"/>
      <c r="G18" s="106"/>
      <c r="H18" s="1"/>
      <c r="I18" s="1"/>
    </row>
    <row r="19" spans="1:9" x14ac:dyDescent="0.25">
      <c r="A19" s="1"/>
      <c r="B19" s="1"/>
      <c r="C19" s="6" t="s">
        <v>95</v>
      </c>
      <c r="D19" s="104" t="s">
        <v>87</v>
      </c>
      <c r="E19" s="105"/>
      <c r="F19" s="105"/>
      <c r="G19" s="106"/>
      <c r="H19" s="1"/>
      <c r="I19" s="1"/>
    </row>
    <row r="20" spans="1:9" x14ac:dyDescent="0.25">
      <c r="A20" s="1"/>
      <c r="B20" s="1"/>
      <c r="C20" s="6" t="s">
        <v>7</v>
      </c>
      <c r="D20" s="104" t="s">
        <v>9</v>
      </c>
      <c r="E20" s="105"/>
      <c r="F20" s="105"/>
      <c r="G20" s="106"/>
      <c r="H20" s="1"/>
      <c r="I20" s="1"/>
    </row>
    <row r="21" spans="1:9" x14ac:dyDescent="0.25">
      <c r="A21" s="1"/>
      <c r="B21" s="1"/>
      <c r="C21" s="6" t="s">
        <v>96</v>
      </c>
      <c r="D21" s="95" t="s">
        <v>11</v>
      </c>
      <c r="E21" s="96"/>
      <c r="F21" s="96"/>
      <c r="G21" s="97"/>
      <c r="H21" s="1"/>
      <c r="I21" s="1"/>
    </row>
    <row r="22" spans="1:9" x14ac:dyDescent="0.25">
      <c r="A22" s="1"/>
      <c r="B22" s="1"/>
      <c r="C22" s="6" t="s">
        <v>78</v>
      </c>
      <c r="D22" s="89" t="s">
        <v>164</v>
      </c>
      <c r="E22" s="90"/>
      <c r="F22" s="90"/>
      <c r="G22" s="91"/>
      <c r="H22" s="1"/>
      <c r="I22" s="1"/>
    </row>
    <row r="23" spans="1:9" x14ac:dyDescent="0.25">
      <c r="A23" s="1"/>
      <c r="B23" s="1"/>
      <c r="C23" s="6" t="s">
        <v>8</v>
      </c>
      <c r="D23" s="89" t="s">
        <v>219</v>
      </c>
      <c r="E23" s="90"/>
      <c r="F23" s="90"/>
      <c r="G23" s="91"/>
      <c r="H23" s="1"/>
      <c r="I23" s="1"/>
    </row>
    <row r="24" spans="1:9" x14ac:dyDescent="0.25">
      <c r="A24" s="1"/>
      <c r="B24" s="1"/>
      <c r="C24" s="6" t="s">
        <v>215</v>
      </c>
      <c r="D24" s="89" t="s">
        <v>205</v>
      </c>
      <c r="E24" s="90"/>
      <c r="F24" s="90"/>
      <c r="G24" s="91"/>
      <c r="H24" s="1"/>
      <c r="I24" s="1"/>
    </row>
    <row r="25" spans="1:9" x14ac:dyDescent="0.25">
      <c r="A25" s="1"/>
      <c r="B25" s="1"/>
      <c r="C25" s="6" t="s">
        <v>216</v>
      </c>
      <c r="D25" s="89" t="s">
        <v>79</v>
      </c>
      <c r="E25" s="90"/>
      <c r="F25" s="90"/>
      <c r="G25" s="91"/>
      <c r="H25" s="1"/>
      <c r="I25" s="1"/>
    </row>
    <row r="26" spans="1:9" x14ac:dyDescent="0.25">
      <c r="A26" s="1"/>
      <c r="B26" s="1"/>
      <c r="C26" s="6" t="s">
        <v>217</v>
      </c>
      <c r="D26" s="89" t="s">
        <v>80</v>
      </c>
      <c r="E26" s="90"/>
      <c r="F26" s="90"/>
      <c r="G26" s="91"/>
      <c r="H26" s="1"/>
      <c r="I26" s="1"/>
    </row>
    <row r="27" spans="1:9" x14ac:dyDescent="0.25">
      <c r="A27" s="1"/>
      <c r="B27" s="1"/>
      <c r="C27" s="6" t="s">
        <v>97</v>
      </c>
      <c r="D27" s="89" t="s">
        <v>111</v>
      </c>
      <c r="E27" s="90"/>
      <c r="F27" s="90"/>
      <c r="G27" s="91"/>
      <c r="H27" s="1"/>
      <c r="I27" s="1"/>
    </row>
    <row r="28" spans="1:9" x14ac:dyDescent="0.25">
      <c r="A28" s="1"/>
      <c r="B28" s="1"/>
      <c r="C28" s="6" t="s">
        <v>91</v>
      </c>
      <c r="D28" s="89" t="s">
        <v>34</v>
      </c>
      <c r="E28" s="90"/>
      <c r="F28" s="90"/>
      <c r="G28" s="91"/>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2'!A1" display="Omkostninger i ØR2022"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3"/>
  <sheetViews>
    <sheetView showGridLines="0" view="pageLayout" zoomScaleNormal="100" workbookViewId="0"/>
  </sheetViews>
  <sheetFormatPr defaultColWidth="9.140625" defaultRowHeight="15" x14ac:dyDescent="0.25"/>
  <cols>
    <col min="1" max="1" width="8.140625" style="2" customWidth="1"/>
    <col min="2" max="2" width="38.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181</v>
      </c>
      <c r="C8" s="131"/>
      <c r="D8" s="132"/>
      <c r="E8" s="1"/>
      <c r="F8" s="1"/>
    </row>
    <row r="9" spans="1:6" ht="15" customHeight="1" x14ac:dyDescent="0.25">
      <c r="A9" s="1"/>
      <c r="B9" s="33" t="s">
        <v>30</v>
      </c>
      <c r="C9" s="11" t="s">
        <v>212</v>
      </c>
      <c r="D9" s="11"/>
      <c r="E9" s="1"/>
      <c r="F9" s="1"/>
    </row>
    <row r="10" spans="1:6" x14ac:dyDescent="0.25">
      <c r="A10" s="1"/>
      <c r="B10" s="79" t="s">
        <v>230</v>
      </c>
      <c r="C10" s="9">
        <v>16567937</v>
      </c>
      <c r="D10" s="14" t="s">
        <v>3</v>
      </c>
      <c r="E10" s="1"/>
      <c r="F10" s="1"/>
    </row>
    <row r="11" spans="1:6" x14ac:dyDescent="0.25">
      <c r="A11" s="1"/>
      <c r="B11" s="79" t="s">
        <v>231</v>
      </c>
      <c r="C11" s="9">
        <v>96992</v>
      </c>
      <c r="D11" s="14" t="s">
        <v>3</v>
      </c>
      <c r="E11" s="1"/>
      <c r="F11" s="1"/>
    </row>
    <row r="12" spans="1:6" x14ac:dyDescent="0.25">
      <c r="A12" s="1"/>
      <c r="B12" s="79" t="s">
        <v>232</v>
      </c>
      <c r="C12" s="9">
        <v>83622</v>
      </c>
      <c r="D12" s="14" t="s">
        <v>3</v>
      </c>
      <c r="E12" s="1"/>
      <c r="F12" s="1"/>
    </row>
    <row r="13" spans="1:6" x14ac:dyDescent="0.25">
      <c r="A13" s="1"/>
      <c r="B13" s="79" t="s">
        <v>233</v>
      </c>
      <c r="C13" s="9">
        <v>20447</v>
      </c>
      <c r="D13" s="14" t="s">
        <v>3</v>
      </c>
      <c r="E13" s="1"/>
      <c r="F13" s="1"/>
    </row>
    <row r="14" spans="1:6" x14ac:dyDescent="0.25">
      <c r="A14" s="1"/>
      <c r="B14" s="79" t="s">
        <v>234</v>
      </c>
      <c r="C14" s="9">
        <v>839</v>
      </c>
      <c r="D14" s="14" t="s">
        <v>3</v>
      </c>
      <c r="E14" s="1"/>
      <c r="F14" s="1"/>
    </row>
    <row r="15" spans="1:6" x14ac:dyDescent="0.25">
      <c r="A15" s="1"/>
      <c r="B15" s="79" t="s">
        <v>235</v>
      </c>
      <c r="C15" s="9">
        <v>155787</v>
      </c>
      <c r="D15" s="14" t="s">
        <v>3</v>
      </c>
      <c r="E15" s="1"/>
      <c r="F15" s="1"/>
    </row>
    <row r="16" spans="1:6" x14ac:dyDescent="0.25">
      <c r="A16" s="1"/>
      <c r="B16" s="71" t="s">
        <v>182</v>
      </c>
      <c r="C16" s="12">
        <f>SUM(C10:C15)</f>
        <v>16925624</v>
      </c>
      <c r="D16" s="13" t="s">
        <v>3</v>
      </c>
      <c r="E16" s="1"/>
      <c r="F16" s="1"/>
    </row>
    <row r="17" spans="1:6" x14ac:dyDescent="0.25">
      <c r="A17" s="1"/>
      <c r="B17" s="71" t="s">
        <v>183</v>
      </c>
      <c r="C17" s="12">
        <f>C16*(1+'Fane 13. Nøgletal'!C15)^2</f>
        <v>18152179.28763264</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row r="53" spans="1:6" x14ac:dyDescent="0.25">
      <c r="A53" s="55"/>
      <c r="B53" s="55"/>
      <c r="C53" s="55"/>
      <c r="D53" s="55"/>
      <c r="E53" s="55"/>
      <c r="F53" s="55"/>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184</v>
      </c>
      <c r="C3" s="115"/>
      <c r="D3" s="115"/>
      <c r="E3" s="115"/>
      <c r="F3" s="115"/>
      <c r="G3" s="1"/>
    </row>
    <row r="4" spans="1:7" ht="15" customHeight="1" x14ac:dyDescent="0.25">
      <c r="A4" s="1"/>
      <c r="B4" s="115"/>
      <c r="C4" s="115"/>
      <c r="D4" s="115"/>
      <c r="E4" s="115"/>
      <c r="F4" s="115"/>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30" t="s">
        <v>155</v>
      </c>
      <c r="C8" s="131"/>
      <c r="D8" s="131"/>
      <c r="E8" s="131"/>
      <c r="F8" s="132"/>
      <c r="G8" s="1"/>
    </row>
    <row r="9" spans="1:7" x14ac:dyDescent="0.25">
      <c r="A9" s="1"/>
      <c r="B9" s="133" t="s">
        <v>156</v>
      </c>
      <c r="C9" s="134"/>
      <c r="D9" s="135"/>
      <c r="E9" s="9">
        <v>-835268</v>
      </c>
      <c r="F9" s="14" t="s">
        <v>3</v>
      </c>
      <c r="G9" s="1"/>
    </row>
    <row r="10" spans="1:7" x14ac:dyDescent="0.25">
      <c r="A10" s="1"/>
      <c r="B10" s="148" t="s">
        <v>236</v>
      </c>
      <c r="C10" s="149"/>
      <c r="D10" s="150"/>
      <c r="E10" s="9">
        <v>0</v>
      </c>
      <c r="F10" s="54" t="s">
        <v>3</v>
      </c>
      <c r="G10" s="1"/>
    </row>
    <row r="11" spans="1:7" x14ac:dyDescent="0.25">
      <c r="A11" s="1"/>
      <c r="B11" s="133" t="s">
        <v>185</v>
      </c>
      <c r="C11" s="134"/>
      <c r="D11" s="135"/>
      <c r="E11" s="9">
        <v>-1129560.8871851861</v>
      </c>
      <c r="F11" s="14" t="s">
        <v>3</v>
      </c>
      <c r="G11" s="1"/>
    </row>
    <row r="12" spans="1:7" x14ac:dyDescent="0.25">
      <c r="A12" s="1"/>
      <c r="B12" s="71"/>
      <c r="C12" s="72"/>
      <c r="D12" s="72"/>
      <c r="E12" s="72"/>
      <c r="F12" s="19"/>
      <c r="G12" s="1"/>
    </row>
    <row r="13" spans="1:7" ht="64.900000000000006" customHeight="1" x14ac:dyDescent="0.25">
      <c r="A13" s="1"/>
      <c r="B13" s="119" t="s">
        <v>253</v>
      </c>
      <c r="C13" s="120"/>
      <c r="D13" s="120"/>
      <c r="E13" s="120"/>
      <c r="F13" s="121"/>
      <c r="G13" s="1"/>
    </row>
    <row r="14" spans="1:7" ht="27" customHeight="1" x14ac:dyDescent="0.25">
      <c r="A14" s="1"/>
      <c r="B14" s="1"/>
      <c r="C14" s="1"/>
      <c r="D14" s="1"/>
      <c r="E14" s="1"/>
      <c r="F14" s="1"/>
      <c r="G14" s="1"/>
    </row>
    <row r="15" spans="1:7" ht="28.5" customHeight="1" x14ac:dyDescent="0.25">
      <c r="A15" s="1"/>
      <c r="B15" s="130" t="s">
        <v>157</v>
      </c>
      <c r="C15" s="131"/>
      <c r="D15" s="131"/>
      <c r="E15" s="131"/>
      <c r="F15" s="132"/>
      <c r="G15" s="1"/>
    </row>
    <row r="16" spans="1:7" x14ac:dyDescent="0.25">
      <c r="A16" s="1"/>
      <c r="B16" s="133" t="s">
        <v>237</v>
      </c>
      <c r="C16" s="134"/>
      <c r="D16" s="135"/>
      <c r="E16" s="9">
        <v>0</v>
      </c>
      <c r="F16" s="14" t="s">
        <v>3</v>
      </c>
      <c r="G16" s="1"/>
    </row>
    <row r="17" spans="1:7" x14ac:dyDescent="0.25">
      <c r="A17" s="1"/>
      <c r="B17" s="133" t="s">
        <v>238</v>
      </c>
      <c r="C17" s="134"/>
      <c r="D17" s="135"/>
      <c r="E17" s="9">
        <v>0</v>
      </c>
      <c r="F17" s="14" t="s">
        <v>3</v>
      </c>
      <c r="G17" s="1"/>
    </row>
    <row r="18" spans="1:7" x14ac:dyDescent="0.25">
      <c r="A18" s="1"/>
      <c r="B18" s="71"/>
      <c r="C18" s="72"/>
      <c r="D18" s="72"/>
      <c r="E18" s="72"/>
      <c r="F18" s="19"/>
      <c r="G18" s="1"/>
    </row>
    <row r="19" spans="1:7" ht="31.5" customHeight="1" x14ac:dyDescent="0.25">
      <c r="A19" s="1"/>
      <c r="B19" s="119" t="s">
        <v>158</v>
      </c>
      <c r="C19" s="120"/>
      <c r="D19" s="120"/>
      <c r="E19" s="120"/>
      <c r="F19" s="121"/>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239</v>
      </c>
      <c r="C22" s="77"/>
      <c r="D22" s="78"/>
      <c r="E22" s="9">
        <v>42696897.485721156</v>
      </c>
      <c r="F22" s="14" t="s">
        <v>3</v>
      </c>
      <c r="G22" s="1"/>
    </row>
    <row r="23" spans="1:7" x14ac:dyDescent="0.25">
      <c r="A23" s="1"/>
      <c r="B23" s="76" t="s">
        <v>187</v>
      </c>
      <c r="C23" s="77"/>
      <c r="D23" s="78"/>
      <c r="E23" s="9">
        <v>40732838</v>
      </c>
      <c r="F23" s="14" t="s">
        <v>3</v>
      </c>
      <c r="G23" s="1"/>
    </row>
    <row r="24" spans="1:7" x14ac:dyDescent="0.25">
      <c r="A24" s="1"/>
      <c r="B24" s="76" t="s">
        <v>31</v>
      </c>
      <c r="C24" s="77"/>
      <c r="D24" s="78"/>
      <c r="E24" s="9">
        <v>0</v>
      </c>
      <c r="F24" s="14" t="s">
        <v>3</v>
      </c>
      <c r="G24" s="1"/>
    </row>
    <row r="25" spans="1:7" x14ac:dyDescent="0.25">
      <c r="A25" s="1"/>
      <c r="B25" s="51" t="s">
        <v>254</v>
      </c>
      <c r="C25" s="52"/>
      <c r="D25" s="53"/>
      <c r="E25" s="57">
        <f>E22-(E23-E24)</f>
        <v>1964059.485721156</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30" t="s">
        <v>240</v>
      </c>
      <c r="C28" s="131"/>
      <c r="D28" s="131"/>
      <c r="E28" s="131"/>
      <c r="F28" s="132"/>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0</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oCsqT4B5elqL22yxqv0hVHgXh2DAmAnfCRmTZHtYwnfR88uLpvw1QodLzNP7p32q7Ry8X3maD+Y0DCOCJhKK7g==" saltValue="43oVlhEYY7kq0Q0XfVEfR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I42"/>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227</v>
      </c>
      <c r="C8" s="131"/>
      <c r="D8" s="131"/>
      <c r="E8" s="131"/>
      <c r="F8" s="131"/>
      <c r="G8" s="131"/>
      <c r="H8" s="132"/>
      <c r="I8" s="1"/>
    </row>
    <row r="9" spans="1:9" ht="15" customHeight="1" x14ac:dyDescent="0.25">
      <c r="A9" s="1"/>
      <c r="B9" s="125" t="s">
        <v>228</v>
      </c>
      <c r="C9" s="126"/>
      <c r="D9" s="126"/>
      <c r="E9" s="126"/>
      <c r="F9" s="126"/>
      <c r="G9" s="126"/>
      <c r="H9" s="127"/>
      <c r="I9" s="1"/>
    </row>
    <row r="10" spans="1:9" x14ac:dyDescent="0.25">
      <c r="A10" s="1"/>
      <c r="B10" s="154" t="s">
        <v>244</v>
      </c>
      <c r="C10" s="155"/>
      <c r="D10" s="155"/>
      <c r="E10" s="155"/>
      <c r="F10" s="156"/>
      <c r="G10" s="56">
        <v>0</v>
      </c>
      <c r="H10" s="9" t="s">
        <v>3</v>
      </c>
      <c r="I10" s="1"/>
    </row>
    <row r="11" spans="1:9" x14ac:dyDescent="0.25">
      <c r="A11" s="1"/>
      <c r="B11" s="154" t="s">
        <v>245</v>
      </c>
      <c r="C11" s="155"/>
      <c r="D11" s="155"/>
      <c r="E11" s="155"/>
      <c r="F11" s="156"/>
      <c r="G11" s="56">
        <v>0</v>
      </c>
      <c r="H11" s="9" t="s">
        <v>3</v>
      </c>
      <c r="I11" s="1"/>
    </row>
    <row r="12" spans="1:9" x14ac:dyDescent="0.25">
      <c r="A12" s="1"/>
      <c r="B12" s="154" t="s">
        <v>246</v>
      </c>
      <c r="C12" s="155"/>
      <c r="D12" s="155"/>
      <c r="E12" s="155"/>
      <c r="F12" s="156"/>
      <c r="G12" s="9">
        <v>0</v>
      </c>
      <c r="H12" s="9" t="s">
        <v>3</v>
      </c>
      <c r="I12" s="1"/>
    </row>
    <row r="13" spans="1:9" x14ac:dyDescent="0.25">
      <c r="A13" s="1"/>
      <c r="B13" s="154" t="s">
        <v>247</v>
      </c>
      <c r="C13" s="155"/>
      <c r="D13" s="155"/>
      <c r="E13" s="155"/>
      <c r="F13" s="156"/>
      <c r="G13" s="9">
        <v>0</v>
      </c>
      <c r="H13" s="9" t="s">
        <v>3</v>
      </c>
      <c r="I13" s="1"/>
    </row>
    <row r="14" spans="1:9" x14ac:dyDescent="0.25">
      <c r="A14" s="1"/>
      <c r="B14" s="154" t="s">
        <v>248</v>
      </c>
      <c r="C14" s="155"/>
      <c r="D14" s="155"/>
      <c r="E14" s="155"/>
      <c r="F14" s="156"/>
      <c r="G14" s="9">
        <v>0</v>
      </c>
      <c r="H14" s="9" t="s">
        <v>3</v>
      </c>
      <c r="I14" s="1"/>
    </row>
    <row r="15" spans="1:9" x14ac:dyDescent="0.25">
      <c r="A15" s="1"/>
      <c r="B15" s="154" t="s">
        <v>249</v>
      </c>
      <c r="C15" s="155"/>
      <c r="D15" s="155"/>
      <c r="E15" s="155"/>
      <c r="F15" s="156"/>
      <c r="G15" s="9">
        <v>0</v>
      </c>
      <c r="H15" s="9" t="s">
        <v>3</v>
      </c>
      <c r="I15" s="1"/>
    </row>
    <row r="16" spans="1:9" x14ac:dyDescent="0.25">
      <c r="A16" s="1"/>
      <c r="B16" s="154" t="s">
        <v>250</v>
      </c>
      <c r="C16" s="155"/>
      <c r="D16" s="155"/>
      <c r="E16" s="155"/>
      <c r="F16" s="156"/>
      <c r="G16" s="9">
        <v>0</v>
      </c>
      <c r="H16" s="9" t="s">
        <v>3</v>
      </c>
      <c r="I16" s="1"/>
    </row>
    <row r="17" spans="1:9" x14ac:dyDescent="0.25">
      <c r="A17" s="1"/>
      <c r="B17" s="154" t="s">
        <v>251</v>
      </c>
      <c r="C17" s="155"/>
      <c r="D17" s="155"/>
      <c r="E17" s="155"/>
      <c r="F17" s="156"/>
      <c r="G17" s="9">
        <v>0</v>
      </c>
      <c r="H17" s="9" t="s">
        <v>3</v>
      </c>
      <c r="I17" s="1"/>
    </row>
    <row r="18" spans="1:9" x14ac:dyDescent="0.25">
      <c r="A18" s="1"/>
      <c r="B18" s="130" t="s">
        <v>229</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Z497A58qNbi+Rq0CCz2GijRdvFqhfWg80EK6UQzRNhppJVa1+GbByG97EHzpY6mTSDhdR1RqLiNvPbmZ02y+9w==" saltValue="UNtiN0cEs5CZnPFFTvP/M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view="pageLayout" zoomScaleNormal="100" workbookViewId="0"/>
  </sheetViews>
  <sheetFormatPr defaultColWidth="9.140625" defaultRowHeight="15" x14ac:dyDescent="0.25"/>
  <cols>
    <col min="1" max="1" width="2.42578125" style="2" customWidth="1"/>
    <col min="2" max="2" width="23"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2" width="3"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192</v>
      </c>
      <c r="C8" s="131"/>
      <c r="D8" s="131"/>
      <c r="E8" s="131"/>
      <c r="F8" s="131"/>
      <c r="G8" s="131"/>
      <c r="H8" s="131"/>
      <c r="I8" s="131"/>
      <c r="J8" s="131"/>
      <c r="K8" s="132"/>
      <c r="L8" s="1"/>
    </row>
    <row r="9" spans="1:12" ht="39.75" customHeight="1" x14ac:dyDescent="0.25">
      <c r="A9" s="1"/>
      <c r="B9" s="18" t="s">
        <v>0</v>
      </c>
      <c r="C9" s="18" t="s">
        <v>1</v>
      </c>
      <c r="D9" s="157" t="s">
        <v>213</v>
      </c>
      <c r="E9" s="158"/>
      <c r="F9" s="157" t="s">
        <v>2</v>
      </c>
      <c r="G9" s="158"/>
      <c r="H9" s="157" t="s">
        <v>214</v>
      </c>
      <c r="I9" s="158"/>
      <c r="J9" s="157" t="s">
        <v>28</v>
      </c>
      <c r="K9" s="158"/>
      <c r="L9" s="1"/>
    </row>
    <row r="10" spans="1:12" ht="26.25" x14ac:dyDescent="0.25">
      <c r="A10" s="1"/>
      <c r="B10" s="81" t="s">
        <v>252</v>
      </c>
      <c r="C10" s="29">
        <v>75</v>
      </c>
      <c r="D10" s="9">
        <v>0</v>
      </c>
      <c r="E10" s="14" t="s">
        <v>3</v>
      </c>
      <c r="F10" s="39">
        <f>IFERROR(D10/C10,0)</f>
        <v>0</v>
      </c>
      <c r="G10" s="14" t="s">
        <v>3</v>
      </c>
      <c r="H10" s="9">
        <v>0</v>
      </c>
      <c r="I10" s="14" t="s">
        <v>3</v>
      </c>
      <c r="J10" s="9">
        <v>278633</v>
      </c>
      <c r="K10" s="14" t="s">
        <v>3</v>
      </c>
      <c r="L10" s="1"/>
    </row>
    <row r="11" spans="1:12" x14ac:dyDescent="0.25">
      <c r="A11" s="1"/>
      <c r="B11" s="71" t="s">
        <v>193</v>
      </c>
      <c r="C11" s="72"/>
      <c r="D11" s="19"/>
      <c r="E11" s="75"/>
      <c r="F11" s="12">
        <f>SUM(F10:F10)</f>
        <v>0</v>
      </c>
      <c r="G11" s="13" t="s">
        <v>3</v>
      </c>
      <c r="H11" s="12">
        <f>SUM(H10:H10)</f>
        <v>0</v>
      </c>
      <c r="I11" s="13" t="s">
        <v>3</v>
      </c>
      <c r="J11" s="12">
        <f>SUM(J10:J10)</f>
        <v>278633</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278633</v>
      </c>
      <c r="F10" s="14" t="s">
        <v>3</v>
      </c>
      <c r="G10" s="1"/>
    </row>
    <row r="11" spans="1:7" x14ac:dyDescent="0.25">
      <c r="A11" s="1"/>
      <c r="B11" s="26" t="s">
        <v>243</v>
      </c>
      <c r="C11" s="21">
        <v>37014</v>
      </c>
      <c r="D11" s="14" t="s">
        <v>3</v>
      </c>
      <c r="E11" s="9">
        <v>73516</v>
      </c>
      <c r="F11" s="14" t="s">
        <v>3</v>
      </c>
      <c r="G11" s="1"/>
    </row>
    <row r="12" spans="1:7" x14ac:dyDescent="0.25">
      <c r="A12" s="1"/>
      <c r="B12" s="26" t="s">
        <v>256</v>
      </c>
      <c r="C12" s="21">
        <v>133087.16479917057</v>
      </c>
      <c r="D12" s="14" t="s">
        <v>3</v>
      </c>
      <c r="E12" s="9">
        <v>65186.550691503668</v>
      </c>
      <c r="F12" s="14" t="s">
        <v>3</v>
      </c>
      <c r="G12" s="1"/>
    </row>
    <row r="13" spans="1:7" x14ac:dyDescent="0.25">
      <c r="A13" s="1"/>
      <c r="B13" s="71" t="s">
        <v>148</v>
      </c>
      <c r="C13" s="12">
        <f>SUM(C10:C12)</f>
        <v>170101.16479917057</v>
      </c>
      <c r="D13" s="13" t="s">
        <v>3</v>
      </c>
      <c r="E13" s="12">
        <f>SUM(E10:E12)</f>
        <v>417335.55069150368</v>
      </c>
      <c r="F13" s="13" t="s">
        <v>3</v>
      </c>
      <c r="G13" s="1"/>
    </row>
    <row r="14" spans="1:7" x14ac:dyDescent="0.25">
      <c r="A14" s="1"/>
      <c r="B14" s="71" t="s">
        <v>188</v>
      </c>
      <c r="C14" s="12">
        <f>C13*(1+'Fane 13. Nøgletal'!C15)</f>
        <v>176156.76626602106</v>
      </c>
      <c r="D14" s="13" t="s">
        <v>3</v>
      </c>
      <c r="E14" s="12">
        <f>E13*(1+'Fane 13. Nøgletal'!C15)</f>
        <v>432192.69629612123</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0" t="s">
        <v>88</v>
      </c>
      <c r="C9" s="131"/>
      <c r="D9" s="131"/>
      <c r="E9" s="131"/>
      <c r="F9" s="132"/>
      <c r="G9" s="1"/>
    </row>
    <row r="10" spans="1:7" ht="26.25" x14ac:dyDescent="0.25">
      <c r="A10" s="1"/>
      <c r="B10" s="69" t="s">
        <v>15</v>
      </c>
      <c r="C10" s="69" t="s">
        <v>10</v>
      </c>
      <c r="D10" s="70"/>
      <c r="E10" s="69" t="s">
        <v>29</v>
      </c>
      <c r="F10" s="66"/>
      <c r="G10" s="1"/>
    </row>
    <row r="11" spans="1:7" x14ac:dyDescent="0.25">
      <c r="A11" s="1"/>
      <c r="B11" s="22" t="s">
        <v>255</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223</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112</v>
      </c>
      <c r="C8" s="131"/>
      <c r="D8" s="131"/>
      <c r="E8" s="131"/>
      <c r="F8" s="132"/>
      <c r="G8" s="1"/>
    </row>
    <row r="9" spans="1:7" ht="15" customHeight="1" x14ac:dyDescent="0.25">
      <c r="A9" s="1"/>
      <c r="B9" s="65" t="s">
        <v>113</v>
      </c>
      <c r="C9" s="125" t="s">
        <v>10</v>
      </c>
      <c r="D9" s="127"/>
      <c r="E9" s="125" t="s">
        <v>29</v>
      </c>
      <c r="F9" s="127"/>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224</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30" t="s">
        <v>85</v>
      </c>
      <c r="C10" s="131"/>
      <c r="D10" s="131"/>
      <c r="E10" s="131"/>
      <c r="F10" s="132"/>
      <c r="G10" s="1"/>
    </row>
    <row r="11" spans="1:7" ht="26.25" x14ac:dyDescent="0.25">
      <c r="A11" s="1"/>
      <c r="B11" s="65" t="s">
        <v>16</v>
      </c>
      <c r="C11" s="65" t="s">
        <v>10</v>
      </c>
      <c r="D11" s="66"/>
      <c r="E11" s="65" t="s">
        <v>29</v>
      </c>
      <c r="F11" s="66"/>
      <c r="G11" s="1"/>
    </row>
    <row r="12" spans="1:7" x14ac:dyDescent="0.25">
      <c r="A12" s="1"/>
      <c r="B12" s="22" t="s">
        <v>242</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15" t="s">
        <v>225</v>
      </c>
      <c r="C3" s="115"/>
      <c r="D3" s="1"/>
    </row>
    <row r="4" spans="1:4" ht="25.5" customHeight="1" x14ac:dyDescent="0.25">
      <c r="A4" s="1"/>
      <c r="B4" s="115"/>
      <c r="C4" s="115"/>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30"/>
      <c r="C16" s="132"/>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25015757.15299182</v>
      </c>
      <c r="D8" s="8" t="s">
        <v>3</v>
      </c>
      <c r="E8" s="1"/>
    </row>
    <row r="9" spans="1:5" ht="17.25" customHeight="1" x14ac:dyDescent="0.25">
      <c r="A9" s="1"/>
      <c r="B9" s="23" t="s">
        <v>35</v>
      </c>
      <c r="C9" s="7">
        <f>'Fane 10.1. Varige tillæg'!C14</f>
        <v>176156.76626602106</v>
      </c>
      <c r="D9" s="8" t="s">
        <v>3</v>
      </c>
      <c r="E9" s="1"/>
    </row>
    <row r="10" spans="1:5" ht="17.25" customHeight="1" x14ac:dyDescent="0.25">
      <c r="A10" s="1"/>
      <c r="B10" s="23" t="s">
        <v>36</v>
      </c>
      <c r="C10" s="9">
        <f>'Fane 10.1. Varige tillæg'!E14</f>
        <v>432192.69629612123</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912218.19551372109</v>
      </c>
      <c r="D15" s="8" t="s">
        <v>3</v>
      </c>
      <c r="E15" s="1"/>
    </row>
    <row r="16" spans="1:5" ht="17.25" customHeight="1" x14ac:dyDescent="0.25">
      <c r="A16" s="1"/>
      <c r="B16" s="23" t="s">
        <v>9</v>
      </c>
      <c r="C16" s="9">
        <f>-SUM(C8,C9:C15)*'Fane 5. Individuelt eff. krav'!G9</f>
        <v>-320776.20214414387</v>
      </c>
      <c r="D16" s="8" t="s">
        <v>3</v>
      </c>
      <c r="E16" s="1"/>
    </row>
    <row r="17" spans="1:5" ht="17.25" customHeight="1" x14ac:dyDescent="0.25">
      <c r="A17" s="1"/>
      <c r="B17" s="23" t="s">
        <v>23</v>
      </c>
      <c r="C17" s="9">
        <f>-'Fane 4.1. Gen. krav - drift'!G43</f>
        <v>-212559.55842731535</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26002989.050496228</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omk.'!C17</f>
        <v>18152179.28763264</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0</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44155168.338128865</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oqs2PCyBYwoHAAJLivLAyCmgAi89CxzPwHw5ItZS+VJEUhMNxq5ZQySFuwn+DF71hUuVXFGT78c9h0Sju3eZ3Q==" saltValue="VVC1IKsKHTw4y8Hpd+zs9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26002989.050496228</v>
      </c>
      <c r="D8" s="8" t="s">
        <v>3</v>
      </c>
      <c r="E8" s="1"/>
    </row>
    <row r="9" spans="1:5" ht="15" customHeight="1" x14ac:dyDescent="0.25">
      <c r="A9" s="1"/>
      <c r="B9" s="64" t="s">
        <v>17</v>
      </c>
      <c r="C9" s="9">
        <f>SUM(C8:C8)*'Fane 13. Nøgletal'!C15</f>
        <v>925706.41019766568</v>
      </c>
      <c r="D9" s="8" t="s">
        <v>3</v>
      </c>
      <c r="E9" s="1"/>
    </row>
    <row r="10" spans="1:5" ht="15" customHeight="1" x14ac:dyDescent="0.25">
      <c r="A10" s="1"/>
      <c r="B10" s="64" t="s">
        <v>9</v>
      </c>
      <c r="C10" s="9">
        <f>-SUM(C8:C9)*'Fane 5. Individuelt eff. krav'!G9</f>
        <v>-325519.25408204563</v>
      </c>
      <c r="D10" s="8" t="s">
        <v>3</v>
      </c>
      <c r="E10" s="1"/>
    </row>
    <row r="11" spans="1:5" ht="15" customHeight="1" x14ac:dyDescent="0.25">
      <c r="A11" s="1"/>
      <c r="B11" s="64" t="s">
        <v>23</v>
      </c>
      <c r="C11" s="9">
        <f>-'Fane 4.1. Gen. krav - drift'!G48</f>
        <v>-215724.14513318124</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26387452.061478663</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f>
        <v>18798396.870272364</v>
      </c>
      <c r="D15" s="11" t="s">
        <v>3</v>
      </c>
      <c r="E15" s="1"/>
    </row>
    <row r="16" spans="1:5" x14ac:dyDescent="0.25">
      <c r="A16" s="1"/>
      <c r="B16" s="25" t="s">
        <v>128</v>
      </c>
      <c r="C16" s="72"/>
      <c r="D16" s="19"/>
      <c r="E16" s="1"/>
    </row>
    <row r="17" spans="1:5" ht="15" customHeight="1" x14ac:dyDescent="0.25">
      <c r="A17" s="1"/>
      <c r="B17" s="80" t="s">
        <v>129</v>
      </c>
      <c r="C17" s="10">
        <f>'Fane 7. Kontrol af ØR2021'!E31</f>
        <v>0</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45185848.931751028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AKXQjRcX6lWKj8l5ynHXsqIm/CRVbseKr6N2syWy29F5yKI31aSudn0tOIJdA6KZgFHwBQIW/ObJ4fAMziLBNg==" saltValue="esJ7jBhgT4icMwSSxmaim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26387452.061478663</v>
      </c>
      <c r="D8" s="8" t="s">
        <v>3</v>
      </c>
      <c r="E8" s="1"/>
    </row>
    <row r="9" spans="1:5" ht="15" customHeight="1" x14ac:dyDescent="0.25">
      <c r="A9" s="1"/>
      <c r="B9" s="64" t="s">
        <v>17</v>
      </c>
      <c r="C9" s="9">
        <f>SUM(C8:C8)*'Fane 13. Nøgletal'!C15</f>
        <v>939393.29338864039</v>
      </c>
      <c r="D9" s="8" t="s">
        <v>3</v>
      </c>
      <c r="E9" s="1"/>
    </row>
    <row r="10" spans="1:5" ht="15" customHeight="1" x14ac:dyDescent="0.25">
      <c r="A10" s="1"/>
      <c r="B10" s="64" t="s">
        <v>9</v>
      </c>
      <c r="C10" s="9">
        <f>-SUM(C8:C9)*'Fane 5. Individuelt eff. krav'!G9</f>
        <v>-330332.16664044827</v>
      </c>
      <c r="D10" s="8" t="s">
        <v>3</v>
      </c>
      <c r="E10" s="1"/>
    </row>
    <row r="11" spans="1:5" ht="15" customHeight="1" x14ac:dyDescent="0.25">
      <c r="A11" s="1"/>
      <c r="B11" s="64" t="s">
        <v>23</v>
      </c>
      <c r="C11" s="9">
        <f>-'Fane 4.1. Gen. krav - drift'!G53</f>
        <v>-218935.84620592408</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26777577.342020929</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Nøgletal'!C15)^2</f>
        <v>19467619.79885406</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46245197.140874989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N5ffzvynSZd0OzkyGLEKQ/2gma/LLCHoU5Pohi0ZjlElyLMT+Ar5Vw5lbpC0ME/OvN7Sy8UF8Oi8DcjJvS2Sig==" saltValue="FEKJz/QIdfYVAUg/M+oMU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26777577.342020929</v>
      </c>
      <c r="D8" s="8" t="s">
        <v>3</v>
      </c>
      <c r="E8" s="1"/>
    </row>
    <row r="9" spans="1:5" ht="15" customHeight="1" x14ac:dyDescent="0.25">
      <c r="A9" s="1"/>
      <c r="B9" s="64" t="s">
        <v>17</v>
      </c>
      <c r="C9" s="9">
        <f>SUM(C8:C8)*'Fane 13. Nøgletal'!C15</f>
        <v>953281.75337594503</v>
      </c>
      <c r="D9" s="8" t="s">
        <v>3</v>
      </c>
      <c r="E9" s="1"/>
    </row>
    <row r="10" spans="1:5" ht="15" customHeight="1" x14ac:dyDescent="0.25">
      <c r="A10" s="1"/>
      <c r="B10" s="64" t="s">
        <v>9</v>
      </c>
      <c r="C10" s="9">
        <f>-SUM(C8:C9)*'Fane 5. Individuelt eff. krav'!G9</f>
        <v>-335215.96250230301</v>
      </c>
      <c r="D10" s="8" t="s">
        <v>3</v>
      </c>
      <c r="E10" s="1"/>
    </row>
    <row r="11" spans="1:5" ht="15" customHeight="1" x14ac:dyDescent="0.25">
      <c r="A11" s="1"/>
      <c r="B11" s="64" t="s">
        <v>23</v>
      </c>
      <c r="C11" s="9">
        <f>-'Fane 4.1. Gen. krav - drift'!G58</f>
        <v>-222195.36308423791</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27173447.76981033</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Nøgletal'!C15)^3</f>
        <v>20160667.063693266</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47334114.833503596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kehTqMPtxevthemzPkCPhVE+TUbqOkKsRGYb0ddIiueawl6HQMlkgyGDTpBgYqlbIfAgfbyObUWlNkljewdc5g==" saltValue="WEfjOu7jWLFrJo12Qe1zN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171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16" t="s">
        <v>22</v>
      </c>
      <c r="C9" s="117"/>
      <c r="D9" s="118"/>
      <c r="E9" s="7">
        <v>25681106.337996271</v>
      </c>
      <c r="F9" s="8" t="s">
        <v>3</v>
      </c>
      <c r="G9" s="1"/>
    </row>
    <row r="10" spans="1:7" ht="15" customHeight="1" x14ac:dyDescent="0.25">
      <c r="A10" s="1"/>
      <c r="B10" s="109" t="s">
        <v>35</v>
      </c>
      <c r="C10" s="110"/>
      <c r="D10" s="111"/>
      <c r="E10" s="9">
        <v>26446.988000000001</v>
      </c>
      <c r="F10" s="8" t="s">
        <v>3</v>
      </c>
      <c r="G10" s="1"/>
    </row>
    <row r="11" spans="1:7" ht="15" customHeight="1" x14ac:dyDescent="0.25">
      <c r="A11" s="1"/>
      <c r="B11" s="109" t="s">
        <v>36</v>
      </c>
      <c r="C11" s="110"/>
      <c r="D11" s="111"/>
      <c r="E11" s="9">
        <v>12953.606300000001</v>
      </c>
      <c r="F11" s="8" t="s">
        <v>3</v>
      </c>
      <c r="G11" s="1"/>
    </row>
    <row r="12" spans="1:7" x14ac:dyDescent="0.25">
      <c r="A12" s="1"/>
      <c r="B12" s="109" t="s">
        <v>26</v>
      </c>
      <c r="C12" s="110"/>
      <c r="D12" s="111"/>
      <c r="E12" s="9">
        <v>0</v>
      </c>
      <c r="F12" s="8" t="s">
        <v>3</v>
      </c>
      <c r="G12" s="1"/>
    </row>
    <row r="13" spans="1:7" x14ac:dyDescent="0.25">
      <c r="A13" s="1"/>
      <c r="B13" s="109" t="s">
        <v>25</v>
      </c>
      <c r="C13" s="110"/>
      <c r="D13" s="111"/>
      <c r="E13" s="9">
        <v>0</v>
      </c>
      <c r="F13" s="8" t="s">
        <v>3</v>
      </c>
      <c r="G13" s="1"/>
    </row>
    <row r="14" spans="1:7" x14ac:dyDescent="0.25">
      <c r="A14" s="1"/>
      <c r="B14" s="109" t="s">
        <v>114</v>
      </c>
      <c r="C14" s="110"/>
      <c r="D14" s="111"/>
      <c r="E14" s="9">
        <v>0</v>
      </c>
      <c r="F14" s="8" t="s">
        <v>3</v>
      </c>
      <c r="G14" s="1"/>
    </row>
    <row r="15" spans="1:7" x14ac:dyDescent="0.25">
      <c r="A15" s="1"/>
      <c r="B15" s="109" t="s">
        <v>115</v>
      </c>
      <c r="C15" s="110"/>
      <c r="D15" s="111"/>
      <c r="E15" s="9">
        <v>0</v>
      </c>
      <c r="F15" s="8" t="s">
        <v>3</v>
      </c>
      <c r="G15" s="1"/>
    </row>
    <row r="16" spans="1:7" x14ac:dyDescent="0.25">
      <c r="A16" s="1"/>
      <c r="B16" s="109" t="s">
        <v>17</v>
      </c>
      <c r="C16" s="110"/>
      <c r="D16" s="111"/>
      <c r="E16" s="9">
        <v>313439.51928474451</v>
      </c>
      <c r="F16" s="8" t="s">
        <v>3</v>
      </c>
      <c r="G16" s="30"/>
    </row>
    <row r="17" spans="1:7" x14ac:dyDescent="0.25">
      <c r="A17" s="1"/>
      <c r="B17" s="109" t="s">
        <v>9</v>
      </c>
      <c r="C17" s="110"/>
      <c r="D17" s="111"/>
      <c r="E17" s="9">
        <v>-340045.14534182346</v>
      </c>
      <c r="F17" s="8" t="s">
        <v>3</v>
      </c>
      <c r="G17" s="1"/>
    </row>
    <row r="18" spans="1:7" x14ac:dyDescent="0.25">
      <c r="A18" s="1"/>
      <c r="B18" s="109" t="s">
        <v>23</v>
      </c>
      <c r="C18" s="110"/>
      <c r="D18" s="111"/>
      <c r="E18" s="9">
        <v>-205846.35889321141</v>
      </c>
      <c r="F18" s="8" t="s">
        <v>3</v>
      </c>
      <c r="G18" s="1"/>
    </row>
    <row r="19" spans="1:7" x14ac:dyDescent="0.25">
      <c r="A19" s="1"/>
      <c r="B19" s="109" t="s">
        <v>24</v>
      </c>
      <c r="C19" s="110"/>
      <c r="D19" s="111"/>
      <c r="E19" s="9">
        <v>-472297.79435415764</v>
      </c>
      <c r="F19" s="8" t="s">
        <v>3</v>
      </c>
      <c r="G19" s="1"/>
    </row>
    <row r="20" spans="1:7" x14ac:dyDescent="0.25">
      <c r="A20" s="1"/>
      <c r="B20" s="122" t="s">
        <v>19</v>
      </c>
      <c r="C20" s="123"/>
      <c r="D20" s="124"/>
      <c r="E20" s="31">
        <v>25015757.15299182</v>
      </c>
      <c r="F20" s="34" t="s">
        <v>3</v>
      </c>
      <c r="G20" s="1"/>
    </row>
    <row r="21" spans="1:7" x14ac:dyDescent="0.25">
      <c r="A21" s="1"/>
      <c r="B21" s="82" t="s">
        <v>11</v>
      </c>
      <c r="C21" s="83"/>
      <c r="D21" s="83"/>
      <c r="E21" s="83"/>
      <c r="F21" s="19"/>
      <c r="G21" s="1"/>
    </row>
    <row r="22" spans="1:7" x14ac:dyDescent="0.25">
      <c r="A22" s="1"/>
      <c r="B22" s="112" t="s">
        <v>11</v>
      </c>
      <c r="C22" s="113"/>
      <c r="D22" s="114"/>
      <c r="E22" s="10">
        <v>15401644.889390552</v>
      </c>
      <c r="F22" s="11" t="s">
        <v>3</v>
      </c>
      <c r="G22" s="1"/>
    </row>
    <row r="23" spans="1:7" ht="15" customHeight="1" x14ac:dyDescent="0.25">
      <c r="A23" s="1"/>
      <c r="B23" s="128" t="s">
        <v>80</v>
      </c>
      <c r="C23" s="129"/>
      <c r="D23" s="129"/>
      <c r="E23" s="83"/>
      <c r="F23" s="19"/>
      <c r="G23" s="1"/>
    </row>
    <row r="24" spans="1:7" ht="14.25" customHeight="1" x14ac:dyDescent="0.25">
      <c r="A24" s="1"/>
      <c r="B24" s="119" t="s">
        <v>76</v>
      </c>
      <c r="C24" s="120"/>
      <c r="D24" s="121"/>
      <c r="E24" s="9">
        <v>0</v>
      </c>
      <c r="F24" s="8" t="s">
        <v>3</v>
      </c>
      <c r="G24" s="1"/>
    </row>
    <row r="25" spans="1:7" ht="14.25" customHeight="1" x14ac:dyDescent="0.25">
      <c r="A25" s="1"/>
      <c r="B25" s="119" t="s">
        <v>77</v>
      </c>
      <c r="C25" s="120"/>
      <c r="D25" s="121"/>
      <c r="E25" s="9">
        <v>0</v>
      </c>
      <c r="F25" s="8" t="s">
        <v>3</v>
      </c>
      <c r="G25" s="1"/>
    </row>
    <row r="26" spans="1:7" x14ac:dyDescent="0.25">
      <c r="A26" s="1"/>
      <c r="B26" s="125" t="s">
        <v>81</v>
      </c>
      <c r="C26" s="126"/>
      <c r="D26" s="126"/>
      <c r="E26" s="10">
        <v>0</v>
      </c>
      <c r="F26" s="11" t="s">
        <v>3</v>
      </c>
      <c r="G26" s="1"/>
    </row>
    <row r="27" spans="1:7" x14ac:dyDescent="0.25">
      <c r="A27" s="1"/>
      <c r="B27" s="82" t="s">
        <v>128</v>
      </c>
      <c r="C27" s="83"/>
      <c r="D27" s="83"/>
      <c r="E27" s="83"/>
      <c r="F27" s="19"/>
      <c r="G27" s="1"/>
    </row>
    <row r="28" spans="1:7" ht="15" customHeight="1" x14ac:dyDescent="0.25">
      <c r="A28" s="1"/>
      <c r="B28" s="125" t="s">
        <v>129</v>
      </c>
      <c r="C28" s="126"/>
      <c r="D28" s="127"/>
      <c r="E28" s="10">
        <v>0</v>
      </c>
      <c r="F28" s="11" t="s">
        <v>3</v>
      </c>
      <c r="G28" s="1"/>
    </row>
    <row r="29" spans="1:7" x14ac:dyDescent="0.25">
      <c r="A29" s="1"/>
      <c r="B29" s="82" t="s">
        <v>159</v>
      </c>
      <c r="C29" s="83"/>
      <c r="D29" s="83"/>
      <c r="E29" s="83"/>
      <c r="F29" s="19"/>
      <c r="G29" s="1"/>
    </row>
    <row r="30" spans="1:7" ht="15.75" customHeight="1" x14ac:dyDescent="0.25">
      <c r="A30" s="1"/>
      <c r="B30" s="112" t="s">
        <v>160</v>
      </c>
      <c r="C30" s="113"/>
      <c r="D30" s="114"/>
      <c r="E30" s="10">
        <v>0</v>
      </c>
      <c r="F30" s="11" t="s">
        <v>3</v>
      </c>
      <c r="G30" s="1"/>
    </row>
    <row r="31" spans="1:7" ht="15.75" customHeight="1" x14ac:dyDescent="0.25">
      <c r="A31" s="1"/>
      <c r="B31" s="130" t="s">
        <v>153</v>
      </c>
      <c r="C31" s="131"/>
      <c r="D31" s="131"/>
      <c r="E31" s="131"/>
      <c r="F31" s="132"/>
      <c r="G31" s="1"/>
    </row>
    <row r="32" spans="1:7" ht="15.75" customHeight="1" x14ac:dyDescent="0.25">
      <c r="A32" s="1"/>
      <c r="B32" s="87" t="s">
        <v>154</v>
      </c>
      <c r="C32" s="10"/>
      <c r="D32" s="11"/>
      <c r="E32" s="10">
        <f>'Fane 8. Skattesagen'!G11</f>
        <v>0</v>
      </c>
      <c r="F32" s="11" t="s">
        <v>3</v>
      </c>
      <c r="G32" s="1"/>
    </row>
    <row r="33" spans="1:7" x14ac:dyDescent="0.25">
      <c r="A33" s="1"/>
      <c r="B33" s="35" t="s">
        <v>27</v>
      </c>
      <c r="C33" s="38"/>
      <c r="D33" s="38"/>
      <c r="E33" s="32">
        <f>E20+E22+E26+E28+E30+E32</f>
        <v>40417402.042382374</v>
      </c>
      <c r="F33" s="37" t="s">
        <v>3</v>
      </c>
      <c r="G33" s="1"/>
    </row>
    <row r="34" spans="1:7" ht="27.75" customHeight="1" x14ac:dyDescent="0.25">
      <c r="A34" s="1"/>
      <c r="B34" s="119" t="s">
        <v>173</v>
      </c>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5"/>
  <sheetViews>
    <sheetView showGridLines="0" view="pageLayout" zoomScaleNormal="100" workbookViewId="0"/>
  </sheetViews>
  <sheetFormatPr defaultColWidth="9.140625" defaultRowHeight="15" x14ac:dyDescent="0.25"/>
  <cols>
    <col min="1" max="1" width="2.42578125" style="2" customWidth="1"/>
    <col min="2" max="5" width="9.140625" style="2"/>
    <col min="6" max="6" width="24.140625" style="2" customWidth="1"/>
    <col min="7" max="7" width="13.42578125" style="43" customWidth="1"/>
    <col min="8" max="8" width="3.7109375" style="2" customWidth="1"/>
    <col min="9" max="9" width="2.28515625" style="2" customWidth="1"/>
    <col min="10" max="16384" width="9.140625" style="2"/>
  </cols>
  <sheetData>
    <row r="1" spans="1:9" ht="15" customHeight="1" x14ac:dyDescent="0.25">
      <c r="A1" s="1"/>
      <c r="B1" s="115" t="s">
        <v>98</v>
      </c>
      <c r="C1" s="115"/>
      <c r="D1" s="115"/>
      <c r="E1" s="115"/>
      <c r="F1" s="115"/>
      <c r="G1" s="115"/>
      <c r="H1" s="115"/>
      <c r="I1" s="1"/>
    </row>
    <row r="2" spans="1:9" ht="15" customHeight="1" x14ac:dyDescent="0.25">
      <c r="A2" s="1"/>
      <c r="B2" s="115"/>
      <c r="C2" s="115"/>
      <c r="D2" s="115"/>
      <c r="E2" s="115"/>
      <c r="F2" s="115"/>
      <c r="G2" s="115"/>
      <c r="H2" s="115"/>
      <c r="I2" s="1"/>
    </row>
    <row r="3" spans="1:9" ht="15" customHeight="1" x14ac:dyDescent="0.25">
      <c r="A3" s="1"/>
      <c r="B3" s="115"/>
      <c r="C3" s="115"/>
      <c r="D3" s="115"/>
      <c r="E3" s="115"/>
      <c r="F3" s="115"/>
      <c r="G3" s="115"/>
      <c r="H3" s="115"/>
      <c r="I3" s="1"/>
    </row>
    <row r="4" spans="1:9" x14ac:dyDescent="0.25">
      <c r="A4" s="1"/>
      <c r="B4" s="130" t="s">
        <v>49</v>
      </c>
      <c r="C4" s="131"/>
      <c r="D4" s="131"/>
      <c r="E4" s="131"/>
      <c r="F4" s="131"/>
      <c r="G4" s="131"/>
      <c r="H4" s="132"/>
      <c r="I4" s="1"/>
    </row>
    <row r="5" spans="1:9" x14ac:dyDescent="0.25">
      <c r="A5" s="1"/>
      <c r="B5" s="133" t="s">
        <v>38</v>
      </c>
      <c r="C5" s="134"/>
      <c r="D5" s="134"/>
      <c r="E5" s="134"/>
      <c r="F5" s="135"/>
      <c r="G5" s="58">
        <v>10585021.868557494</v>
      </c>
      <c r="H5" s="14" t="s">
        <v>3</v>
      </c>
      <c r="I5" s="1"/>
    </row>
    <row r="6" spans="1:9" x14ac:dyDescent="0.25">
      <c r="A6" s="1"/>
      <c r="B6" s="133" t="s">
        <v>39</v>
      </c>
      <c r="C6" s="134"/>
      <c r="D6" s="134"/>
      <c r="E6" s="134"/>
      <c r="F6" s="135"/>
      <c r="G6" s="58">
        <f>G5*'Fane 13. Nøgletal'!C31</f>
        <v>211700.43737114989</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30" t="s">
        <v>50</v>
      </c>
      <c r="C9" s="131"/>
      <c r="D9" s="131"/>
      <c r="E9" s="131"/>
      <c r="F9" s="131"/>
      <c r="G9" s="136"/>
      <c r="H9" s="132"/>
      <c r="I9" s="1"/>
    </row>
    <row r="10" spans="1:9" x14ac:dyDescent="0.25">
      <c r="A10" s="1"/>
      <c r="B10" s="133" t="s">
        <v>40</v>
      </c>
      <c r="C10" s="134"/>
      <c r="D10" s="134"/>
      <c r="E10" s="134"/>
      <c r="F10" s="135"/>
      <c r="G10" s="58">
        <f>(G5-G6)*(1+'Fane 13. Nøgletal'!C9)</f>
        <v>10505062.613362411</v>
      </c>
      <c r="H10" s="14" t="s">
        <v>3</v>
      </c>
      <c r="I10" s="1"/>
    </row>
    <row r="11" spans="1:9" x14ac:dyDescent="0.25">
      <c r="A11" s="1"/>
      <c r="B11" s="137" t="s">
        <v>41</v>
      </c>
      <c r="C11" s="138"/>
      <c r="D11" s="138"/>
      <c r="E11" s="138"/>
      <c r="F11" s="139"/>
      <c r="G11" s="58">
        <v>0</v>
      </c>
      <c r="H11" s="14" t="s">
        <v>3</v>
      </c>
      <c r="I11" s="1"/>
    </row>
    <row r="12" spans="1:9" x14ac:dyDescent="0.25">
      <c r="A12" s="1"/>
      <c r="B12" s="133" t="s">
        <v>42</v>
      </c>
      <c r="C12" s="134"/>
      <c r="D12" s="134"/>
      <c r="E12" s="134"/>
      <c r="F12" s="135"/>
      <c r="G12" s="58">
        <f>(G10+G11)*'Fane 13. Nøgletal'!C31</f>
        <v>210101.25226724823</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30" t="s">
        <v>51</v>
      </c>
      <c r="C15" s="131"/>
      <c r="D15" s="131"/>
      <c r="E15" s="131"/>
      <c r="F15" s="131"/>
      <c r="G15" s="136"/>
      <c r="H15" s="132"/>
      <c r="I15" s="1"/>
    </row>
    <row r="16" spans="1:9" x14ac:dyDescent="0.25">
      <c r="A16" s="1"/>
      <c r="B16" s="133" t="s">
        <v>43</v>
      </c>
      <c r="C16" s="134"/>
      <c r="D16" s="134"/>
      <c r="E16" s="134"/>
      <c r="F16" s="135"/>
      <c r="G16" s="58">
        <f>(G10+G11-G12)*(1+'Fane 13. Nøgletal'!C11)</f>
        <v>10468946.20809767</v>
      </c>
      <c r="H16" s="14" t="s">
        <v>3</v>
      </c>
      <c r="I16" s="1"/>
    </row>
    <row r="17" spans="1:9" x14ac:dyDescent="0.25">
      <c r="A17" s="1"/>
      <c r="B17" s="133" t="s">
        <v>108</v>
      </c>
      <c r="C17" s="134"/>
      <c r="D17" s="134"/>
      <c r="E17" s="134"/>
      <c r="F17" s="135"/>
      <c r="G17" s="58">
        <v>0</v>
      </c>
      <c r="H17" s="14" t="s">
        <v>3</v>
      </c>
      <c r="I17" s="1"/>
    </row>
    <row r="18" spans="1:9" x14ac:dyDescent="0.25">
      <c r="A18" s="1"/>
      <c r="B18" s="137" t="s">
        <v>44</v>
      </c>
      <c r="C18" s="138"/>
      <c r="D18" s="138"/>
      <c r="E18" s="138"/>
      <c r="F18" s="139"/>
      <c r="G18" s="58">
        <v>0</v>
      </c>
      <c r="H18" s="14" t="s">
        <v>3</v>
      </c>
      <c r="I18" s="1"/>
    </row>
    <row r="19" spans="1:9" x14ac:dyDescent="0.25">
      <c r="A19" s="1"/>
      <c r="B19" s="133" t="s">
        <v>45</v>
      </c>
      <c r="C19" s="134"/>
      <c r="D19" s="134"/>
      <c r="E19" s="134"/>
      <c r="F19" s="135"/>
      <c r="G19" s="58">
        <f>SUM(G16:G18)*'Fane 13. Nøgletal'!C31</f>
        <v>209378.92416195342</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30" t="s">
        <v>52</v>
      </c>
      <c r="C22" s="131"/>
      <c r="D22" s="131"/>
      <c r="E22" s="131"/>
      <c r="F22" s="131"/>
      <c r="G22" s="136"/>
      <c r="H22" s="132"/>
      <c r="I22" s="1"/>
    </row>
    <row r="23" spans="1:9" x14ac:dyDescent="0.25">
      <c r="A23" s="1"/>
      <c r="B23" s="133" t="s">
        <v>46</v>
      </c>
      <c r="C23" s="134"/>
      <c r="D23" s="134"/>
      <c r="E23" s="134"/>
      <c r="F23" s="135"/>
      <c r="G23" s="58">
        <f>(SUM(G16:G18)-G19)*(1+'Fane 13. Nøgletal'!C11)</f>
        <v>10432953.971034229</v>
      </c>
      <c r="H23" s="14" t="s">
        <v>3</v>
      </c>
      <c r="I23" s="1"/>
    </row>
    <row r="24" spans="1:9" x14ac:dyDescent="0.25">
      <c r="A24" s="1"/>
      <c r="B24" s="137" t="s">
        <v>47</v>
      </c>
      <c r="C24" s="138"/>
      <c r="D24" s="138"/>
      <c r="E24" s="138"/>
      <c r="F24" s="139"/>
      <c r="G24" s="58">
        <v>0</v>
      </c>
      <c r="H24" s="14" t="s">
        <v>3</v>
      </c>
      <c r="I24" s="1"/>
    </row>
    <row r="25" spans="1:9" x14ac:dyDescent="0.25">
      <c r="A25" s="1"/>
      <c r="B25" s="133" t="s">
        <v>48</v>
      </c>
      <c r="C25" s="134"/>
      <c r="D25" s="134"/>
      <c r="E25" s="134"/>
      <c r="F25" s="135"/>
      <c r="G25" s="58">
        <f>(G23+G24)*'Fane 13. Nøgletal'!C31</f>
        <v>208659.07942068457</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30" t="s">
        <v>132</v>
      </c>
      <c r="C28" s="131"/>
      <c r="D28" s="131"/>
      <c r="E28" s="131"/>
      <c r="F28" s="131"/>
      <c r="G28" s="136"/>
      <c r="H28" s="132"/>
      <c r="I28" s="1"/>
    </row>
    <row r="29" spans="1:9" x14ac:dyDescent="0.25">
      <c r="A29" s="1"/>
      <c r="B29" s="133" t="s">
        <v>55</v>
      </c>
      <c r="C29" s="134"/>
      <c r="D29" s="134"/>
      <c r="E29" s="134"/>
      <c r="F29" s="135"/>
      <c r="G29" s="58">
        <f>(G23+G24-G25)*(1+'Fane 13. Nøgletal'!C13)</f>
        <v>10349031.289291229</v>
      </c>
      <c r="H29" s="14" t="s">
        <v>3</v>
      </c>
      <c r="I29" s="1"/>
    </row>
    <row r="30" spans="1:9" x14ac:dyDescent="0.25">
      <c r="A30" s="1"/>
      <c r="B30" s="133" t="s">
        <v>121</v>
      </c>
      <c r="C30" s="134"/>
      <c r="D30" s="134"/>
      <c r="E30" s="134"/>
      <c r="F30" s="135"/>
      <c r="G30" s="58">
        <v>0</v>
      </c>
      <c r="H30" s="14" t="s">
        <v>3</v>
      </c>
      <c r="I30" s="1"/>
    </row>
    <row r="31" spans="1:9" x14ac:dyDescent="0.25">
      <c r="A31" s="1"/>
      <c r="B31" s="133" t="s">
        <v>126</v>
      </c>
      <c r="C31" s="134"/>
      <c r="D31" s="134"/>
      <c r="E31" s="134"/>
      <c r="F31" s="135"/>
      <c r="G31" s="58">
        <f>(G29+G30)*'Fane 13. Nøgletal'!C31</f>
        <v>206980.62578582458</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30" t="s">
        <v>133</v>
      </c>
      <c r="C34" s="131"/>
      <c r="D34" s="131"/>
      <c r="E34" s="131"/>
      <c r="F34" s="131"/>
      <c r="G34" s="136"/>
      <c r="H34" s="132"/>
      <c r="I34" s="1"/>
    </row>
    <row r="35" spans="1:9" x14ac:dyDescent="0.25">
      <c r="A35" s="1"/>
      <c r="B35" s="133" t="s">
        <v>74</v>
      </c>
      <c r="C35" s="134"/>
      <c r="D35" s="134"/>
      <c r="E35" s="134"/>
      <c r="F35" s="135"/>
      <c r="G35" s="58">
        <f>(G29+G30-G31)*(1+'Fane 13. Nøgletal'!C13)</f>
        <v>10265783.68160017</v>
      </c>
      <c r="H35" s="14" t="s">
        <v>3</v>
      </c>
      <c r="I35" s="1"/>
    </row>
    <row r="36" spans="1:9" x14ac:dyDescent="0.25">
      <c r="A36" s="1"/>
      <c r="B36" s="133" t="s">
        <v>152</v>
      </c>
      <c r="C36" s="134"/>
      <c r="D36" s="134"/>
      <c r="E36" s="134"/>
      <c r="F36" s="135"/>
      <c r="G36" s="58">
        <f>('Fane 3. Omkostninger i ØR2022'!E10+'Fane 3. Omkostninger i ØR2022'!E12+'Fane 3. Omkostninger i ØR2022'!E14)*(1+'Fane 13. Nøgletal'!C14)</f>
        <v>26534.263060400004</v>
      </c>
      <c r="H36" s="14" t="s">
        <v>3</v>
      </c>
      <c r="I36" s="1"/>
    </row>
    <row r="37" spans="1:9" x14ac:dyDescent="0.25">
      <c r="A37" s="1"/>
      <c r="B37" s="133" t="s">
        <v>134</v>
      </c>
      <c r="C37" s="134"/>
      <c r="D37" s="134"/>
      <c r="E37" s="134"/>
      <c r="F37" s="135"/>
      <c r="G37" s="58">
        <f>(G35+G36)*'Fane 13. Nøgletal'!C31</f>
        <v>205846.35889321141</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30" t="s">
        <v>198</v>
      </c>
      <c r="C40" s="131"/>
      <c r="D40" s="131"/>
      <c r="E40" s="131"/>
      <c r="F40" s="131"/>
      <c r="G40" s="136"/>
      <c r="H40" s="132"/>
      <c r="I40" s="1"/>
    </row>
    <row r="41" spans="1:9" x14ac:dyDescent="0.25">
      <c r="A41" s="1"/>
      <c r="B41" s="133" t="s">
        <v>73</v>
      </c>
      <c r="C41" s="134"/>
      <c r="D41" s="134"/>
      <c r="E41" s="134"/>
      <c r="F41" s="135"/>
      <c r="G41" s="58">
        <f>(G35+G36-G37)*(1+'Fane 13. Nøgletal'!C15)</f>
        <v>10445549.974220676</v>
      </c>
      <c r="H41" s="14" t="s">
        <v>3</v>
      </c>
      <c r="I41" s="1"/>
    </row>
    <row r="42" spans="1:9" x14ac:dyDescent="0.25">
      <c r="A42" s="1"/>
      <c r="B42" s="133" t="s">
        <v>197</v>
      </c>
      <c r="C42" s="134"/>
      <c r="D42" s="134"/>
      <c r="E42" s="134"/>
      <c r="F42" s="135"/>
      <c r="G42" s="58">
        <f>('Fane 2.1. Økonomisk ramme 2023'!C9+'Fane 2.1. Økonomisk ramme 2023'!C11+'Fane 2.1. Økonomisk ramme 2023'!C13)*(1+'Fane 13. Nøgletal'!C15)</f>
        <v>182427.94714509143</v>
      </c>
      <c r="H42" s="14" t="s">
        <v>3</v>
      </c>
      <c r="I42" s="1"/>
    </row>
    <row r="43" spans="1:9" x14ac:dyDescent="0.25">
      <c r="A43" s="1"/>
      <c r="B43" s="133" t="s">
        <v>208</v>
      </c>
      <c r="C43" s="134"/>
      <c r="D43" s="134"/>
      <c r="E43" s="134"/>
      <c r="F43" s="135"/>
      <c r="G43" s="58">
        <f>(G41+G42)*'Fane 13. Nøgletal'!C31</f>
        <v>212559.55842731535</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30" t="s">
        <v>199</v>
      </c>
      <c r="C46" s="131"/>
      <c r="D46" s="131"/>
      <c r="E46" s="131"/>
      <c r="F46" s="131"/>
      <c r="G46" s="136"/>
      <c r="H46" s="132"/>
      <c r="I46" s="1"/>
    </row>
    <row r="47" spans="1:9" x14ac:dyDescent="0.25">
      <c r="A47" s="1"/>
      <c r="B47" s="133" t="s">
        <v>122</v>
      </c>
      <c r="C47" s="134"/>
      <c r="D47" s="134"/>
      <c r="E47" s="134"/>
      <c r="F47" s="135"/>
      <c r="G47" s="58">
        <f>(G41+G42-G43)*(1+'Fane 13. Nøgletal'!C15)</f>
        <v>10786207.256659063</v>
      </c>
      <c r="H47" s="14" t="s">
        <v>3</v>
      </c>
      <c r="I47" s="1"/>
    </row>
    <row r="48" spans="1:9" x14ac:dyDescent="0.25">
      <c r="A48" s="1"/>
      <c r="B48" s="133" t="s">
        <v>209</v>
      </c>
      <c r="C48" s="134"/>
      <c r="D48" s="134"/>
      <c r="E48" s="134"/>
      <c r="F48" s="135"/>
      <c r="G48" s="58">
        <f>(G47)*'Fane 13. Nøgletal'!C31</f>
        <v>215724.14513318124</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30" t="s">
        <v>145</v>
      </c>
      <c r="C51" s="131"/>
      <c r="D51" s="131"/>
      <c r="E51" s="131"/>
      <c r="F51" s="131"/>
      <c r="G51" s="136"/>
      <c r="H51" s="132"/>
      <c r="I51" s="1"/>
    </row>
    <row r="52" spans="1:9" x14ac:dyDescent="0.25">
      <c r="A52" s="1"/>
      <c r="B52" s="133" t="s">
        <v>146</v>
      </c>
      <c r="C52" s="134"/>
      <c r="D52" s="134"/>
      <c r="E52" s="134"/>
      <c r="F52" s="135"/>
      <c r="G52" s="58">
        <f>(G47-G48)*(1+'Fane 13. Nøgletal'!C15)</f>
        <v>10946792.310296204</v>
      </c>
      <c r="H52" s="14" t="s">
        <v>3</v>
      </c>
      <c r="I52" s="1"/>
    </row>
    <row r="53" spans="1:9" x14ac:dyDescent="0.25">
      <c r="A53" s="1"/>
      <c r="B53" s="133" t="s">
        <v>147</v>
      </c>
      <c r="C53" s="134"/>
      <c r="D53" s="134"/>
      <c r="E53" s="134"/>
      <c r="F53" s="135"/>
      <c r="G53" s="58">
        <f>(G52)*'Fane 13. Nøgletal'!C31</f>
        <v>218935.84620592408</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30" t="s">
        <v>174</v>
      </c>
      <c r="C56" s="131"/>
      <c r="D56" s="131"/>
      <c r="E56" s="131"/>
      <c r="F56" s="131"/>
      <c r="G56" s="136"/>
      <c r="H56" s="132"/>
      <c r="I56" s="1"/>
    </row>
    <row r="57" spans="1:9" x14ac:dyDescent="0.25">
      <c r="A57" s="1"/>
      <c r="B57" s="133" t="s">
        <v>175</v>
      </c>
      <c r="C57" s="134"/>
      <c r="D57" s="134"/>
      <c r="E57" s="134"/>
      <c r="F57" s="135"/>
      <c r="G57" s="58">
        <f>(G52-G53)*(1+'Fane 13. Nøgletal'!C15)</f>
        <v>11109768.154211896</v>
      </c>
      <c r="H57" s="14" t="s">
        <v>3</v>
      </c>
      <c r="I57" s="1"/>
    </row>
    <row r="58" spans="1:9" x14ac:dyDescent="0.25">
      <c r="A58" s="1"/>
      <c r="B58" s="133" t="s">
        <v>176</v>
      </c>
      <c r="C58" s="134"/>
      <c r="D58" s="134"/>
      <c r="E58" s="134"/>
      <c r="F58" s="135"/>
      <c r="G58" s="58">
        <f>(G57)*'Fane 13. Nøgletal'!C31</f>
        <v>222195.36308423791</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65"/>
  <sheetViews>
    <sheetView showGridLines="0" view="pageLayout" zoomScaleNormal="120" workbookViewId="0"/>
  </sheetViews>
  <sheetFormatPr defaultColWidth="9.140625" defaultRowHeight="15" x14ac:dyDescent="0.25"/>
  <cols>
    <col min="1" max="1" width="2.42578125" style="2" customWidth="1"/>
    <col min="2" max="5" width="9.140625" style="2"/>
    <col min="6" max="6" width="25.85546875" style="2" customWidth="1"/>
    <col min="7" max="7" width="10.28515625" style="2" customWidth="1"/>
    <col min="8" max="8" width="2.85546875" style="2" bestFit="1" customWidth="1"/>
    <col min="9" max="9" width="2.28515625" style="2" customWidth="1"/>
    <col min="10" max="16384" width="9.140625"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30" t="s">
        <v>53</v>
      </c>
      <c r="C4" s="131"/>
      <c r="D4" s="131"/>
      <c r="E4" s="131"/>
      <c r="F4" s="131"/>
      <c r="G4" s="131"/>
      <c r="H4" s="132"/>
      <c r="I4" s="1"/>
    </row>
    <row r="5" spans="1:9" x14ac:dyDescent="0.25">
      <c r="A5" s="1"/>
      <c r="B5" s="133" t="s">
        <v>56</v>
      </c>
      <c r="C5" s="134"/>
      <c r="D5" s="134"/>
      <c r="E5" s="134"/>
      <c r="F5" s="135"/>
      <c r="G5" s="58">
        <v>15608276.578450453</v>
      </c>
      <c r="H5" s="14" t="s">
        <v>3</v>
      </c>
      <c r="I5" s="1"/>
    </row>
    <row r="6" spans="1:9" x14ac:dyDescent="0.25">
      <c r="A6" s="1"/>
      <c r="B6" s="133" t="s">
        <v>54</v>
      </c>
      <c r="C6" s="134"/>
      <c r="D6" s="134"/>
      <c r="E6" s="134"/>
      <c r="F6" s="135"/>
      <c r="G6" s="58">
        <f>G5*'Fane 13. Nøgletal'!C20</f>
        <v>142035.31686389912</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30" t="s">
        <v>57</v>
      </c>
      <c r="C9" s="131"/>
      <c r="D9" s="131"/>
      <c r="E9" s="131"/>
      <c r="F9" s="131"/>
      <c r="G9" s="136"/>
      <c r="H9" s="132"/>
      <c r="I9" s="1"/>
    </row>
    <row r="10" spans="1:9" x14ac:dyDescent="0.25">
      <c r="A10" s="1"/>
      <c r="B10" s="133" t="s">
        <v>58</v>
      </c>
      <c r="C10" s="134"/>
      <c r="D10" s="134"/>
      <c r="E10" s="134"/>
      <c r="F10" s="135"/>
      <c r="G10" s="58">
        <f>(G5-G6)*(1+'Fane 13. Nøgletal'!C9)</f>
        <v>15662662.525608702</v>
      </c>
      <c r="H10" s="14" t="s">
        <v>3</v>
      </c>
      <c r="I10" s="1"/>
    </row>
    <row r="11" spans="1:9" x14ac:dyDescent="0.25">
      <c r="A11" s="1"/>
      <c r="B11" s="137" t="s">
        <v>59</v>
      </c>
      <c r="C11" s="138"/>
      <c r="D11" s="138"/>
      <c r="E11" s="138"/>
      <c r="F11" s="139"/>
      <c r="G11" s="63">
        <v>0</v>
      </c>
      <c r="H11" s="14" t="s">
        <v>3</v>
      </c>
      <c r="I11" s="1"/>
    </row>
    <row r="12" spans="1:9" x14ac:dyDescent="0.25">
      <c r="A12" s="1"/>
      <c r="B12" s="133" t="s">
        <v>60</v>
      </c>
      <c r="C12" s="134"/>
      <c r="D12" s="134"/>
      <c r="E12" s="134"/>
      <c r="F12" s="135"/>
      <c r="G12" s="58">
        <f>G10*'Fane 13. Nøgletal'!C20+G11*'Fane 13. Nøgletal'!C21</f>
        <v>142530.22898303918</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30" t="s">
        <v>61</v>
      </c>
      <c r="C15" s="131"/>
      <c r="D15" s="131"/>
      <c r="E15" s="131"/>
      <c r="F15" s="131"/>
      <c r="G15" s="136"/>
      <c r="H15" s="132"/>
      <c r="I15" s="1"/>
    </row>
    <row r="16" spans="1:9" x14ac:dyDescent="0.25">
      <c r="A16" s="1"/>
      <c r="B16" s="133" t="s">
        <v>62</v>
      </c>
      <c r="C16" s="134"/>
      <c r="D16" s="134"/>
      <c r="E16" s="134"/>
      <c r="F16" s="135"/>
      <c r="G16" s="58">
        <f>(G10+G11-G12)*(1+'Fane 13. Nøgletal'!C11)</f>
        <v>15782422.532438636</v>
      </c>
      <c r="H16" s="14" t="s">
        <v>3</v>
      </c>
      <c r="I16" s="1"/>
    </row>
    <row r="17" spans="1:9" x14ac:dyDescent="0.25">
      <c r="A17" s="1"/>
      <c r="B17" s="133" t="s">
        <v>109</v>
      </c>
      <c r="C17" s="134"/>
      <c r="D17" s="134"/>
      <c r="E17" s="134"/>
      <c r="F17" s="135"/>
      <c r="G17" s="58">
        <v>159157.50193456997</v>
      </c>
      <c r="H17" s="14" t="s">
        <v>3</v>
      </c>
      <c r="I17" s="1"/>
    </row>
    <row r="18" spans="1:9" x14ac:dyDescent="0.25">
      <c r="A18" s="1"/>
      <c r="B18" s="137" t="s">
        <v>63</v>
      </c>
      <c r="C18" s="138"/>
      <c r="D18" s="138"/>
      <c r="E18" s="138"/>
      <c r="F18" s="139"/>
      <c r="G18" s="58">
        <v>577419.96151106991</v>
      </c>
      <c r="H18" s="14" t="s">
        <v>3</v>
      </c>
      <c r="I18" s="1"/>
    </row>
    <row r="19" spans="1:9" x14ac:dyDescent="0.25">
      <c r="A19" s="1"/>
      <c r="B19" s="133" t="s">
        <v>64</v>
      </c>
      <c r="C19" s="134"/>
      <c r="D19" s="134"/>
      <c r="E19" s="134"/>
      <c r="F19" s="135"/>
      <c r="G19" s="58">
        <f>(G16+G17+G18)*'Fane 13. Nøgletal'!C22</f>
        <v>143715.2999641932</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30" t="s">
        <v>65</v>
      </c>
      <c r="C22" s="131"/>
      <c r="D22" s="131"/>
      <c r="E22" s="131"/>
      <c r="F22" s="131"/>
      <c r="G22" s="136"/>
      <c r="H22" s="132"/>
      <c r="I22" s="1"/>
    </row>
    <row r="23" spans="1:9" x14ac:dyDescent="0.25">
      <c r="A23" s="1"/>
      <c r="B23" s="133" t="s">
        <v>66</v>
      </c>
      <c r="C23" s="134"/>
      <c r="D23" s="134"/>
      <c r="E23" s="134"/>
      <c r="F23" s="135"/>
      <c r="G23" s="58">
        <f>(SUM(G16:G18)-G19)*(1+'Fane 13. Nøgletal'!C11)</f>
        <v>16652027.00728113</v>
      </c>
      <c r="H23" s="14" t="s">
        <v>3</v>
      </c>
      <c r="I23" s="1"/>
    </row>
    <row r="24" spans="1:9" x14ac:dyDescent="0.25">
      <c r="A24" s="1"/>
      <c r="B24" s="137" t="s">
        <v>67</v>
      </c>
      <c r="C24" s="138"/>
      <c r="D24" s="138"/>
      <c r="E24" s="138"/>
      <c r="F24" s="139"/>
      <c r="G24" s="58">
        <v>134238.18546452557</v>
      </c>
      <c r="H24" s="14" t="s">
        <v>3</v>
      </c>
      <c r="I24" s="1"/>
    </row>
    <row r="25" spans="1:9" x14ac:dyDescent="0.25">
      <c r="A25" s="1"/>
      <c r="B25" s="133" t="s">
        <v>68</v>
      </c>
      <c r="C25" s="134"/>
      <c r="D25" s="134"/>
      <c r="E25" s="134"/>
      <c r="F25" s="135"/>
      <c r="G25" s="58">
        <f>G23*'Fane 13. Nøgletal'!C22+G24*'Fane 13. Nøgletal'!C23</f>
        <v>148684.99943053836</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30" t="s">
        <v>130</v>
      </c>
      <c r="C28" s="131"/>
      <c r="D28" s="131"/>
      <c r="E28" s="131"/>
      <c r="F28" s="131"/>
      <c r="G28" s="136"/>
      <c r="H28" s="132"/>
      <c r="I28" s="1"/>
    </row>
    <row r="29" spans="1:9" x14ac:dyDescent="0.25">
      <c r="A29" s="1"/>
      <c r="B29" s="133" t="s">
        <v>69</v>
      </c>
      <c r="C29" s="134"/>
      <c r="D29" s="134"/>
      <c r="E29" s="134"/>
      <c r="F29" s="135"/>
      <c r="G29" s="58">
        <f>(G23+G24-G25)*(1+'Fane 13. Nøgletal'!C13)</f>
        <v>16840558.671673562</v>
      </c>
      <c r="H29" s="14" t="s">
        <v>3</v>
      </c>
      <c r="I29" s="1"/>
    </row>
    <row r="30" spans="1:9" x14ac:dyDescent="0.25">
      <c r="A30" s="1"/>
      <c r="B30" s="133" t="s">
        <v>123</v>
      </c>
      <c r="C30" s="134"/>
      <c r="D30" s="134"/>
      <c r="E30" s="134"/>
      <c r="F30" s="135"/>
      <c r="G30" s="58">
        <v>599597.74218204</v>
      </c>
      <c r="H30" s="14" t="s">
        <v>3</v>
      </c>
      <c r="I30" s="1"/>
    </row>
    <row r="31" spans="1:9" x14ac:dyDescent="0.25">
      <c r="A31" s="1"/>
      <c r="B31" s="133" t="s">
        <v>131</v>
      </c>
      <c r="C31" s="134"/>
      <c r="D31" s="134"/>
      <c r="E31" s="134"/>
      <c r="F31" s="135"/>
      <c r="G31" s="58">
        <f>(G29+G30)*'Fane 13. Nøgletal'!C24</f>
        <v>479604.30138102901</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30" t="s">
        <v>135</v>
      </c>
      <c r="C34" s="131"/>
      <c r="D34" s="131"/>
      <c r="E34" s="131"/>
      <c r="F34" s="131"/>
      <c r="G34" s="136"/>
      <c r="H34" s="132"/>
      <c r="I34" s="1"/>
    </row>
    <row r="35" spans="1:9" x14ac:dyDescent="0.25">
      <c r="A35" s="1"/>
      <c r="B35" s="133" t="s">
        <v>72</v>
      </c>
      <c r="C35" s="134"/>
      <c r="D35" s="134"/>
      <c r="E35" s="134"/>
      <c r="F35" s="135"/>
      <c r="G35" s="58">
        <f>(G29+G30-G31)*(1+'Fane 13. Nøgletal'!C13)</f>
        <v>17167470.848246761</v>
      </c>
      <c r="H35" s="14" t="s">
        <v>3</v>
      </c>
      <c r="I35" s="1"/>
    </row>
    <row r="36" spans="1:9" x14ac:dyDescent="0.25">
      <c r="A36" s="1"/>
      <c r="B36" s="133" t="s">
        <v>141</v>
      </c>
      <c r="C36" s="134"/>
      <c r="D36" s="134"/>
      <c r="E36" s="134"/>
      <c r="F36" s="135"/>
      <c r="G36" s="58">
        <f>SUM('Fane 3. Omkostninger i ØR2022'!E11)*(1+'Fane 13. Nøgletal'!C14)</f>
        <v>12996.353200790003</v>
      </c>
      <c r="H36" s="14" t="s">
        <v>3</v>
      </c>
      <c r="I36" s="1"/>
    </row>
    <row r="37" spans="1:9" x14ac:dyDescent="0.25">
      <c r="A37" s="1"/>
      <c r="B37" s="133" t="s">
        <v>136</v>
      </c>
      <c r="C37" s="134"/>
      <c r="D37" s="134"/>
      <c r="E37" s="134"/>
      <c r="F37" s="135"/>
      <c r="G37" s="58">
        <f>G35*'Fane 13. Nøgletal'!C24+G36*'Fane 13. Nøgletal'!C25</f>
        <v>472297.79435415764</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30" t="s">
        <v>200</v>
      </c>
      <c r="C40" s="131"/>
      <c r="D40" s="131"/>
      <c r="E40" s="131"/>
      <c r="F40" s="131"/>
      <c r="G40" s="136"/>
      <c r="H40" s="132"/>
      <c r="I40" s="1"/>
    </row>
    <row r="41" spans="1:9" x14ac:dyDescent="0.25">
      <c r="A41" s="1"/>
      <c r="B41" s="133" t="s">
        <v>71</v>
      </c>
      <c r="C41" s="134"/>
      <c r="D41" s="134"/>
      <c r="E41" s="134"/>
      <c r="F41" s="135"/>
      <c r="G41" s="58">
        <f>(G35+G36-G37)*(1+'Fane 13. Nøgletal'!C15)</f>
        <v>17302980.23798592</v>
      </c>
      <c r="H41" s="14" t="s">
        <v>3</v>
      </c>
      <c r="I41" s="1"/>
    </row>
    <row r="42" spans="1:9" x14ac:dyDescent="0.25">
      <c r="A42" s="1"/>
      <c r="B42" s="133" t="s">
        <v>211</v>
      </c>
      <c r="C42" s="134"/>
      <c r="D42" s="134"/>
      <c r="E42" s="134"/>
      <c r="F42" s="135"/>
      <c r="G42" s="63">
        <f>SUM('Fane 2.1. Økonomisk ramme 2023'!C10+'Fane 2.1. Økonomisk ramme 2023'!C12+'Fane 2.1. Økonomisk ramme 2023'!C14)*(1+'Fane 13. Nøgletal'!C15)</f>
        <v>447578.75628426316</v>
      </c>
      <c r="H42" s="14" t="s">
        <v>3</v>
      </c>
      <c r="I42" s="1"/>
    </row>
    <row r="43" spans="1:9" x14ac:dyDescent="0.25">
      <c r="A43" s="1"/>
      <c r="B43" s="133" t="s">
        <v>70</v>
      </c>
      <c r="C43" s="134"/>
      <c r="D43" s="134"/>
      <c r="E43" s="134"/>
      <c r="F43" s="135"/>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30" t="s">
        <v>201</v>
      </c>
      <c r="C46" s="131"/>
      <c r="D46" s="131"/>
      <c r="E46" s="131"/>
      <c r="F46" s="131"/>
      <c r="G46" s="136"/>
      <c r="H46" s="132"/>
      <c r="I46" s="1"/>
    </row>
    <row r="47" spans="1:9" x14ac:dyDescent="0.25">
      <c r="A47" s="1"/>
      <c r="B47" s="133" t="s">
        <v>124</v>
      </c>
      <c r="C47" s="134"/>
      <c r="D47" s="134"/>
      <c r="E47" s="134"/>
      <c r="F47" s="135"/>
      <c r="G47" s="58">
        <f>(G41+G42-G43)*(1+'Fane 13. Nøgletal'!C15)</f>
        <v>18382478.894466203</v>
      </c>
      <c r="H47" s="14" t="s">
        <v>3</v>
      </c>
      <c r="I47" s="1"/>
    </row>
    <row r="48" spans="1:9" x14ac:dyDescent="0.25">
      <c r="A48" s="1"/>
      <c r="B48" s="133" t="s">
        <v>125</v>
      </c>
      <c r="C48" s="134"/>
      <c r="D48" s="134"/>
      <c r="E48" s="134"/>
      <c r="F48" s="135"/>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30" t="s">
        <v>142</v>
      </c>
      <c r="C51" s="131"/>
      <c r="D51" s="131"/>
      <c r="E51" s="131"/>
      <c r="F51" s="131"/>
      <c r="G51" s="136"/>
      <c r="H51" s="132"/>
      <c r="I51" s="1"/>
    </row>
    <row r="52" spans="1:9" x14ac:dyDescent="0.25">
      <c r="A52" s="1"/>
      <c r="B52" s="133" t="s">
        <v>143</v>
      </c>
      <c r="C52" s="134"/>
      <c r="D52" s="134"/>
      <c r="E52" s="134"/>
      <c r="F52" s="135"/>
      <c r="G52" s="58">
        <f>(G47-G48)*(1+'Fane 13. Nøgletal'!C15)</f>
        <v>19036895.143109202</v>
      </c>
      <c r="H52" s="14" t="s">
        <v>3</v>
      </c>
      <c r="I52" s="1"/>
    </row>
    <row r="53" spans="1:9" x14ac:dyDescent="0.25">
      <c r="A53" s="1"/>
      <c r="B53" s="133" t="s">
        <v>144</v>
      </c>
      <c r="C53" s="134"/>
      <c r="D53" s="134"/>
      <c r="E53" s="134"/>
      <c r="F53" s="135"/>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30" t="s">
        <v>177</v>
      </c>
      <c r="C56" s="131"/>
      <c r="D56" s="131"/>
      <c r="E56" s="131"/>
      <c r="F56" s="131"/>
      <c r="G56" s="136"/>
      <c r="H56" s="132"/>
      <c r="I56" s="1"/>
    </row>
    <row r="57" spans="1:9" x14ac:dyDescent="0.25">
      <c r="A57" s="1"/>
      <c r="B57" s="133" t="s">
        <v>178</v>
      </c>
      <c r="C57" s="134"/>
      <c r="D57" s="134"/>
      <c r="E57" s="134"/>
      <c r="F57" s="135"/>
      <c r="G57" s="58">
        <f>(G52-G53)*(1+'Fane 13. Nøgletal'!C15)</f>
        <v>19714608.610203892</v>
      </c>
      <c r="H57" s="14" t="s">
        <v>3</v>
      </c>
      <c r="I57" s="1"/>
    </row>
    <row r="58" spans="1:9" x14ac:dyDescent="0.25">
      <c r="A58" s="1"/>
      <c r="B58" s="133" t="s">
        <v>179</v>
      </c>
      <c r="C58" s="134"/>
      <c r="D58" s="134"/>
      <c r="E58" s="134"/>
      <c r="F58" s="135"/>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9</v>
      </c>
      <c r="C8" s="131"/>
      <c r="D8" s="131"/>
      <c r="E8" s="131"/>
      <c r="F8" s="131"/>
      <c r="G8" s="132"/>
      <c r="H8" s="1"/>
    </row>
    <row r="9" spans="1:8" x14ac:dyDescent="0.25">
      <c r="A9" s="1"/>
      <c r="B9" s="84" t="s">
        <v>180</v>
      </c>
      <c r="C9" s="85"/>
      <c r="D9" s="85"/>
      <c r="E9" s="85"/>
      <c r="F9" s="86"/>
      <c r="G9" s="28">
        <v>1.2088192484377322E-2</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NXZ8igftCbRvlWU3MADRqeGrFe1zhuvEpteDMZwAqKdEfyRU0tdCUFTUCS1NGZoQXoU1wd4BW3P4wDkCBqDevw==" saltValue="vP4twrtFDtQhQcgFR9/BL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Gammelby Dahlgaard</cp:lastModifiedBy>
  <cp:lastPrinted>2016-06-14T12:57:30Z</cp:lastPrinted>
  <dcterms:created xsi:type="dcterms:W3CDTF">2016-06-02T08:51:18Z</dcterms:created>
  <dcterms:modified xsi:type="dcterms:W3CDTF">2023-04-28T10:32:30Z</dcterms:modified>
</cp:coreProperties>
</file>