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STRUER ENERGI VAND AS (V174)\ØR2025\"/>
    </mc:Choice>
  </mc:AlternateContent>
  <xr:revisionPtr revIDLastSave="0" documentId="13_ncr:1_{5431AC09-C517-40B1-96E9-72F2A2B1DB4D}"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ØR2024'!$C$33</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ØR2024'!$C$33</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F10" i="11" l="1"/>
  <c r="F11" i="11" s="1"/>
  <c r="C11" i="29"/>
  <c r="C12" i="29" l="1"/>
  <c r="E11" i="29" l="1"/>
  <c r="C10" i="36" l="1"/>
  <c r="C10" i="30"/>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9" i="2" l="1"/>
  <c r="C16" i="2" s="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<sst xmlns="http://schemas.openxmlformats.org/spreadsheetml/2006/main" count="444" uniqueCount="202">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</sst>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0" fontId="8" fillId="8" borderId="4" xfId="0" applyFont="1" applyFill="1" applyBorder="1" applyAlignment="1" applyProtection="1">
      <alignment horizontal="left" wrapText="1"/>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2"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198</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uy3rEr7m9LGNXg/VLUFAGegebNnWl4NxxejM0gz+X/pwsbtfe2ixLGqCzxO4CqLqSbILNxSfScRYLlTkRsEkaQ==" saltValue="JZtM1o6QDeoqsTkN1B9Ia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2" t="s">
        <v>27</v>
      </c>
      <c r="C9" s="45" t="s">
        <v>145</v>
      </c>
      <c r="D9" s="11"/>
      <c r="E9" s="1"/>
    </row>
    <row r="10" spans="1:5" ht="15" customHeight="1" x14ac:dyDescent="0.25">
      <c r="A10" s="1"/>
      <c r="B10" s="65" t="s">
        <v>199</v>
      </c>
      <c r="C10" s="66">
        <v>6509931</v>
      </c>
      <c r="D10" s="14" t="s">
        <v>3</v>
      </c>
      <c r="E10" s="1"/>
    </row>
    <row r="11" spans="1:5" x14ac:dyDescent="0.25">
      <c r="A11" s="1"/>
      <c r="B11" s="65" t="s">
        <v>200</v>
      </c>
      <c r="C11" s="66">
        <v>58854</v>
      </c>
      <c r="D11" s="14" t="s">
        <v>3</v>
      </c>
      <c r="E11" s="1"/>
    </row>
    <row r="12" spans="1:5" x14ac:dyDescent="0.25">
      <c r="A12" s="1"/>
      <c r="B12" s="65" t="s">
        <v>201</v>
      </c>
      <c r="C12" s="66">
        <v>28836</v>
      </c>
      <c r="D12" s="14" t="s">
        <v>3</v>
      </c>
      <c r="E12" s="1"/>
    </row>
    <row r="13" spans="1:5" x14ac:dyDescent="0.25">
      <c r="A13" s="1"/>
      <c r="B13" s="65"/>
      <c r="C13" s="66"/>
      <c r="D13" s="14" t="s">
        <v>3</v>
      </c>
      <c r="E13" s="1"/>
    </row>
    <row r="14" spans="1:5" x14ac:dyDescent="0.25">
      <c r="A14" s="1"/>
      <c r="B14" s="65"/>
      <c r="C14" s="66"/>
      <c r="D14" s="14" t="s">
        <v>3</v>
      </c>
      <c r="E14" s="1"/>
    </row>
    <row r="15" spans="1:5" x14ac:dyDescent="0.25">
      <c r="A15" s="1"/>
      <c r="B15" s="65"/>
      <c r="C15" s="66"/>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3" t="s">
        <v>143</v>
      </c>
      <c r="C19" s="12">
        <f>SUM(C10:C18)</f>
        <v>6597621</v>
      </c>
      <c r="D19" s="13" t="s">
        <v>3</v>
      </c>
      <c r="E19" s="1"/>
    </row>
    <row r="20" spans="1:5" x14ac:dyDescent="0.25">
      <c r="A20" s="1"/>
      <c r="B20" s="53" t="s">
        <v>144</v>
      </c>
      <c r="C20" s="12">
        <f>C19*(1+'Fane 13. Nøgletal'!C11)^2</f>
        <v>7501466.64125349</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eHHXzI1PF3Hx896DvWL1B5w3BI0+YiDsaTW58Iq/2nk2EUD85pi8cU7dijy+3Oh4CMX8bTMU70kvk0GL/+64FA==" saltValue="c5SatlIscuXhWaFbrbeuy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7" t="s">
        <v>172</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0</v>
      </c>
      <c r="D9" s="39" t="s">
        <v>3</v>
      </c>
      <c r="E9" s="1"/>
    </row>
    <row r="10" spans="1:5" x14ac:dyDescent="0.25">
      <c r="A10" s="1"/>
      <c r="B10" s="56" t="s">
        <v>174</v>
      </c>
      <c r="C10" s="9">
        <v>857839.38537023589</v>
      </c>
      <c r="D10" s="14" t="s">
        <v>3</v>
      </c>
      <c r="E10" s="1"/>
    </row>
    <row r="11" spans="1:5" x14ac:dyDescent="0.25">
      <c r="A11" s="1"/>
      <c r="B11" s="53"/>
      <c r="C11" s="54"/>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0</v>
      </c>
      <c r="D15" s="14" t="s">
        <v>3</v>
      </c>
      <c r="E15" s="1"/>
    </row>
    <row r="16" spans="1:5" x14ac:dyDescent="0.25">
      <c r="A16" s="1"/>
      <c r="B16" s="56" t="s">
        <v>185</v>
      </c>
      <c r="C16" s="9">
        <f>IF(SUM(C9)&gt;0,SUM(C9),0)</f>
        <v>0</v>
      </c>
      <c r="D16" s="14" t="s">
        <v>3</v>
      </c>
      <c r="E16" s="1"/>
    </row>
    <row r="17" spans="1:5" ht="26.25" x14ac:dyDescent="0.25">
      <c r="A17" s="1"/>
      <c r="B17" s="72" t="s">
        <v>179</v>
      </c>
      <c r="C17" s="62">
        <f>IF(SUM(C15:C16)&gt;0,0,SUM(C15:C16))</f>
        <v>0</v>
      </c>
      <c r="D17" s="17" t="s">
        <v>3</v>
      </c>
      <c r="E17" s="1"/>
    </row>
    <row r="18" spans="1:5" x14ac:dyDescent="0.25">
      <c r="A18" s="1"/>
      <c r="B18" s="53"/>
      <c r="C18" s="54"/>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19441671.012610212</v>
      </c>
      <c r="D21" s="14" t="s">
        <v>3</v>
      </c>
      <c r="E21" s="1"/>
    </row>
    <row r="22" spans="1:5" x14ac:dyDescent="0.25">
      <c r="A22" s="1"/>
      <c r="B22" s="56" t="s">
        <v>182</v>
      </c>
      <c r="C22" s="9">
        <v>16364153</v>
      </c>
      <c r="D22" s="14" t="s">
        <v>3</v>
      </c>
      <c r="E22" s="1"/>
    </row>
    <row r="23" spans="1:5" x14ac:dyDescent="0.25">
      <c r="A23" s="1"/>
      <c r="B23" s="56" t="s">
        <v>28</v>
      </c>
      <c r="C23" s="9">
        <v>0</v>
      </c>
      <c r="D23" s="14" t="s">
        <v>3</v>
      </c>
      <c r="E23" s="1"/>
    </row>
    <row r="24" spans="1:5" x14ac:dyDescent="0.25">
      <c r="A24" s="1"/>
      <c r="B24" s="74" t="s">
        <v>183</v>
      </c>
      <c r="C24" s="46">
        <f>C21-C22-C23</f>
        <v>3077518.012610212</v>
      </c>
      <c r="D24" s="17" t="s">
        <v>3</v>
      </c>
      <c r="E24" s="1"/>
    </row>
    <row r="25" spans="1:5" x14ac:dyDescent="0.25">
      <c r="A25" s="1"/>
      <c r="B25" s="53"/>
      <c r="C25" s="54"/>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qRJuNijRu+WF9nnaOS1oAAQzXc0kaDMmTZKfoTMLz0MsenBqxevXoCCmgeapf9BsQ9rhZNeahPVejWCZEsMvSg==" saltValue="JVhGZOj/8v7sejTI5zcwK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7" t="s">
        <v>96</v>
      </c>
      <c r="C3" s="97"/>
      <c r="D3" s="97"/>
      <c r="E3" s="1"/>
    </row>
    <row r="4" spans="1:5" ht="15" customHeight="1" x14ac:dyDescent="0.25">
      <c r="A4" s="1"/>
      <c r="B4" s="97"/>
      <c r="C4" s="97"/>
      <c r="D4" s="97"/>
      <c r="E4" s="1"/>
    </row>
    <row r="5" spans="1:5" x14ac:dyDescent="0.25">
      <c r="A5" s="1"/>
      <c r="B5" s="97"/>
      <c r="C5" s="97"/>
      <c r="D5" s="97"/>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MmVpvvDi/uCzJ4yQf+1vDd1Z7g/RQ2XzkacbBraioZdB/7LvP/xER//O+S7JntiVCB812nKdcm/y6rZV2Nmg7g==" saltValue="qKFpjY4xHCNrzxGpVLkgg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3" t="s">
        <v>146</v>
      </c>
      <c r="C11" s="54"/>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g58G4K0QgpQilc4ojyLv1hCQ8f+4e1vaudfY4+gMLIeQx8T5phRATKoKhH4DRwQgIDEPbPWG0O6Ij18kxoDjuQ==" saltValue="29jXOEtZ96YL/XT29X06/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3" t="s">
        <v>34</v>
      </c>
      <c r="C8" s="54"/>
      <c r="D8" s="54"/>
      <c r="E8" s="54"/>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c r="C11" s="21"/>
      <c r="D11" s="14" t="s">
        <v>3</v>
      </c>
      <c r="E11" s="9"/>
      <c r="F11" s="14" t="s">
        <v>3</v>
      </c>
      <c r="G11" s="1"/>
    </row>
    <row r="12" spans="1:7" x14ac:dyDescent="0.25">
      <c r="A12" s="1"/>
      <c r="B12" s="26"/>
      <c r="C12" s="21"/>
      <c r="D12" s="14" t="s">
        <v>3</v>
      </c>
      <c r="E12" s="9"/>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3" t="s">
        <v>112</v>
      </c>
      <c r="C17" s="12">
        <f>SUM(C10:C16)</f>
        <v>0</v>
      </c>
      <c r="D17" s="13" t="s">
        <v>3</v>
      </c>
      <c r="E17" s="12">
        <f>SUM(E10:E16)</f>
        <v>0</v>
      </c>
      <c r="F17" s="13" t="s">
        <v>3</v>
      </c>
      <c r="G17" s="1"/>
    </row>
    <row r="18" spans="1:7" x14ac:dyDescent="0.25">
      <c r="A18" s="1"/>
      <c r="B18" s="53" t="s">
        <v>147</v>
      </c>
      <c r="C18" s="12">
        <f>C17*(1+'Fane 13. Nøgletal'!C11)</f>
        <v>0</v>
      </c>
      <c r="D18" s="13" t="s">
        <v>3</v>
      </c>
      <c r="E18" s="12">
        <f>E17*(1+'Fane 13. Nøgletal'!C11)</f>
        <v>0</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nEPNa6sO+DLg74/UkpEKeJdXfrvRgJcw8hWW1ph006v5ISCm35+9SwnHKhOyauFt+6cp40Ujv8niYRD48M5Jhw==" saltValue="5oNan9K48+wnxwbE7Odb8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3" t="s">
        <v>148</v>
      </c>
      <c r="C13" s="12">
        <f>SUM(C10:C12)</f>
        <v>0</v>
      </c>
      <c r="D13" s="13" t="s">
        <v>3</v>
      </c>
      <c r="E13" s="12">
        <f>SUM(E10:E12)</f>
        <v>0</v>
      </c>
      <c r="F13" s="13" t="s">
        <v>3</v>
      </c>
      <c r="G13" s="1"/>
    </row>
    <row r="14" spans="1:7" x14ac:dyDescent="0.25">
      <c r="A14" s="1"/>
      <c r="B14" s="53"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d9phjaB1GvDicoG5XdIoK1umLVqa5Ejic6NmMLFff8I5zljALjl3qudf++tpnrca8ohrZRFmEQnDzYBtKEpNkg==" saltValue="haEmWQbDX8rvijPeXVBQi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93</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5"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Kd0qe3kK5AT2U9LEURO1f2VsNF6qWZdM7caLqimeyabG0s1FKGHy6BPjDO4u5oDxB4x86FHDqBhdHsEA1jq5KQ==" saltValue="ySO42gSfpR6x9GIAM4Ctc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94</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5" t="s">
        <v>16</v>
      </c>
      <c r="C9" s="52" t="s">
        <v>10</v>
      </c>
      <c r="D9" s="27"/>
      <c r="E9" s="52" t="s">
        <v>26</v>
      </c>
      <c r="F9" s="27"/>
      <c r="G9" s="1"/>
    </row>
    <row r="10" spans="1:7" x14ac:dyDescent="0.25">
      <c r="A10" s="1"/>
      <c r="B10" s="60" t="s">
        <v>191</v>
      </c>
      <c r="C10" s="9">
        <v>0</v>
      </c>
      <c r="D10" s="14" t="s">
        <v>3</v>
      </c>
      <c r="E10" s="9">
        <v>0</v>
      </c>
      <c r="F10" s="14" t="s">
        <v>3</v>
      </c>
      <c r="G10" s="1"/>
    </row>
    <row r="11" spans="1:7" x14ac:dyDescent="0.25">
      <c r="A11" s="1"/>
      <c r="B11" s="53" t="s">
        <v>122</v>
      </c>
      <c r="C11" s="12">
        <f>SUM(C10:C10)</f>
        <v>0</v>
      </c>
      <c r="D11" s="13" t="s">
        <v>3</v>
      </c>
      <c r="E11" s="12">
        <f>SUM(E10:E10)</f>
        <v>0</v>
      </c>
      <c r="F11" s="13" t="s">
        <v>3</v>
      </c>
      <c r="G11" s="1"/>
    </row>
    <row r="12" spans="1:7" x14ac:dyDescent="0.25">
      <c r="A12" s="1"/>
      <c r="B12" s="53"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I0yM1LPukWllMgZ39TrjlwkC36WuDk5pr6sclAZSYIq4qyMbMS0ZhQFO6zu7PlDuljcnKaPV+a/t64vwQkQ0Q==" saltValue="d0UHUrkCaAFKXRNvvsieM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7" t="s">
        <v>95</v>
      </c>
      <c r="C3" s="97"/>
      <c r="D3" s="1"/>
    </row>
    <row r="4" spans="1:4" ht="15" customHeight="1" x14ac:dyDescent="0.25">
      <c r="A4" s="1"/>
      <c r="B4" s="97"/>
      <c r="C4" s="97"/>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3"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3"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4">
        <v>0</v>
      </c>
      <c r="D18" s="1"/>
    </row>
    <row r="19" spans="1:4" x14ac:dyDescent="0.25">
      <c r="A19" s="1"/>
      <c r="B19" s="53"/>
      <c r="C19" s="35"/>
      <c r="D19" s="1"/>
    </row>
    <row r="20" spans="1:4" x14ac:dyDescent="0.25">
      <c r="A20" s="1"/>
      <c r="B20" s="1"/>
      <c r="C20" s="34"/>
      <c r="D20" s="1"/>
    </row>
    <row r="21" spans="1:4" x14ac:dyDescent="0.25">
      <c r="A21" s="1"/>
      <c r="B21" s="1"/>
      <c r="C21" s="34"/>
      <c r="D21" s="1"/>
    </row>
    <row r="22" spans="1:4" x14ac:dyDescent="0.25">
      <c r="A22" s="1"/>
      <c r="B22" s="53" t="s">
        <v>45</v>
      </c>
      <c r="C22" s="35"/>
      <c r="D22" s="1"/>
    </row>
    <row r="23" spans="1:4" x14ac:dyDescent="0.25">
      <c r="A23" s="1"/>
      <c r="B23" s="28" t="s">
        <v>56</v>
      </c>
      <c r="C23" s="36">
        <v>0.02</v>
      </c>
      <c r="D23" s="1"/>
    </row>
    <row r="24" spans="1:4" x14ac:dyDescent="0.25">
      <c r="A24" s="1"/>
      <c r="B24" s="53"/>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Lckf4V8CKhT67n7ZQ/MfiiminLXGKDFhvrdL4cxZ3/Cr9e9l3jp39R0lKdvyV2iLkaj+5EKpsgoceryHUlQUjg==" saltValue="QITWvxPbG8AAjj33p2/gj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12</v>
      </c>
      <c r="C8" s="54"/>
      <c r="D8" s="19"/>
      <c r="E8" s="1"/>
    </row>
    <row r="9" spans="1:5" x14ac:dyDescent="0.25">
      <c r="A9" s="1"/>
      <c r="B9" s="47" t="s">
        <v>68</v>
      </c>
      <c r="C9" s="7">
        <f>'Fane 3. Omkostninger i ØR2024'!C20</f>
        <v>11758591.069812624</v>
      </c>
      <c r="D9" s="8" t="s">
        <v>3</v>
      </c>
      <c r="E9" s="1"/>
    </row>
    <row r="10" spans="1:5" ht="17.100000000000001" customHeight="1" x14ac:dyDescent="0.25">
      <c r="A10" s="1"/>
      <c r="B10" s="24" t="s">
        <v>32</v>
      </c>
      <c r="C10" s="7">
        <f>'Fane 10.1. Varige tillæg'!C18</f>
        <v>0</v>
      </c>
      <c r="D10" s="8" t="s">
        <v>3</v>
      </c>
      <c r="E10" s="1"/>
    </row>
    <row r="11" spans="1:5" ht="17.100000000000001" customHeight="1" x14ac:dyDescent="0.25">
      <c r="A11" s="1"/>
      <c r="B11" s="24" t="s">
        <v>33</v>
      </c>
      <c r="C11" s="9">
        <f>'Fane 10.1. Varige tillæg'!E18</f>
        <v>0</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779594.58792857698</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-96957.198206181216</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12441228.459535019</v>
      </c>
      <c r="D20" s="11" t="s">
        <v>3</v>
      </c>
      <c r="E20" s="1"/>
    </row>
    <row r="21" spans="1:5" ht="15" customHeight="1" x14ac:dyDescent="0.25">
      <c r="A21" s="1"/>
      <c r="B21" s="53" t="s">
        <v>11</v>
      </c>
      <c r="C21" s="54"/>
      <c r="D21" s="19"/>
      <c r="E21" s="1"/>
    </row>
    <row r="22" spans="1:5" ht="15" customHeight="1" x14ac:dyDescent="0.25">
      <c r="A22" s="1"/>
      <c r="B22" s="55" t="s">
        <v>11</v>
      </c>
      <c r="C22" s="10">
        <f>'Fane 6. Ikke-påvirkelige omk.'!C20</f>
        <v>7501466.64125349</v>
      </c>
      <c r="D22" s="11" t="s">
        <v>3</v>
      </c>
      <c r="E22" s="1"/>
    </row>
    <row r="23" spans="1:5" ht="15" customHeight="1" x14ac:dyDescent="0.25">
      <c r="A23" s="1"/>
      <c r="B23" s="53" t="s">
        <v>39</v>
      </c>
      <c r="C23" s="54"/>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0</v>
      </c>
      <c r="D28" s="11" t="s">
        <v>3</v>
      </c>
      <c r="E28" s="1"/>
    </row>
    <row r="29" spans="1:5" ht="15" customHeight="1" x14ac:dyDescent="0.25">
      <c r="A29" s="1"/>
      <c r="B29" s="25" t="s">
        <v>65</v>
      </c>
      <c r="C29" s="54"/>
      <c r="D29" s="19"/>
      <c r="E29" s="1"/>
    </row>
    <row r="30" spans="1:5" x14ac:dyDescent="0.25">
      <c r="A30" s="1"/>
      <c r="B30" s="58" t="s">
        <v>66</v>
      </c>
      <c r="C30" s="10">
        <f>'Fane 7. Kontrol af ØR2023'!C30</f>
        <v>0</v>
      </c>
      <c r="D30" s="11" t="s">
        <v>3</v>
      </c>
      <c r="E30" s="1"/>
    </row>
    <row r="31" spans="1:5" x14ac:dyDescent="0.25">
      <c r="A31" s="1"/>
      <c r="B31" s="25" t="s">
        <v>70</v>
      </c>
      <c r="C31" s="54"/>
      <c r="D31" s="19"/>
      <c r="E31" s="1"/>
    </row>
    <row r="32" spans="1:5" x14ac:dyDescent="0.25">
      <c r="A32" s="1"/>
      <c r="B32" s="58" t="s">
        <v>71</v>
      </c>
      <c r="C32" s="10">
        <f>'Fane 8. Skattesagen'!C14</f>
        <v>0</v>
      </c>
      <c r="D32" s="11" t="s">
        <v>3</v>
      </c>
      <c r="E32" s="1"/>
    </row>
    <row r="33" spans="1:5" x14ac:dyDescent="0.25">
      <c r="A33" s="1"/>
      <c r="B33" s="53" t="s">
        <v>69</v>
      </c>
      <c r="C33" s="29">
        <f>SUM(C20,C22,C28,C30,C32)</f>
        <v>19942695.100788511</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YtE3qnQxtoOfEQmWz43gqWCpDSyf1ltkXGLDsQ+RydHlnn0yBCALMGGWJu8AeOc3fu2QgIjh6hc6Vi3EzbmJQ==" saltValue="vpHBjE9fmdW8p111/EH+D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72</v>
      </c>
      <c r="C9" s="7">
        <f>'Fane 2.1. Økonomisk ramme 2025'!C20</f>
        <v>12441228.459535019</v>
      </c>
      <c r="D9" s="8" t="s">
        <v>3</v>
      </c>
      <c r="E9" s="1"/>
    </row>
    <row r="10" spans="1:5" ht="15" customHeight="1" x14ac:dyDescent="0.25">
      <c r="A10" s="1"/>
      <c r="B10" s="51" t="s">
        <v>17</v>
      </c>
      <c r="C10" s="41">
        <f>C9*'Fane 13. Nøgletal'!C11</f>
        <v>824853.44686717179</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drift'!C22</f>
        <v>-101317.75123830599</v>
      </c>
      <c r="D12" s="8" t="s">
        <v>3</v>
      </c>
      <c r="E12" s="1"/>
    </row>
    <row r="13" spans="1:5" ht="15" customHeight="1" x14ac:dyDescent="0.25">
      <c r="A13" s="1"/>
      <c r="B13" s="51" t="s">
        <v>22</v>
      </c>
      <c r="C13" s="9">
        <f>-'Fane 4.2. Gen. krav - anlæg'!C22</f>
        <v>0</v>
      </c>
      <c r="D13" s="8" t="s">
        <v>3</v>
      </c>
      <c r="E13" s="1"/>
    </row>
    <row r="14" spans="1:5" ht="15" customHeight="1" x14ac:dyDescent="0.25">
      <c r="A14" s="1"/>
      <c r="B14" s="52" t="s">
        <v>19</v>
      </c>
      <c r="C14" s="10">
        <f>SUM(C9:C13)</f>
        <v>13164764.155163886</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f>
        <v>7998813.8795685964</v>
      </c>
      <c r="D16" s="11" t="s">
        <v>3</v>
      </c>
      <c r="E16" s="1"/>
    </row>
    <row r="17" spans="1:5" x14ac:dyDescent="0.25">
      <c r="A17" s="1"/>
      <c r="B17" s="25" t="s">
        <v>65</v>
      </c>
      <c r="C17" s="54"/>
      <c r="D17" s="19"/>
      <c r="E17" s="1"/>
    </row>
    <row r="18" spans="1:5" ht="15" customHeight="1" x14ac:dyDescent="0.25">
      <c r="A18" s="1"/>
      <c r="B18" s="45" t="s">
        <v>66</v>
      </c>
      <c r="C18" s="10">
        <f>'Fane 7. Kontrol af ØR2023'!C30</f>
        <v>0</v>
      </c>
      <c r="D18" s="11" t="s">
        <v>3</v>
      </c>
      <c r="E18" s="1"/>
    </row>
    <row r="19" spans="1:5" x14ac:dyDescent="0.25">
      <c r="A19" s="1"/>
      <c r="B19" s="25" t="s">
        <v>70</v>
      </c>
      <c r="C19" s="54"/>
      <c r="D19" s="19"/>
      <c r="E19" s="1"/>
    </row>
    <row r="20" spans="1:5" x14ac:dyDescent="0.25">
      <c r="A20" s="1"/>
      <c r="B20" s="58" t="s">
        <v>71</v>
      </c>
      <c r="C20" s="10">
        <f>'Fane 8. Skattesagen'!C15</f>
        <v>0</v>
      </c>
      <c r="D20" s="11" t="s">
        <v>3</v>
      </c>
      <c r="E20" s="1"/>
    </row>
    <row r="21" spans="1:5" x14ac:dyDescent="0.25">
      <c r="A21" s="1"/>
      <c r="B21" s="53" t="s">
        <v>73</v>
      </c>
      <c r="C21" s="12">
        <f>SUM(C14,C16,C18,C20)</f>
        <v>21163578.034732483</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vU91ig30VW1tyNYqaNxf15DvqAZ9s7r/zCOlp3K+TtT1sr8IG0ri/eHprLewWeYJ9cbcnfvkIiQhr+gMSPkVjA==" saltValue="cokWZP1DmxYeR6zUIRgpZ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108</v>
      </c>
      <c r="C9" s="7">
        <f>'Fane 2.2. Økonomisk ramme 2026'!C14</f>
        <v>13164764.155163886</v>
      </c>
      <c r="D9" s="8" t="s">
        <v>3</v>
      </c>
      <c r="E9" s="1"/>
    </row>
    <row r="10" spans="1:5" ht="15" customHeight="1" x14ac:dyDescent="0.25">
      <c r="A10" s="1"/>
      <c r="B10" s="51" t="s">
        <v>17</v>
      </c>
      <c r="C10" s="41">
        <f>C9*'Fane 13. Nøgletal'!C11</f>
        <v>872823.86348736566</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drift'!C27</f>
        <v>-105874.41578249758</v>
      </c>
      <c r="D12" s="8" t="s">
        <v>3</v>
      </c>
      <c r="E12" s="1"/>
    </row>
    <row r="13" spans="1:5" ht="15" customHeight="1" x14ac:dyDescent="0.25">
      <c r="A13" s="1"/>
      <c r="B13" s="51" t="s">
        <v>22</v>
      </c>
      <c r="C13" s="9">
        <f>-'Fane 4.2. Gen. krav - anlæg'!C27</f>
        <v>0</v>
      </c>
      <c r="D13" s="8" t="s">
        <v>3</v>
      </c>
      <c r="E13" s="1"/>
    </row>
    <row r="14" spans="1:5" ht="15" customHeight="1" x14ac:dyDescent="0.25">
      <c r="A14" s="1"/>
      <c r="B14" s="52" t="s">
        <v>19</v>
      </c>
      <c r="C14" s="10">
        <f>SUM(C9:C13)</f>
        <v>13931713.602868753</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Nøgletal'!C11)^2</f>
        <v>8529135.2397839949</v>
      </c>
      <c r="D16" s="11" t="s">
        <v>3</v>
      </c>
      <c r="E16" s="1"/>
    </row>
    <row r="17" spans="1:5" x14ac:dyDescent="0.25">
      <c r="A17" s="1"/>
      <c r="B17" s="25" t="s">
        <v>65</v>
      </c>
      <c r="C17" s="54"/>
      <c r="D17" s="19"/>
      <c r="E17" s="1"/>
    </row>
    <row r="18" spans="1:5" ht="15" customHeight="1" x14ac:dyDescent="0.25">
      <c r="A18" s="1"/>
      <c r="B18" s="45" t="s">
        <v>66</v>
      </c>
      <c r="C18" s="10">
        <v>0</v>
      </c>
      <c r="D18" s="11" t="s">
        <v>3</v>
      </c>
      <c r="E18" s="1"/>
    </row>
    <row r="19" spans="1:5" x14ac:dyDescent="0.25">
      <c r="A19" s="1"/>
      <c r="B19" s="53" t="s">
        <v>70</v>
      </c>
      <c r="C19" s="54"/>
      <c r="D19" s="19"/>
      <c r="E19" s="1"/>
    </row>
    <row r="20" spans="1:5" x14ac:dyDescent="0.25">
      <c r="A20" s="1"/>
      <c r="B20" s="58" t="s">
        <v>71</v>
      </c>
      <c r="C20" s="10">
        <f>'Fane 8. Skattesagen'!C16</f>
        <v>0</v>
      </c>
      <c r="D20" s="11" t="s">
        <v>3</v>
      </c>
      <c r="E20" s="1"/>
    </row>
    <row r="21" spans="1:5" x14ac:dyDescent="0.25">
      <c r="A21" s="1"/>
      <c r="B21" s="53" t="s">
        <v>109</v>
      </c>
      <c r="C21" s="12">
        <f>SUM(C14,C16,C18,C20)</f>
        <v>22460848.842652746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Dsynl9K/BrVizaPLCWniSWFuftHS2yAwJHwl4LuqhHxWQ/LxFWDqUyiI2WElk0ENgMpkWAVp9iN1D3sET7KYw==" saltValue="ebDvgEbplwGg0O0ezZ+88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132</v>
      </c>
      <c r="C9" s="7">
        <f>'Fane 2.3. Økonomisk ramme 2027'!C14</f>
        <v>13931713.602868753</v>
      </c>
      <c r="D9" s="8" t="s">
        <v>3</v>
      </c>
      <c r="E9" s="1"/>
    </row>
    <row r="10" spans="1:5" ht="15" customHeight="1" x14ac:dyDescent="0.25">
      <c r="A10" s="1"/>
      <c r="B10" s="51" t="s">
        <v>17</v>
      </c>
      <c r="C10" s="9">
        <f>C9*'Fane 13. Nøgletal'!C11</f>
        <v>923672.61187019828</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drift'!C32</f>
        <v>-110636.01175789964</v>
      </c>
      <c r="D12" s="8" t="s">
        <v>3</v>
      </c>
      <c r="E12" s="1"/>
    </row>
    <row r="13" spans="1:5" ht="15" customHeight="1" x14ac:dyDescent="0.25">
      <c r="A13" s="1"/>
      <c r="B13" s="51" t="s">
        <v>22</v>
      </c>
      <c r="C13" s="9">
        <f>-'Fane 4.2. Gen. krav - anlæg'!C32</f>
        <v>0</v>
      </c>
      <c r="D13" s="8" t="s">
        <v>3</v>
      </c>
      <c r="E13" s="1"/>
    </row>
    <row r="14" spans="1:5" x14ac:dyDescent="0.25">
      <c r="A14" s="1"/>
      <c r="B14" s="52" t="s">
        <v>19</v>
      </c>
      <c r="C14" s="10">
        <f>SUM(C9:C13)</f>
        <v>14744750.202981051</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Nøgletal'!C11)^3</f>
        <v>9094616.9061816745</v>
      </c>
      <c r="D16" s="11" t="s">
        <v>3</v>
      </c>
      <c r="E16" s="1"/>
    </row>
    <row r="17" spans="1:5" x14ac:dyDescent="0.25">
      <c r="A17" s="1"/>
      <c r="B17" s="25" t="s">
        <v>70</v>
      </c>
      <c r="C17" s="54"/>
      <c r="D17" s="19"/>
      <c r="E17" s="1"/>
    </row>
    <row r="18" spans="1:5" x14ac:dyDescent="0.25">
      <c r="A18" s="1"/>
      <c r="B18" s="58" t="s">
        <v>71</v>
      </c>
      <c r="C18" s="10">
        <f>'Fane 8. Skattesagen'!C17</f>
        <v>0</v>
      </c>
      <c r="D18" s="11" t="s">
        <v>3</v>
      </c>
      <c r="E18" s="1"/>
    </row>
    <row r="19" spans="1:5" x14ac:dyDescent="0.25">
      <c r="A19" s="1"/>
      <c r="B19" s="53" t="s">
        <v>133</v>
      </c>
      <c r="C19" s="12">
        <f>SUM(C14,C16,C18)</f>
        <v>23839367.109162726</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TNc6BnX9oR1A6zn0G4v9AOzx9vMltznfDKg39NYWf2JX2wk+WkOA8u0vcYQUqV3PpteJ7ttee7DHh0O09AlYg==" saltValue="y/4RK1oxYvCgXy+5GwkhK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9"/>
  <sheetViews>
    <sheetView showGridLines="0" zoomScaleNormal="100" workbookViewId="0"/>
  </sheetViews>
  <sheetFormatPr defaultColWidth="0" defaultRowHeight="15" zeroHeight="1" x14ac:dyDescent="0.25"/>
  <cols>
    <col min="1" max="1" width="10.7109375" style="2" customWidth="1"/>
    <col min="2" max="2" width="47.28515625" style="2" customWidth="1"/>
    <col min="3" max="3" width="14.7109375" style="2" customWidth="1"/>
    <col min="4" max="4" width="3.5703125" style="2" customWidth="1"/>
    <col min="5" max="5" width="10.710937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7" t="s">
        <v>134</v>
      </c>
      <c r="C3" s="97"/>
      <c r="D3" s="97"/>
      <c r="E3" s="1"/>
    </row>
    <row r="4" spans="1:5" ht="15" customHeight="1" x14ac:dyDescent="0.25">
      <c r="A4" s="1"/>
      <c r="B4" s="97"/>
      <c r="C4" s="97"/>
      <c r="D4" s="9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135</v>
      </c>
      <c r="C8" s="54"/>
      <c r="D8" s="19"/>
      <c r="E8" s="1"/>
    </row>
    <row r="9" spans="1:5" ht="15" customHeight="1" x14ac:dyDescent="0.25">
      <c r="A9" s="1"/>
      <c r="B9" s="51" t="s">
        <v>63</v>
      </c>
      <c r="C9" s="7">
        <v>11443970.052312413</v>
      </c>
      <c r="D9" s="8" t="s">
        <v>3</v>
      </c>
      <c r="E9" s="1"/>
    </row>
    <row r="10" spans="1:5" ht="15" customHeight="1" x14ac:dyDescent="0.25">
      <c r="A10" s="1"/>
      <c r="B10" s="24" t="s">
        <v>32</v>
      </c>
      <c r="C10" s="7">
        <v>0</v>
      </c>
      <c r="D10" s="8" t="s">
        <v>3</v>
      </c>
      <c r="E10" s="1"/>
    </row>
    <row r="11" spans="1:5" ht="15" customHeight="1" x14ac:dyDescent="0.25">
      <c r="A11" s="1"/>
      <c r="B11" s="24" t="s">
        <v>33</v>
      </c>
      <c r="C11" s="9">
        <v>0</v>
      </c>
      <c r="D11" s="8" t="s">
        <v>3</v>
      </c>
      <c r="E11" s="1"/>
    </row>
    <row r="12" spans="1:5"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407405.33386232192</v>
      </c>
      <c r="D16" s="8" t="s">
        <v>3</v>
      </c>
      <c r="E16" s="1"/>
    </row>
    <row r="17" spans="1:5" x14ac:dyDescent="0.25">
      <c r="A17" s="1"/>
      <c r="B17" s="24" t="s">
        <v>9</v>
      </c>
      <c r="C17" s="9">
        <v>0</v>
      </c>
      <c r="D17" s="8" t="s">
        <v>3</v>
      </c>
      <c r="E17" s="1"/>
    </row>
    <row r="18" spans="1:5" x14ac:dyDescent="0.25">
      <c r="A18" s="1"/>
      <c r="B18" s="24" t="s">
        <v>21</v>
      </c>
      <c r="C18" s="9">
        <v>-92784.316362111611</v>
      </c>
      <c r="D18" s="8" t="s">
        <v>3</v>
      </c>
      <c r="E18" s="1"/>
    </row>
    <row r="19" spans="1:5" x14ac:dyDescent="0.25">
      <c r="A19" s="1"/>
      <c r="B19" s="24" t="s">
        <v>22</v>
      </c>
      <c r="C19" s="9">
        <v>0</v>
      </c>
      <c r="D19" s="8" t="s">
        <v>3</v>
      </c>
      <c r="E19" s="1"/>
    </row>
    <row r="20" spans="1:5" x14ac:dyDescent="0.25">
      <c r="A20" s="1"/>
      <c r="B20" s="74" t="s">
        <v>19</v>
      </c>
      <c r="C20" s="10">
        <v>11758591.069812624</v>
      </c>
      <c r="D20" s="11" t="s">
        <v>3</v>
      </c>
      <c r="E20" s="1"/>
    </row>
    <row r="21" spans="1:5" x14ac:dyDescent="0.25">
      <c r="A21" s="1"/>
      <c r="B21" s="53" t="s">
        <v>11</v>
      </c>
      <c r="C21" s="54"/>
      <c r="D21" s="19"/>
      <c r="E21" s="1"/>
    </row>
    <row r="22" spans="1:5" x14ac:dyDescent="0.25">
      <c r="A22" s="1"/>
      <c r="B22" s="55" t="s">
        <v>11</v>
      </c>
      <c r="C22" s="10">
        <v>7559658.9703667192</v>
      </c>
      <c r="D22" s="11" t="s">
        <v>3</v>
      </c>
      <c r="E22" s="1"/>
    </row>
    <row r="23" spans="1:5" ht="15" customHeight="1" x14ac:dyDescent="0.25">
      <c r="A23" s="1"/>
      <c r="B23" s="53" t="s">
        <v>39</v>
      </c>
      <c r="C23" s="54"/>
      <c r="D23" s="19"/>
      <c r="E23" s="1"/>
    </row>
    <row r="24" spans="1:5" ht="14.2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193</v>
      </c>
      <c r="C26" s="9">
        <v>0</v>
      </c>
      <c r="D26" s="8" t="s">
        <v>3</v>
      </c>
      <c r="E26" s="1"/>
    </row>
    <row r="27" spans="1:5" ht="14.25" customHeight="1" x14ac:dyDescent="0.25">
      <c r="A27" s="1"/>
      <c r="B27" s="63" t="s">
        <v>194</v>
      </c>
      <c r="C27" s="9">
        <v>0</v>
      </c>
      <c r="D27" s="8" t="s">
        <v>3</v>
      </c>
      <c r="E27" s="1"/>
    </row>
    <row r="28" spans="1:5" x14ac:dyDescent="0.25">
      <c r="A28" s="1"/>
      <c r="B28" s="74" t="s">
        <v>40</v>
      </c>
      <c r="C28" s="10">
        <v>0</v>
      </c>
      <c r="D28" s="11" t="s">
        <v>3</v>
      </c>
      <c r="E28" s="1"/>
    </row>
    <row r="29" spans="1:5" x14ac:dyDescent="0.25">
      <c r="A29" s="1"/>
      <c r="B29" s="25" t="s">
        <v>65</v>
      </c>
      <c r="C29" s="54">
        <v>0</v>
      </c>
      <c r="D29" s="19"/>
      <c r="E29" s="1"/>
    </row>
    <row r="30" spans="1:5" ht="15" customHeight="1" x14ac:dyDescent="0.25">
      <c r="A30" s="1"/>
      <c r="B30" s="58" t="s">
        <v>66</v>
      </c>
      <c r="C30" s="10">
        <v>0</v>
      </c>
      <c r="D30" s="11" t="s">
        <v>3</v>
      </c>
      <c r="E30" s="1"/>
    </row>
    <row r="31" spans="1:5" ht="15.6" customHeight="1" x14ac:dyDescent="0.25">
      <c r="A31" s="1"/>
      <c r="B31" s="25" t="s">
        <v>70</v>
      </c>
      <c r="C31" s="54"/>
      <c r="D31" s="19"/>
      <c r="E31" s="1"/>
    </row>
    <row r="32" spans="1:5" ht="15.6" customHeight="1" x14ac:dyDescent="0.25">
      <c r="A32" s="1"/>
      <c r="B32" s="58" t="s">
        <v>71</v>
      </c>
      <c r="C32" s="10">
        <v>0</v>
      </c>
      <c r="D32" s="11" t="s">
        <v>3</v>
      </c>
      <c r="E32" s="1"/>
    </row>
    <row r="33" spans="1:5" x14ac:dyDescent="0.25">
      <c r="A33" s="1"/>
      <c r="B33" s="53" t="s">
        <v>67</v>
      </c>
      <c r="C33" s="12">
        <v>19318250.040179342</v>
      </c>
      <c r="D33" s="13" t="s">
        <v>3</v>
      </c>
      <c r="E33" s="1"/>
    </row>
    <row r="34" spans="1:5" ht="30" customHeight="1" x14ac:dyDescent="0.25">
      <c r="A34" s="1"/>
      <c r="B34" s="96" t="s">
        <v>195</v>
      </c>
      <c r="C34" s="96"/>
      <c r="D34" s="96"/>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k8MzmRQyll6+5IR8p2yJSdbGVG6YetVIx/LLIArQkdIacoCFueluElBCxnw+MMOs5yIowmnKZory1U58j7GWg==" saltValue="8eDS0qOAK8MD/GiJzSKNdQ==" spinCount="100000" sheet="1" objects="1" scenarios="1"/>
  <mergeCells count="2">
    <mergeCell ref="B34:D34"/>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7" t="s">
        <v>53</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4639215.8181055803</v>
      </c>
      <c r="D9" s="14" t="s">
        <v>3</v>
      </c>
      <c r="E9" s="1"/>
    </row>
    <row r="10" spans="1:5" x14ac:dyDescent="0.25">
      <c r="A10" s="1"/>
      <c r="B10" s="56" t="s">
        <v>110</v>
      </c>
      <c r="C10" s="22">
        <f>SUM('Fane 3. Omkostninger i ØR2024'!C10,'Fane 3. Omkostninger i ØR2024'!C12,'Fane 3. Omkostninger i ØR2024'!C14)*(1+'Fane 13. Nøgletal'!C10)</f>
        <v>0</v>
      </c>
      <c r="D10" s="14" t="s">
        <v>3</v>
      </c>
      <c r="E10" s="1"/>
    </row>
    <row r="11" spans="1:5" x14ac:dyDescent="0.25">
      <c r="A11" s="1"/>
      <c r="B11" s="56" t="s">
        <v>81</v>
      </c>
      <c r="C11" s="22">
        <f>C9*'Fane 13. Nøgletal'!C23+C10*'Fane 13. Nøgletal'!C23</f>
        <v>92784.316362111611</v>
      </c>
      <c r="D11" s="14" t="s">
        <v>3</v>
      </c>
      <c r="E11" s="1"/>
    </row>
    <row r="12" spans="1:5" x14ac:dyDescent="0.25">
      <c r="A12" s="1"/>
      <c r="B12" s="53"/>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4847859.9103090605</v>
      </c>
      <c r="D15" s="14" t="s">
        <v>3</v>
      </c>
      <c r="E15" s="1"/>
    </row>
    <row r="16" spans="1:5" x14ac:dyDescent="0.25">
      <c r="A16" s="1"/>
      <c r="B16" s="56" t="s">
        <v>154</v>
      </c>
      <c r="C16" s="22">
        <f>('Fane 2.1. Økonomisk ramme 2025'!C10+'Fane 2.1. Økonomisk ramme 2025'!C12+'Fane 2.1. Økonomisk ramme 2025'!C14)*(1+'Fane 13. Nøgletal'!C11)</f>
        <v>0</v>
      </c>
      <c r="D16" s="14" t="s">
        <v>3</v>
      </c>
      <c r="E16" s="1"/>
    </row>
    <row r="17" spans="1:5" x14ac:dyDescent="0.25">
      <c r="A17" s="1"/>
      <c r="B17" s="56" t="s">
        <v>155</v>
      </c>
      <c r="C17" s="22">
        <f>(C15+C16)*'Fane 13. Nøgletal'!C23</f>
        <v>96957.198206181216</v>
      </c>
      <c r="D17" s="14" t="s">
        <v>3</v>
      </c>
      <c r="E17" s="1"/>
    </row>
    <row r="18" spans="1:5" x14ac:dyDescent="0.25">
      <c r="A18" s="1"/>
      <c r="B18" s="53"/>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5065887.5619152999</v>
      </c>
      <c r="D21" s="14" t="s">
        <v>3</v>
      </c>
      <c r="E21" s="1"/>
    </row>
    <row r="22" spans="1:5" x14ac:dyDescent="0.25">
      <c r="A22" s="1"/>
      <c r="B22" s="56" t="s">
        <v>171</v>
      </c>
      <c r="C22" s="48">
        <f>(C21)*'Fane 13. Nøgletal'!C23</f>
        <v>101317.75123830599</v>
      </c>
      <c r="D22" s="14" t="s">
        <v>3</v>
      </c>
      <c r="E22" s="1"/>
    </row>
    <row r="23" spans="1:5" x14ac:dyDescent="0.25">
      <c r="A23" s="1"/>
      <c r="B23" s="53"/>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5293720.7891248791</v>
      </c>
      <c r="D26" s="14" t="s">
        <v>3</v>
      </c>
      <c r="E26" s="1"/>
    </row>
    <row r="27" spans="1:5" x14ac:dyDescent="0.25">
      <c r="A27" s="1"/>
      <c r="B27" s="56" t="s">
        <v>118</v>
      </c>
      <c r="C27" s="48">
        <f>(C26)*'Fane 13. Nøgletal'!C23</f>
        <v>105874.41578249758</v>
      </c>
      <c r="D27" s="14" t="s">
        <v>3</v>
      </c>
      <c r="E27" s="1"/>
    </row>
    <row r="28" spans="1:5" x14ac:dyDescent="0.25">
      <c r="A28" s="1"/>
      <c r="B28" s="53"/>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5531800.5878949817</v>
      </c>
      <c r="D31" s="14" t="s">
        <v>3</v>
      </c>
      <c r="E31" s="1"/>
    </row>
    <row r="32" spans="1:5" x14ac:dyDescent="0.25">
      <c r="A32" s="1"/>
      <c r="B32" s="56" t="s">
        <v>138</v>
      </c>
      <c r="C32" s="48">
        <f>(C31)*'Fane 13. Nøgletal'!C23</f>
        <v>110636.01175789964</v>
      </c>
      <c r="D32" s="14" t="s">
        <v>3</v>
      </c>
      <c r="E32" s="1"/>
    </row>
    <row r="33" spans="1:5" x14ac:dyDescent="0.25">
      <c r="A33" s="1"/>
      <c r="B33" s="53"/>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ld57pCI/Iymj4CiiOaJjFJuntq4PkQF+aciAlBN+bXA7UwTWCHrP8G5hLD4L6VqzTFzIJHJxFI4X29gVW1lU2Q==" saltValue="9187Vq3+tXpSccMJ9reBi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7311769.0043786559</v>
      </c>
      <c r="D9" s="14" t="s">
        <v>3</v>
      </c>
      <c r="E9" s="1"/>
    </row>
    <row r="10" spans="1:5" x14ac:dyDescent="0.25">
      <c r="A10" s="1"/>
      <c r="B10" s="56" t="s">
        <v>113</v>
      </c>
      <c r="C10" s="48">
        <f>SUM('Fane 3. Omkostninger i ØR2024'!C11,'Fane 3. Omkostninger i ØR2024'!C13,'Fane 3. Omkostninger i ØR2024'!C15)*(1+'Fane 13. Nøgletal'!C10)</f>
        <v>0</v>
      </c>
      <c r="D10" s="14" t="s">
        <v>3</v>
      </c>
      <c r="E10" s="1"/>
    </row>
    <row r="11" spans="1:5" x14ac:dyDescent="0.25">
      <c r="A11" s="1"/>
      <c r="B11" s="56" t="s">
        <v>114</v>
      </c>
      <c r="C11" s="48">
        <f>(C9)*'Fane 13. Nøgletal'!C16+C10*'Fane 13. Nøgletal'!C17</f>
        <v>0</v>
      </c>
      <c r="D11" s="14" t="s">
        <v>3</v>
      </c>
      <c r="E11" s="1"/>
    </row>
    <row r="12" spans="1:5" x14ac:dyDescent="0.25">
      <c r="A12" s="1"/>
      <c r="B12" s="53"/>
      <c r="C12" s="54"/>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7796539.289368961</v>
      </c>
      <c r="D15" s="14" t="s">
        <v>3</v>
      </c>
      <c r="E15" s="1"/>
    </row>
    <row r="16" spans="1:5" x14ac:dyDescent="0.25">
      <c r="A16" s="1"/>
      <c r="B16" s="56" t="s">
        <v>157</v>
      </c>
      <c r="C16" s="48">
        <f>('Fane 2.1. Økonomisk ramme 2025'!C11+'Fane 2.1. Økonomisk ramme 2025'!C13+'Fane 2.1. Økonomisk ramme 2025'!C15)*(1+'Fane 13. Nøgletal'!C11)</f>
        <v>0</v>
      </c>
      <c r="D16" s="14" t="s">
        <v>3</v>
      </c>
      <c r="E16" s="1"/>
    </row>
    <row r="17" spans="1:5" x14ac:dyDescent="0.25">
      <c r="A17" s="1"/>
      <c r="B17" s="56" t="s">
        <v>158</v>
      </c>
      <c r="C17" s="48">
        <f>(C15+C16)*'Fane 13. Nøgletal'!C18</f>
        <v>0</v>
      </c>
      <c r="D17" s="14" t="s">
        <v>3</v>
      </c>
      <c r="E17" s="1"/>
    </row>
    <row r="18" spans="1:5" x14ac:dyDescent="0.25">
      <c r="A18" s="1"/>
      <c r="B18" s="53"/>
      <c r="C18" s="54"/>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8313449.844254123</v>
      </c>
      <c r="D21" s="14" t="s">
        <v>3</v>
      </c>
      <c r="E21" s="1"/>
    </row>
    <row r="22" spans="1:5" x14ac:dyDescent="0.25">
      <c r="A22" s="1"/>
      <c r="B22" s="56" t="s">
        <v>165</v>
      </c>
      <c r="C22" s="48">
        <f>(C21)*'Fane 13. Nøgletal'!C18</f>
        <v>0</v>
      </c>
      <c r="D22" s="14" t="s">
        <v>3</v>
      </c>
      <c r="E22" s="1"/>
    </row>
    <row r="23" spans="1:5" x14ac:dyDescent="0.25">
      <c r="A23" s="1"/>
      <c r="B23" s="53"/>
      <c r="C23" s="54"/>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8864631.5689281709</v>
      </c>
      <c r="D26" s="14" t="s">
        <v>3</v>
      </c>
      <c r="E26" s="1"/>
    </row>
    <row r="27" spans="1:5" x14ac:dyDescent="0.25">
      <c r="A27" s="1"/>
      <c r="B27" s="56" t="s">
        <v>121</v>
      </c>
      <c r="C27" s="48">
        <f>(C26)*'Fane 13. Nøgletal'!C18</f>
        <v>0</v>
      </c>
      <c r="D27" s="14" t="s">
        <v>3</v>
      </c>
      <c r="E27" s="1"/>
    </row>
    <row r="28" spans="1:5" x14ac:dyDescent="0.25">
      <c r="A28" s="1"/>
      <c r="B28" s="53"/>
      <c r="C28" s="54"/>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9452356.6419481095</v>
      </c>
      <c r="D31" s="14" t="s">
        <v>3</v>
      </c>
      <c r="E31" s="1"/>
    </row>
    <row r="32" spans="1:5" x14ac:dyDescent="0.25">
      <c r="A32" s="1"/>
      <c r="B32" s="56" t="s">
        <v>141</v>
      </c>
      <c r="C32" s="48">
        <f>(C31)*'Fane 13. Nøgletal'!C18</f>
        <v>0</v>
      </c>
      <c r="D32" s="14" t="s">
        <v>3</v>
      </c>
      <c r="E32" s="1"/>
    </row>
    <row r="33" spans="1:5" x14ac:dyDescent="0.25">
      <c r="A33" s="1"/>
      <c r="B33" s="53"/>
      <c r="C33" s="54"/>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kGVU6yfSqhoAHKCkHxD32WpZEwqLjhuPi8DWp6MCka2lwQLQjNPr9kZr0Yscv0plVkESniujTQSI38P+byIFw==" saltValue="8MN0/4cJeMJ+Z178HF4nD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0</v>
      </c>
      <c r="D9" s="1"/>
    </row>
    <row r="10" spans="1:4" x14ac:dyDescent="0.25">
      <c r="A10" s="1"/>
      <c r="B10" s="53"/>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ve1NvEbSSGyNmflIW5+BL5N74DkMzWR1wnoTmFTWjOUMNwa4p8vlpIHne55NG4Afo6P6p8PPwQcZ+QfiEozRpA==" saltValue="pjU8DXo63mdg9tw8pHZZt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2024-09-05T07:26:14Z</dcterms:modified>
</cp:coreProperties>
</file>