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alundborg Overfladevand AS (V11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4" i="19" l="1"/>
  <c r="E33" i="32" l="1"/>
  <c r="E39" i="32" s="1"/>
  <c r="E41" i="32" s="1"/>
  <c r="E16" i="27" l="1"/>
  <c r="E11" i="11" l="1"/>
  <c r="E12" i="11"/>
  <c r="E10" i="1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3" i="11"/>
  <c r="C10" i="37" s="1"/>
  <c r="C12" i="37" s="1"/>
  <c r="G13" i="11"/>
  <c r="C13" i="37" l="1"/>
  <c r="C10" i="2" s="1"/>
  <c r="E11" i="21"/>
  <c r="E12" i="21" s="1"/>
  <c r="C11" i="21"/>
  <c r="C12" i="21" s="1"/>
  <c r="E11" i="29"/>
  <c r="E12" i="29" s="1"/>
  <c r="C11" i="29"/>
  <c r="C12" i="29" s="1"/>
  <c r="C15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3" i="11"/>
  <c r="E10" i="37" s="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<sst xmlns="http://schemas.openxmlformats.org/spreadsheetml/2006/main" count="595" uniqueCount="250">
  <si>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</si>
  <si>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</si>
  <si>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</si>
  <si>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</si>
  <si>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</si>
  <si>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</si>
  <si>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</si>
  <si>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</si>
  <si>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</si>
  <si>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</si>
  <si>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</si>
  <si>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</si>
  <si>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</si>
  <si>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</si>
  <si>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</si>
  <si>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</si>
  <si>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</si>
  <si>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</si>
  <si>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</si>
  <si>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</si>
  <si>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</si>
  <si>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</si>
  <si>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</si>
  <si>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</si>
  <si>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</si>
  <si>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</si>
  <si>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</si>
  <si>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</si>
  <si>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</si>
  <si>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</si>
  <si>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</si>
  <si>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</si>
  <si>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</si>
  <si>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</si>
  <si>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</si>
  <si>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</si>
  <si>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</si>
  <si>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</si>
  <si>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</si>
  <si>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</si>
  <si>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</si>
  <si>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</si>
  <si>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</si>
  <si>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</si>
  <si>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</si>
  <si>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</si>
  <si>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</si>
  <si>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</si>
  <si>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</si>
  <si>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</si>
  <si>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</si>
  <si>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</si>
  <si>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</si>
  <si>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</si>
  <si>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</si>
  <si>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</si>
  <si>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</si>
  <si>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</si>
  <si>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</si>
  <si>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</si>
  <si>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</si>
  <si>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</si>
  <si>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</si>
  <si>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</si>
  <si>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</si>
  <si>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</si>
  <si>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</si>
  <si>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</si>
  <si>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</si>
  <si>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</si>
  <si>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</si>
  <si>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</si>
  <si>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</si>
  <si>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</si>
  <si>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</si>
  <si>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</si>
  <si>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</si>
  <si>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</si>
  <si>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</si>
  <si>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</si>
  <si>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</si>
  <si>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</si>
  <si>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</si>
  <si>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</si>
  <si>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</si>
  <si>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</si>
  <si>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</si>
  <si>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</si>
  <si>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</si>
  <si>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</si>
  <si>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</si>
  <si>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</si>
  <si>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</si>
  <si>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</si>
  <si>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</si>
  <si>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</si>
  <si>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</si>
  <si>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</si>
  <si>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</si>
  <si>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</si>
  <si>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</si>
  <si>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</si>
  <si>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</si>
  <si>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</si>
  <si>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</si>
  <si>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</si>
  <si>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</si>
  <si>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</si>
  <si>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</si>
  <si>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</si>
  <si>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</si>
  <si>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</si>
  <si>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</si>
  <si>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</si>
  <si>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</si>
  <si>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</si>
  <si>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</si>
  <si>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</si>
  <si>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</si>
  <si>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</si>
  <si>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</si>
  <si>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</si>
  <si>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</si>
  <si>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</si>
  <si>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</si>
  <si>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</si>
  <si>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</si>
  <si>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</si>
  <si>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</si>
  <si>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</si>
  <si>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</si>
  <si>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</si>
  <si>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</si>
  <si>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</si>
  <si>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</si>
  <si>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</si>
  <si>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</si>
  <si>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</si>
  <si>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</si>
  <si>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</si>
  <si>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</si>
  <si>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</si>
  <si>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</si>
  <si>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</si>
  <si>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</si>
  <si>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</si>
  <si>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</si>
  <si>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</si>
  <si>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</si>
  <si>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</si>
  <si>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</si>
  <si>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</si>
  <si>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</si>
  <si>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</si>
  <si>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</si>
  <si>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</si>
  <si>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</si>
  <si>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</si>
  <si>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</si>
  <si>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</si>
  <si>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</si>
  <si>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</si>
  <si>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</si>
  <si>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</si>
  <si>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</si>
  <si>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</si>
  <si>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</si>
  <si>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</si>
  <si>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</si>
  <si>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</si>
  <si>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</si>
  <si>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</si>
  <si>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</si>
  <si>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</si>
  <si>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</si>
  <si>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</si>
  <si>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</si>
  <si>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</si>
  <si>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</si>
  <si>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</si>
  <si>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</si>
  <si>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</si>
  <si>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</si>
  <si>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</si>
  <si>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</si>
  <si>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</si>
  <si>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</si>
  <si>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</si>
  <si>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</si>
  <si>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</si>
  <si>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</si>
  <si>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</si>
  <si>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</si>
  <si>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</si>
  <si>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</si>
  <si>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</si>
  <si>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</si>
  <si>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</si>
  <si>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</si>
  <si>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</si>
  <si>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</si>
  <si>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</si>
  <si>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</si>
  <si>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</si>
  <si>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</si>
  <si>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</si>
  <si>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</si>
  <si>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</si>
  <si>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</si>
  <si>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</si>
  <si>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</si>
  <si>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</si>
  <si>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</si>
  <si>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</si>
  <si>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</si>
  <si>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</si>
  <si>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</si>
  <si>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</si>
  <si>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</si>
  <si>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</si>
  <si>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</si>
  <si>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</si>
  <si>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</si>
  <si>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</si>
  <si>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</si>
  <si>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</si>
  <si>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</si>
  <si>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</si>
  <si>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</si>
  <si>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</si>
  <si>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</si>
  <si>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</si>
  <si>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</si>
  <si>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</si>
  <si>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</si>
  <si>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</si>
  <si>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</si>
  <si>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</si>
  <si>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Ingen tilknyttet virksomhed</t>
  </si>
  <si>
    <t>Ingen bortfald eller nedsættelse</t>
  </si>
  <si>
    <t>Udvidelse af forsyningsområde</t>
  </si>
  <si>
    <t>Ingen engangstillæg</t>
  </si>
  <si>
    <t>Økonomisk ramme for 2024</t>
  </si>
  <si>
    <t>Udpumpningsanlæg, rentvandspumper på vandværk</t>
  </si>
  <si>
    <t>25</t>
  </si>
  <si>
    <t>Laboratorium (bygning, inkl. inventar+udstyr), Mek./EL</t>
  </si>
  <si>
    <t>10</t>
  </si>
  <si>
    <t>Modelberegninger Styring og optimering af Tissø i forhold til sikring af vandressourcen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</si>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</sst>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8" t="s">
        <v>4</v>
      </c>
      <c r="E6" s="58"/>
      <c r="F6" s="58"/>
      <c r="G6" s="58"/>
      <c r="H6" s="3"/>
      <c r="I6" s="1"/>
    </row>
    <row r="7" spans="1:9" ht="15" customHeight="1" x14ac:dyDescent="0.45">
      <c r="A7" s="1"/>
      <c r="B7" s="1"/>
      <c r="C7" s="3"/>
      <c r="D7" s="58"/>
      <c r="E7" s="58"/>
      <c r="F7" s="58"/>
      <c r="G7" s="58"/>
      <c r="H7" s="3"/>
      <c r="I7" s="1"/>
    </row>
    <row r="8" spans="1:9" ht="15.75" x14ac:dyDescent="0.5">
      <c r="A8" s="1"/>
      <c r="B8" s="1"/>
      <c r="C8" s="4"/>
      <c r="D8" s="63" t="s">
        <v>206</v>
      </c>
      <c r="E8" s="63"/>
      <c r="F8" s="63"/>
      <c r="G8" s="63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5" t="s">
        <v>151</v>
      </c>
      <c r="E13" s="56"/>
      <c r="F13" s="56"/>
      <c r="G13" s="57"/>
      <c r="H13" s="1"/>
      <c r="I13" s="1"/>
    </row>
    <row r="14" spans="1:9" x14ac:dyDescent="0.45">
      <c r="A14" s="1"/>
      <c r="B14" s="1"/>
      <c r="C14" s="6" t="s">
        <v>15</v>
      </c>
      <c r="D14" s="55" t="s">
        <v>207</v>
      </c>
      <c r="E14" s="56"/>
      <c r="F14" s="56"/>
      <c r="G14" s="57"/>
      <c r="H14" s="1"/>
      <c r="I14" s="1"/>
    </row>
    <row r="15" spans="1:9" x14ac:dyDescent="0.45">
      <c r="A15" s="1"/>
      <c r="B15" s="1"/>
      <c r="C15" s="6" t="s">
        <v>40</v>
      </c>
      <c r="D15" s="55" t="s">
        <v>93</v>
      </c>
      <c r="E15" s="56"/>
      <c r="F15" s="56"/>
      <c r="G15" s="57"/>
      <c r="H15" s="1"/>
      <c r="I15" s="1"/>
    </row>
    <row r="16" spans="1:9" x14ac:dyDescent="0.45">
      <c r="A16" s="1"/>
      <c r="B16" s="1"/>
      <c r="C16" s="6" t="s">
        <v>41</v>
      </c>
      <c r="D16" s="55" t="s">
        <v>152</v>
      </c>
      <c r="E16" s="56"/>
      <c r="F16" s="56"/>
      <c r="G16" s="57"/>
      <c r="H16" s="1"/>
      <c r="I16" s="1"/>
    </row>
    <row r="17" spans="1:9" x14ac:dyDescent="0.45">
      <c r="A17" s="1"/>
      <c r="B17" s="1"/>
      <c r="C17" s="6" t="s">
        <v>150</v>
      </c>
      <c r="D17" s="55" t="s">
        <v>153</v>
      </c>
      <c r="E17" s="56"/>
      <c r="F17" s="56"/>
      <c r="G17" s="57"/>
      <c r="H17" s="1"/>
      <c r="I17" s="1"/>
    </row>
    <row r="18" spans="1:9" x14ac:dyDescent="0.45">
      <c r="A18" s="1"/>
      <c r="B18" s="1"/>
      <c r="C18" s="33" t="s">
        <v>134</v>
      </c>
      <c r="D18" s="64" t="s">
        <v>114</v>
      </c>
      <c r="E18" s="65"/>
      <c r="F18" s="65"/>
      <c r="G18" s="66"/>
      <c r="H18" s="1"/>
      <c r="I18" s="1"/>
    </row>
    <row r="19" spans="1:9" x14ac:dyDescent="0.45">
      <c r="A19" s="1"/>
      <c r="B19" s="1"/>
      <c r="C19" s="33" t="s">
        <v>135</v>
      </c>
      <c r="D19" s="64" t="s">
        <v>115</v>
      </c>
      <c r="E19" s="65"/>
      <c r="F19" s="65"/>
      <c r="G19" s="66"/>
      <c r="H19" s="1"/>
      <c r="I19" s="1"/>
    </row>
    <row r="20" spans="1:9" x14ac:dyDescent="0.45">
      <c r="A20" s="1"/>
      <c r="B20" s="1"/>
      <c r="C20" s="33" t="s">
        <v>7</v>
      </c>
      <c r="D20" s="64" t="s">
        <v>9</v>
      </c>
      <c r="E20" s="65"/>
      <c r="F20" s="65"/>
      <c r="G20" s="66"/>
      <c r="H20" s="1"/>
      <c r="I20" s="1"/>
    </row>
    <row r="21" spans="1:9" x14ac:dyDescent="0.45">
      <c r="A21" s="1"/>
      <c r="B21" s="1"/>
      <c r="C21" s="6" t="s">
        <v>136</v>
      </c>
      <c r="D21" s="70" t="s">
        <v>12</v>
      </c>
      <c r="E21" s="71"/>
      <c r="F21" s="71"/>
      <c r="G21" s="72"/>
      <c r="H21" s="1"/>
      <c r="I21" s="1"/>
    </row>
    <row r="22" spans="1:9" x14ac:dyDescent="0.45">
      <c r="A22" s="1"/>
      <c r="B22" s="1"/>
      <c r="C22" s="6" t="s">
        <v>97</v>
      </c>
      <c r="D22" s="59" t="s">
        <v>154</v>
      </c>
      <c r="E22" s="60"/>
      <c r="F22" s="60"/>
      <c r="G22" s="61"/>
      <c r="H22" s="1"/>
      <c r="I22" s="1"/>
    </row>
    <row r="23" spans="1:9" x14ac:dyDescent="0.45">
      <c r="A23" s="1"/>
      <c r="B23" s="1"/>
      <c r="C23" s="6" t="s">
        <v>8</v>
      </c>
      <c r="D23" s="59" t="s">
        <v>42</v>
      </c>
      <c r="E23" s="60"/>
      <c r="F23" s="60"/>
      <c r="G23" s="61"/>
      <c r="H23" s="1"/>
      <c r="I23" s="1"/>
    </row>
    <row r="24" spans="1:9" x14ac:dyDescent="0.45">
      <c r="A24" s="1"/>
      <c r="B24" s="1"/>
      <c r="C24" s="6" t="s">
        <v>217</v>
      </c>
      <c r="D24" s="59" t="s">
        <v>98</v>
      </c>
      <c r="E24" s="60"/>
      <c r="F24" s="60"/>
      <c r="G24" s="61"/>
      <c r="H24" s="1"/>
      <c r="I24" s="1"/>
    </row>
    <row r="25" spans="1:9" x14ac:dyDescent="0.45">
      <c r="A25" s="1"/>
      <c r="B25" s="1"/>
      <c r="C25" s="6" t="s">
        <v>218</v>
      </c>
      <c r="D25" s="59" t="s">
        <v>99</v>
      </c>
      <c r="E25" s="60"/>
      <c r="F25" s="60"/>
      <c r="G25" s="61"/>
      <c r="H25" s="1"/>
      <c r="I25" s="1"/>
    </row>
    <row r="26" spans="1:9" x14ac:dyDescent="0.45">
      <c r="A26" s="1"/>
      <c r="B26" s="1"/>
      <c r="C26" s="6" t="s">
        <v>219</v>
      </c>
      <c r="D26" s="59" t="s">
        <v>155</v>
      </c>
      <c r="E26" s="60"/>
      <c r="F26" s="60"/>
      <c r="G26" s="61"/>
      <c r="H26" s="1"/>
      <c r="I26" s="1"/>
    </row>
    <row r="27" spans="1:9" x14ac:dyDescent="0.45">
      <c r="A27" s="1"/>
      <c r="B27" s="1"/>
      <c r="C27" s="6" t="s">
        <v>137</v>
      </c>
      <c r="D27" s="59" t="s">
        <v>43</v>
      </c>
      <c r="E27" s="60"/>
      <c r="F27" s="60"/>
      <c r="G27" s="61"/>
      <c r="H27" s="1"/>
      <c r="I27" s="1"/>
    </row>
    <row r="28" spans="1:9" x14ac:dyDescent="0.45">
      <c r="A28" s="1"/>
      <c r="B28" s="1"/>
      <c r="C28" s="6" t="s">
        <v>128</v>
      </c>
      <c r="D28" s="67" t="s">
        <v>129</v>
      </c>
      <c r="E28" s="68"/>
      <c r="F28" s="68"/>
      <c r="G28" s="69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140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6" t="s">
        <v>168</v>
      </c>
      <c r="C8" s="97"/>
      <c r="D8" s="98"/>
      <c r="E8" s="1"/>
      <c r="F8" s="1"/>
    </row>
    <row r="9" spans="1:6" ht="15" customHeight="1" x14ac:dyDescent="0.45">
      <c r="A9" s="1"/>
      <c r="B9" s="46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49" t="s">
        <v>234</v>
      </c>
      <c r="C10" s="9">
        <v>23102108</v>
      </c>
      <c r="D10" s="14" t="s">
        <v>3</v>
      </c>
      <c r="E10" s="1"/>
      <c r="F10" s="1"/>
    </row>
    <row r="11" spans="1:6" x14ac:dyDescent="0.45">
      <c r="A11" s="1"/>
      <c r="B11" s="49" t="s">
        <v>235</v>
      </c>
      <c r="C11" s="9">
        <v>104772</v>
      </c>
      <c r="D11" s="14" t="s">
        <v>3</v>
      </c>
      <c r="E11" s="1"/>
      <c r="F11" s="1"/>
    </row>
    <row r="12" spans="1:6" x14ac:dyDescent="0.45">
      <c r="A12" s="1"/>
      <c r="B12" s="49" t="s">
        <v>236</v>
      </c>
      <c r="C12" s="9">
        <v>162046</v>
      </c>
      <c r="D12" s="14" t="s">
        <v>3</v>
      </c>
      <c r="E12" s="1"/>
      <c r="F12" s="1"/>
    </row>
    <row r="13" spans="1:6" x14ac:dyDescent="0.45">
      <c r="A13" s="1"/>
      <c r="B13" s="49" t="s">
        <v>237</v>
      </c>
      <c r="C13" s="9">
        <v>21853</v>
      </c>
      <c r="D13" s="14" t="s">
        <v>3</v>
      </c>
      <c r="E13" s="1"/>
      <c r="F13" s="1"/>
    </row>
    <row r="14" spans="1:6" x14ac:dyDescent="0.45">
      <c r="A14" s="1"/>
      <c r="B14" s="40" t="s">
        <v>169</v>
      </c>
      <c r="C14" s="12">
        <f>SUM(C10:C13)</f>
        <v>23390779</v>
      </c>
      <c r="D14" s="13" t="s">
        <v>3</v>
      </c>
      <c r="E14" s="1"/>
      <c r="F14" s="1"/>
    </row>
    <row r="15" spans="1:6" x14ac:dyDescent="0.45">
      <c r="A15" s="1"/>
      <c r="B15" s="40" t="s">
        <v>170</v>
      </c>
      <c r="C15" s="12">
        <f>C14*(1+'Fane 12. Nøgletal'!C13)^2</f>
        <v>23964995.49114636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2" t="s">
        <v>172</v>
      </c>
      <c r="C3" s="92"/>
      <c r="D3" s="92"/>
      <c r="E3" s="92"/>
      <c r="F3" s="92"/>
      <c r="G3" s="1"/>
    </row>
    <row r="4" spans="1:7" ht="15" customHeight="1" x14ac:dyDescent="0.45">
      <c r="A4" s="1"/>
      <c r="B4" s="92"/>
      <c r="C4" s="92"/>
      <c r="D4" s="92"/>
      <c r="E4" s="92"/>
      <c r="F4" s="92"/>
      <c r="G4" s="1"/>
    </row>
    <row r="5" spans="1:7" ht="15" customHeight="1" x14ac:dyDescent="0.45">
      <c r="A5" s="1"/>
      <c r="B5" s="44"/>
      <c r="C5" s="44"/>
      <c r="D5" s="44"/>
      <c r="E5" s="44"/>
      <c r="F5" s="44"/>
      <c r="G5" s="1"/>
    </row>
    <row r="6" spans="1:7" ht="15" customHeight="1" x14ac:dyDescent="0.4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45">
      <c r="A7" s="1"/>
      <c r="B7" s="99" t="s">
        <v>37</v>
      </c>
      <c r="C7" s="100"/>
      <c r="D7" s="101"/>
      <c r="E7" s="9">
        <v>-1682320.6666666667</v>
      </c>
      <c r="F7" s="14" t="s">
        <v>3</v>
      </c>
      <c r="G7" s="1"/>
    </row>
    <row r="8" spans="1:7" ht="15" customHeight="1" x14ac:dyDescent="0.45">
      <c r="A8" s="1"/>
      <c r="B8" s="99" t="s">
        <v>38</v>
      </c>
      <c r="C8" s="100"/>
      <c r="D8" s="101"/>
      <c r="E8" s="9">
        <v>5283429.9341853857</v>
      </c>
      <c r="F8" s="14" t="s">
        <v>3</v>
      </c>
      <c r="G8" s="1"/>
    </row>
    <row r="9" spans="1:7" ht="15" customHeight="1" x14ac:dyDescent="0.45">
      <c r="A9" s="1"/>
      <c r="B9" s="107" t="s">
        <v>131</v>
      </c>
      <c r="C9" s="108"/>
      <c r="D9" s="109"/>
      <c r="E9" s="10">
        <f>SUM(E7:E8)</f>
        <v>3601109.2675187187</v>
      </c>
      <c r="F9" s="17" t="s">
        <v>3</v>
      </c>
      <c r="G9" s="1"/>
    </row>
    <row r="10" spans="1:7" ht="15" customHeight="1" x14ac:dyDescent="0.45">
      <c r="A10" s="1"/>
      <c r="B10" s="40"/>
      <c r="C10" s="41"/>
      <c r="D10" s="41"/>
      <c r="E10" s="41"/>
      <c r="F10" s="20"/>
      <c r="G10" s="1"/>
    </row>
    <row r="11" spans="1:7" ht="28.5" customHeight="1" x14ac:dyDescent="0.45">
      <c r="A11" s="1"/>
      <c r="B11" s="75" t="s">
        <v>132</v>
      </c>
      <c r="C11" s="76"/>
      <c r="D11" s="76"/>
      <c r="E11" s="76"/>
      <c r="F11" s="77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6" t="s">
        <v>116</v>
      </c>
      <c r="C13" s="97"/>
      <c r="D13" s="97"/>
      <c r="E13" s="97"/>
      <c r="F13" s="98"/>
      <c r="G13" s="1"/>
    </row>
    <row r="14" spans="1:7" x14ac:dyDescent="0.45">
      <c r="A14" s="1"/>
      <c r="B14" s="99" t="s">
        <v>117</v>
      </c>
      <c r="C14" s="100"/>
      <c r="D14" s="101"/>
      <c r="E14" s="9">
        <v>29660210.763333332</v>
      </c>
      <c r="F14" s="14" t="s">
        <v>3</v>
      </c>
      <c r="G14" s="1"/>
    </row>
    <row r="15" spans="1:7" x14ac:dyDescent="0.45">
      <c r="A15" s="1"/>
      <c r="B15" s="99" t="s">
        <v>118</v>
      </c>
      <c r="C15" s="100"/>
      <c r="D15" s="101"/>
      <c r="E15" s="9">
        <v>29989361</v>
      </c>
      <c r="F15" s="14" t="s">
        <v>3</v>
      </c>
      <c r="G15" s="1"/>
    </row>
    <row r="16" spans="1:7" x14ac:dyDescent="0.4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45">
      <c r="A17" s="1"/>
      <c r="B17" s="107" t="s">
        <v>208</v>
      </c>
      <c r="C17" s="108"/>
      <c r="D17" s="109"/>
      <c r="E17" s="10">
        <f>E14-(E15-E16)</f>
        <v>-329150.23666666821</v>
      </c>
      <c r="F17" s="17" t="s">
        <v>3</v>
      </c>
      <c r="G17" s="1"/>
    </row>
    <row r="18" spans="1:7" x14ac:dyDescent="0.45">
      <c r="A18" s="1"/>
      <c r="B18" s="40"/>
      <c r="C18" s="41"/>
      <c r="D18" s="41"/>
      <c r="E18" s="41"/>
      <c r="F18" s="20"/>
      <c r="G18" s="1"/>
    </row>
    <row r="19" spans="1:7" ht="30" customHeight="1" x14ac:dyDescent="0.45">
      <c r="A19" s="1"/>
      <c r="B19" s="75" t="s">
        <v>133</v>
      </c>
      <c r="C19" s="76"/>
      <c r="D19" s="76"/>
      <c r="E19" s="76"/>
      <c r="F19" s="77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6" t="s">
        <v>50</v>
      </c>
      <c r="C21" s="97"/>
      <c r="D21" s="97"/>
      <c r="E21" s="97"/>
      <c r="F21" s="98"/>
      <c r="G21" s="1"/>
    </row>
    <row r="22" spans="1:7" x14ac:dyDescent="0.45">
      <c r="A22" s="1"/>
      <c r="B22" s="99" t="s">
        <v>51</v>
      </c>
      <c r="C22" s="100"/>
      <c r="D22" s="101"/>
      <c r="E22" s="9">
        <v>30262271.782424062</v>
      </c>
      <c r="F22" s="14" t="s">
        <v>3</v>
      </c>
      <c r="G22" s="1"/>
    </row>
    <row r="23" spans="1:7" x14ac:dyDescent="0.45">
      <c r="A23" s="1"/>
      <c r="B23" s="99" t="s">
        <v>52</v>
      </c>
      <c r="C23" s="100"/>
      <c r="D23" s="101"/>
      <c r="E23" s="9">
        <v>32809188</v>
      </c>
      <c r="F23" s="14" t="s">
        <v>3</v>
      </c>
      <c r="G23" s="1"/>
    </row>
    <row r="24" spans="1:7" x14ac:dyDescent="0.45">
      <c r="A24" s="1"/>
      <c r="B24" s="99" t="s">
        <v>36</v>
      </c>
      <c r="C24" s="100"/>
      <c r="D24" s="101"/>
      <c r="E24" s="9">
        <v>0</v>
      </c>
      <c r="F24" s="14" t="s">
        <v>3</v>
      </c>
      <c r="G24" s="1"/>
    </row>
    <row r="25" spans="1:7" x14ac:dyDescent="0.45">
      <c r="A25" s="1"/>
      <c r="B25" s="107" t="s">
        <v>209</v>
      </c>
      <c r="C25" s="108"/>
      <c r="D25" s="109"/>
      <c r="E25" s="10">
        <f>E22-(E23-E24)</f>
        <v>-2546916.2175759375</v>
      </c>
      <c r="F25" s="17" t="s">
        <v>3</v>
      </c>
      <c r="G25" s="1"/>
    </row>
    <row r="26" spans="1:7" x14ac:dyDescent="0.45">
      <c r="A26" s="1"/>
      <c r="B26" s="40"/>
      <c r="C26" s="41"/>
      <c r="D26" s="41"/>
      <c r="E26" s="41"/>
      <c r="F26" s="20"/>
      <c r="G26" s="1"/>
    </row>
    <row r="27" spans="1:7" ht="28.5" customHeight="1" x14ac:dyDescent="0.45">
      <c r="A27" s="1"/>
      <c r="B27" s="75" t="s">
        <v>179</v>
      </c>
      <c r="C27" s="76"/>
      <c r="D27" s="76"/>
      <c r="E27" s="76"/>
      <c r="F27" s="77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200</v>
      </c>
      <c r="C29" s="97"/>
      <c r="D29" s="97"/>
      <c r="E29" s="97"/>
      <c r="F29" s="98"/>
      <c r="G29" s="1"/>
    </row>
    <row r="30" spans="1:7" x14ac:dyDescent="0.45">
      <c r="A30" s="1"/>
      <c r="B30" s="99" t="s">
        <v>201</v>
      </c>
      <c r="C30" s="100"/>
      <c r="D30" s="101"/>
      <c r="E30" s="9">
        <v>32511126.556200746</v>
      </c>
      <c r="F30" s="14" t="s">
        <v>3</v>
      </c>
      <c r="G30" s="1"/>
    </row>
    <row r="31" spans="1:7" x14ac:dyDescent="0.45">
      <c r="A31" s="1"/>
      <c r="B31" s="99" t="s">
        <v>202</v>
      </c>
      <c r="C31" s="100"/>
      <c r="D31" s="101"/>
      <c r="E31" s="9">
        <v>36197719</v>
      </c>
      <c r="F31" s="14" t="s">
        <v>3</v>
      </c>
      <c r="G31" s="1"/>
    </row>
    <row r="32" spans="1:7" x14ac:dyDescent="0.4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45">
      <c r="A33" s="1"/>
      <c r="B33" s="107" t="s">
        <v>210</v>
      </c>
      <c r="C33" s="108"/>
      <c r="D33" s="109"/>
      <c r="E33" s="10">
        <f>E30-(E31-E32)</f>
        <v>-3686592.4437992536</v>
      </c>
      <c r="F33" s="17" t="s">
        <v>3</v>
      </c>
      <c r="G33" s="1"/>
    </row>
    <row r="34" spans="1:7" x14ac:dyDescent="0.45">
      <c r="A34" s="1"/>
      <c r="B34" s="40"/>
      <c r="C34" s="41"/>
      <c r="D34" s="41"/>
      <c r="E34" s="41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6" t="s">
        <v>125</v>
      </c>
      <c r="C36" s="97"/>
      <c r="D36" s="97"/>
      <c r="E36" s="97"/>
      <c r="F36" s="98"/>
      <c r="G36" s="1"/>
    </row>
    <row r="37" spans="1:7" x14ac:dyDescent="0.45">
      <c r="A37" s="1"/>
      <c r="B37" s="110" t="s">
        <v>248</v>
      </c>
      <c r="C37" s="111"/>
      <c r="D37" s="112"/>
      <c r="E37" s="9">
        <v>0</v>
      </c>
      <c r="F37" s="14"/>
      <c r="G37" s="1"/>
    </row>
    <row r="38" spans="1:7" x14ac:dyDescent="0.45">
      <c r="A38" s="1"/>
      <c r="B38" s="110" t="s">
        <v>249</v>
      </c>
      <c r="C38" s="111"/>
      <c r="D38" s="112"/>
      <c r="E38" s="9">
        <v>0</v>
      </c>
      <c r="F38" s="14"/>
      <c r="G38" s="1"/>
    </row>
    <row r="39" spans="1:7" x14ac:dyDescent="0.4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-6233508.6613751911</v>
      </c>
      <c r="F39" s="14" t="s">
        <v>3</v>
      </c>
      <c r="G39" s="1"/>
    </row>
    <row r="40" spans="1:7" x14ac:dyDescent="0.4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45">
      <c r="A41" s="1"/>
      <c r="B41" s="113" t="s">
        <v>203</v>
      </c>
      <c r="C41" s="113"/>
      <c r="D41" s="113"/>
      <c r="E41" s="10">
        <f>E39/E40</f>
        <v>-3116754.3306875955</v>
      </c>
      <c r="F41" s="17" t="s">
        <v>3</v>
      </c>
      <c r="G41" s="1"/>
    </row>
    <row r="42" spans="1:7" x14ac:dyDescent="0.45">
      <c r="A42" s="1"/>
      <c r="B42" s="96"/>
      <c r="C42" s="97"/>
      <c r="D42" s="97"/>
      <c r="E42" s="97"/>
      <c r="F42" s="98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ht="39.75" x14ac:dyDescent="0.45">
      <c r="A10" s="1"/>
      <c r="B10" s="52" t="s">
        <v>243</v>
      </c>
      <c r="C10" s="53" t="s">
        <v>244</v>
      </c>
      <c r="D10" s="9">
        <v>206388</v>
      </c>
      <c r="E10" s="9">
        <f>IFERROR(D10/C10,0)</f>
        <v>8255.52</v>
      </c>
      <c r="F10" s="9">
        <v>581778</v>
      </c>
      <c r="G10" s="9">
        <v>35747</v>
      </c>
      <c r="H10" s="14" t="s">
        <v>3</v>
      </c>
      <c r="I10" s="1"/>
    </row>
    <row r="11" spans="1:9" ht="26.65" x14ac:dyDescent="0.45">
      <c r="A11" s="1"/>
      <c r="B11" s="52" t="s">
        <v>245</v>
      </c>
      <c r="C11" s="53" t="s">
        <v>246</v>
      </c>
      <c r="D11" s="9">
        <v>458414</v>
      </c>
      <c r="E11" s="9">
        <f t="shared" ref="E11:E12" si="0">IFERROR(D11/C11,0)</f>
        <v>45841.4</v>
      </c>
      <c r="F11" s="9">
        <v>0</v>
      </c>
      <c r="G11" s="9">
        <v>79566</v>
      </c>
      <c r="H11" s="14" t="s">
        <v>3</v>
      </c>
      <c r="I11" s="1"/>
    </row>
    <row r="12" spans="1:9" ht="39.75" x14ac:dyDescent="0.45">
      <c r="A12" s="1"/>
      <c r="B12" s="52" t="s">
        <v>247</v>
      </c>
      <c r="C12" s="53">
        <v>1</v>
      </c>
      <c r="D12" s="9">
        <v>0</v>
      </c>
      <c r="E12" s="9">
        <f t="shared" si="0"/>
        <v>0</v>
      </c>
      <c r="F12" s="9">
        <v>701581</v>
      </c>
      <c r="G12" s="9">
        <v>0</v>
      </c>
      <c r="H12" s="14" t="s">
        <v>3</v>
      </c>
      <c r="I12" s="1"/>
    </row>
    <row r="13" spans="1:9" x14ac:dyDescent="0.45">
      <c r="A13" s="1"/>
      <c r="B13" s="96" t="s">
        <v>198</v>
      </c>
      <c r="C13" s="97"/>
      <c r="D13" s="98"/>
      <c r="E13" s="12">
        <f>SUM(E10:E12)</f>
        <v>54096.92</v>
      </c>
      <c r="F13" s="12">
        <f t="shared" ref="F13:G13" si="1">SUM(F10:F12)</f>
        <v>1283359</v>
      </c>
      <c r="G13" s="12">
        <f t="shared" si="1"/>
        <v>115313</v>
      </c>
      <c r="H13" s="13" t="s">
        <v>3</v>
      </c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94</v>
      </c>
      <c r="C8" s="41"/>
      <c r="D8" s="41"/>
      <c r="E8" s="41"/>
      <c r="F8" s="20"/>
      <c r="G8" s="1"/>
    </row>
    <row r="9" spans="1:7" ht="17.25" customHeight="1" x14ac:dyDescent="0.4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45">
      <c r="A10" s="1"/>
      <c r="B10" s="25" t="s">
        <v>44</v>
      </c>
      <c r="C10" s="22">
        <f>'Fane 8. Anlægsprojekter'!F13</f>
        <v>1283359</v>
      </c>
      <c r="D10" s="14" t="s">
        <v>3</v>
      </c>
      <c r="E10" s="9">
        <f>SUM('Fane 8. Anlægsprojekter'!E13,'Fane 8. Anlægsprojekter'!G13)</f>
        <v>169409.91999999998</v>
      </c>
      <c r="F10" s="14" t="s">
        <v>3</v>
      </c>
      <c r="G10" s="1"/>
    </row>
    <row r="11" spans="1:7" x14ac:dyDescent="0.45">
      <c r="A11" s="1"/>
      <c r="B11" s="54" t="s">
        <v>240</v>
      </c>
      <c r="C11" s="22">
        <v>791292</v>
      </c>
      <c r="D11" s="14" t="s">
        <v>3</v>
      </c>
      <c r="E11" s="9">
        <v>0</v>
      </c>
      <c r="F11" s="14" t="s">
        <v>3</v>
      </c>
      <c r="G11" s="1"/>
    </row>
    <row r="12" spans="1:7" x14ac:dyDescent="0.45">
      <c r="A12" s="1"/>
      <c r="B12" s="40" t="s">
        <v>48</v>
      </c>
      <c r="C12" s="12">
        <f>SUM(C10:C11)</f>
        <v>2074651</v>
      </c>
      <c r="D12" s="13" t="s">
        <v>3</v>
      </c>
      <c r="E12" s="12">
        <f>SUM(E10:E11)</f>
        <v>169409.91999999998</v>
      </c>
      <c r="F12" s="13" t="s">
        <v>3</v>
      </c>
      <c r="G12" s="1"/>
    </row>
    <row r="13" spans="1:7" x14ac:dyDescent="0.45">
      <c r="A13" s="1"/>
      <c r="B13" s="40" t="s">
        <v>173</v>
      </c>
      <c r="C13" s="12">
        <f>C12*(1+'Fane 12. Nøgletal'!C13)</f>
        <v>2099961.7421999997</v>
      </c>
      <c r="D13" s="13" t="s">
        <v>3</v>
      </c>
      <c r="E13" s="12">
        <f>E12*(1+'Fane 12. Nøgletal'!C13)</f>
        <v>171476.72102399997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H7NYugdMDBAK1KzU7rHcP13HIb8jqjefa/a/0jxiFlN3KVd3CYAST8D42CsTNmTUBHXZvxofGyX/kAiHdQf7jA==" saltValue="BnpaMw8yegkryxDCJY9mF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119</v>
      </c>
      <c r="C8" s="97"/>
      <c r="D8" s="97"/>
      <c r="E8" s="97"/>
      <c r="F8" s="98"/>
      <c r="G8" s="1"/>
    </row>
    <row r="9" spans="1:7" x14ac:dyDescent="0.4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45">
      <c r="A10" s="1"/>
      <c r="B10" s="25" t="s">
        <v>241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0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6" t="s">
        <v>120</v>
      </c>
      <c r="C16" s="97"/>
      <c r="D16" s="97"/>
      <c r="E16" s="97"/>
      <c r="F16" s="98"/>
      <c r="G16" s="1"/>
    </row>
    <row r="17" spans="1:7" x14ac:dyDescent="0.45">
      <c r="A17" s="1"/>
      <c r="B17" s="47" t="s">
        <v>16</v>
      </c>
      <c r="C17" s="47" t="s">
        <v>11</v>
      </c>
      <c r="D17" s="48"/>
      <c r="E17" s="47" t="s">
        <v>34</v>
      </c>
      <c r="F17" s="43"/>
      <c r="G17" s="1"/>
    </row>
    <row r="18" spans="1:7" x14ac:dyDescent="0.45">
      <c r="A18" s="1"/>
      <c r="B18" s="25" t="s">
        <v>241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0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0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6" t="s">
        <v>121</v>
      </c>
      <c r="C24" s="97"/>
      <c r="D24" s="97"/>
      <c r="E24" s="97"/>
      <c r="F24" s="98"/>
      <c r="G24" s="1"/>
    </row>
    <row r="25" spans="1:7" x14ac:dyDescent="0.45">
      <c r="A25" s="1"/>
      <c r="B25" s="47" t="s">
        <v>16</v>
      </c>
      <c r="C25" s="47" t="s">
        <v>11</v>
      </c>
      <c r="D25" s="48"/>
      <c r="E25" s="47" t="s">
        <v>34</v>
      </c>
      <c r="F25" s="43"/>
      <c r="G25" s="1"/>
    </row>
    <row r="26" spans="1:7" x14ac:dyDescent="0.45">
      <c r="A26" s="1"/>
      <c r="B26" s="25" t="s">
        <v>241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0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0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6" t="s">
        <v>176</v>
      </c>
      <c r="C32" s="97"/>
      <c r="D32" s="97"/>
      <c r="E32" s="97"/>
      <c r="F32" s="98"/>
      <c r="G32" s="1"/>
    </row>
    <row r="33" spans="1:7" x14ac:dyDescent="0.45">
      <c r="A33" s="1"/>
      <c r="B33" s="47" t="s">
        <v>16</v>
      </c>
      <c r="C33" s="47" t="s">
        <v>11</v>
      </c>
      <c r="D33" s="48"/>
      <c r="E33" s="47" t="s">
        <v>34</v>
      </c>
      <c r="F33" s="43"/>
      <c r="G33" s="1"/>
    </row>
    <row r="34" spans="1:7" x14ac:dyDescent="0.45">
      <c r="A34" s="1"/>
      <c r="B34" s="25" t="s">
        <v>241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0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0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9WAlIpArQn6AM/zfSnZpQQOhIGreWhjFJGYD7GiK0OK0DkFENQqqRcdG5DfK2Ryo4wrgv5R3n9Ms1uh92P9d4g==" saltValue="XIJWeIcGTalwSf4tp4/GF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213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45">
      <c r="A9" s="1"/>
      <c r="B9" s="42" t="s">
        <v>157</v>
      </c>
      <c r="C9" s="87" t="s">
        <v>11</v>
      </c>
      <c r="D9" s="89"/>
      <c r="E9" s="87" t="s">
        <v>34</v>
      </c>
      <c r="F9" s="89"/>
      <c r="G9" s="1"/>
    </row>
    <row r="10" spans="1:7" x14ac:dyDescent="0.4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212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0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6" t="s">
        <v>110</v>
      </c>
      <c r="C15" s="97"/>
      <c r="D15" s="97"/>
      <c r="E15" s="97"/>
      <c r="F15" s="98"/>
      <c r="G15" s="1"/>
    </row>
    <row r="16" spans="1:7" x14ac:dyDescent="0.4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4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0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0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6" t="s">
        <v>112</v>
      </c>
      <c r="C22" s="97"/>
      <c r="D22" s="97"/>
      <c r="E22" s="97"/>
      <c r="F22" s="98"/>
      <c r="G22" s="1"/>
    </row>
    <row r="23" spans="1:7" x14ac:dyDescent="0.4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4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0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0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182</v>
      </c>
      <c r="C29" s="97"/>
      <c r="D29" s="97"/>
      <c r="E29" s="97"/>
      <c r="F29" s="98"/>
      <c r="G29" s="1"/>
    </row>
    <row r="30" spans="1:7" x14ac:dyDescent="0.4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4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0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0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2" t="s">
        <v>211</v>
      </c>
      <c r="C3" s="92"/>
      <c r="D3" s="1"/>
    </row>
    <row r="4" spans="1:4" ht="25.5" customHeight="1" x14ac:dyDescent="0.45">
      <c r="A4" s="1"/>
      <c r="B4" s="92"/>
      <c r="C4" s="9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0" t="s">
        <v>14</v>
      </c>
      <c r="C8" s="20"/>
      <c r="D8" s="1"/>
    </row>
    <row r="9" spans="1:4" x14ac:dyDescent="0.45">
      <c r="A9" s="1"/>
      <c r="B9" s="49" t="s">
        <v>141</v>
      </c>
      <c r="C9" s="26">
        <v>1.2699999999999999E-2</v>
      </c>
      <c r="D9" s="1"/>
    </row>
    <row r="10" spans="1:4" x14ac:dyDescent="0.45">
      <c r="A10" s="1"/>
      <c r="B10" s="49" t="s">
        <v>22</v>
      </c>
      <c r="C10" s="26">
        <v>1.7500000000000002E-2</v>
      </c>
      <c r="D10" s="1"/>
    </row>
    <row r="11" spans="1:4" x14ac:dyDescent="0.45">
      <c r="A11" s="1"/>
      <c r="B11" s="49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6"/>
      <c r="C14" s="98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0" t="s">
        <v>126</v>
      </c>
      <c r="C17" s="20"/>
      <c r="D17" s="1"/>
    </row>
    <row r="18" spans="1:4" x14ac:dyDescent="0.45">
      <c r="A18" s="1"/>
      <c r="B18" s="49" t="s">
        <v>143</v>
      </c>
      <c r="C18" s="23">
        <v>9.1000000000000004E-3</v>
      </c>
      <c r="D18" s="1"/>
    </row>
    <row r="19" spans="1:4" x14ac:dyDescent="0.45">
      <c r="A19" s="1"/>
      <c r="B19" s="49" t="s">
        <v>144</v>
      </c>
      <c r="C19" s="23">
        <v>1.77E-2</v>
      </c>
      <c r="D19" s="1"/>
    </row>
    <row r="20" spans="1:4" x14ac:dyDescent="0.45">
      <c r="A20" s="1"/>
      <c r="B20" s="49" t="s">
        <v>145</v>
      </c>
      <c r="C20" s="23">
        <v>8.6999999999999994E-3</v>
      </c>
      <c r="D20" s="1"/>
    </row>
    <row r="21" spans="1:4" x14ac:dyDescent="0.45">
      <c r="A21" s="1"/>
      <c r="B21" s="49" t="s">
        <v>146</v>
      </c>
      <c r="C21" s="36">
        <v>2.8400000000000002E-2</v>
      </c>
      <c r="D21" s="1"/>
    </row>
    <row r="22" spans="1:4" x14ac:dyDescent="0.45">
      <c r="A22" s="1"/>
      <c r="B22" s="49" t="s">
        <v>186</v>
      </c>
      <c r="C22" s="36">
        <v>2.75E-2</v>
      </c>
      <c r="D22" s="1"/>
    </row>
    <row r="23" spans="1:4" x14ac:dyDescent="0.45">
      <c r="A23" s="1"/>
      <c r="B23" s="40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0" t="s">
        <v>127</v>
      </c>
      <c r="C26" s="20"/>
      <c r="D26" s="1"/>
    </row>
    <row r="27" spans="1:4" x14ac:dyDescent="0.45">
      <c r="A27" s="1"/>
      <c r="B27" s="49" t="s">
        <v>147</v>
      </c>
      <c r="C27" s="26">
        <v>0.02</v>
      </c>
      <c r="D27" s="1"/>
    </row>
    <row r="28" spans="1:4" x14ac:dyDescent="0.45">
      <c r="A28" s="1"/>
      <c r="B28" s="40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161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x14ac:dyDescent="0.45">
      <c r="A9" s="1"/>
      <c r="B9" s="45" t="s">
        <v>25</v>
      </c>
      <c r="C9" s="7">
        <f>'Fane 3. Omkostninger i ØR2020'!E20</f>
        <v>11711492.782055017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tillæg'!C13</f>
        <v>2099961.7421999997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tillæg'!E13</f>
        <v>171476.72102399997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170591.761192404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0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-147918.67653815745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-197507.35476362673</v>
      </c>
      <c r="D19" s="8" t="s">
        <v>3</v>
      </c>
      <c r="E19" s="1"/>
    </row>
    <row r="20" spans="1:5" ht="17.100000000000001" customHeight="1" x14ac:dyDescent="0.45">
      <c r="A20" s="1"/>
      <c r="B20" s="50" t="s">
        <v>20</v>
      </c>
      <c r="C20" s="10">
        <f>SUM(C9:C19)</f>
        <v>13808096.975169634</v>
      </c>
      <c r="D20" s="11" t="s">
        <v>3</v>
      </c>
      <c r="E20" s="1"/>
    </row>
    <row r="21" spans="1:5" ht="15" customHeight="1" x14ac:dyDescent="0.45">
      <c r="A21" s="1"/>
      <c r="B21" s="40" t="s">
        <v>12</v>
      </c>
      <c r="C21" s="41"/>
      <c r="D21" s="20"/>
      <c r="E21" s="1"/>
    </row>
    <row r="22" spans="1:5" ht="15" customHeight="1" x14ac:dyDescent="0.45">
      <c r="A22" s="1"/>
      <c r="B22" s="42" t="s">
        <v>12</v>
      </c>
      <c r="C22" s="10">
        <f>'Fane 6. Ikke-påvirkelige omk.'!C15</f>
        <v>23964995.49114636</v>
      </c>
      <c r="D22" s="11" t="s">
        <v>3</v>
      </c>
      <c r="E22" s="1"/>
    </row>
    <row r="23" spans="1:5" ht="15" customHeight="1" x14ac:dyDescent="0.45">
      <c r="A23" s="1"/>
      <c r="B23" s="40" t="s">
        <v>99</v>
      </c>
      <c r="C23" s="41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0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1"/>
      <c r="D27" s="20"/>
      <c r="E27" s="1"/>
    </row>
    <row r="28" spans="1:5" x14ac:dyDescent="0.45">
      <c r="A28" s="1"/>
      <c r="B28" s="51" t="s">
        <v>205</v>
      </c>
      <c r="C28" s="10">
        <f>'Fane 7. Kontrol af ØR2019'!E41</f>
        <v>-3116754.3306875955</v>
      </c>
      <c r="D28" s="11" t="s">
        <v>3</v>
      </c>
      <c r="E28" s="1"/>
    </row>
    <row r="29" spans="1:5" x14ac:dyDescent="0.45">
      <c r="A29" s="1"/>
      <c r="B29" s="40" t="s">
        <v>31</v>
      </c>
      <c r="C29" s="32">
        <f>SUM(C20,C22,C26,C28)</f>
        <v>34656338.135628395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162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/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ht="15" customHeight="1" x14ac:dyDescent="0.45">
      <c r="A9" s="1"/>
      <c r="B9" s="45" t="s">
        <v>26</v>
      </c>
      <c r="C9" s="7">
        <f>'Fane 2.1. Økonomisk ramme 2021'!C20</f>
        <v>13808096.975169634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168458.78309706956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-146728.81870408452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-194419.22851822001</v>
      </c>
      <c r="D15" s="8" t="s">
        <v>3</v>
      </c>
      <c r="E15" s="1"/>
    </row>
    <row r="16" spans="1:5" ht="15" customHeight="1" x14ac:dyDescent="0.45">
      <c r="A16" s="1"/>
      <c r="B16" s="46" t="s">
        <v>20</v>
      </c>
      <c r="C16" s="10">
        <f>SUM(C9:C15)</f>
        <v>13635407.711044399</v>
      </c>
      <c r="D16" s="11" t="s">
        <v>3</v>
      </c>
      <c r="E16" s="1"/>
    </row>
    <row r="17" spans="1:5" x14ac:dyDescent="0.45">
      <c r="A17" s="1"/>
      <c r="B17" s="40" t="s">
        <v>12</v>
      </c>
      <c r="C17" s="41"/>
      <c r="D17" s="20"/>
      <c r="E17" s="1"/>
    </row>
    <row r="18" spans="1:5" ht="15" customHeight="1" x14ac:dyDescent="0.45">
      <c r="A18" s="1"/>
      <c r="B18" s="42" t="s">
        <v>12</v>
      </c>
      <c r="C18" s="10">
        <f>'Fane 6. Ikke-påvirkelige omk.'!C15*(1+'Fane 12. Nøgletal'!C13)</f>
        <v>24257368.436138343</v>
      </c>
      <c r="D18" s="11" t="s">
        <v>3</v>
      </c>
      <c r="E18" s="1"/>
    </row>
    <row r="19" spans="1:5" ht="15" customHeight="1" x14ac:dyDescent="0.45">
      <c r="A19" s="1"/>
      <c r="B19" s="40" t="s">
        <v>99</v>
      </c>
      <c r="C19" s="41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1"/>
      <c r="D23" s="20"/>
      <c r="E23" s="1"/>
    </row>
    <row r="24" spans="1:5" ht="15" customHeight="1" x14ac:dyDescent="0.45">
      <c r="A24" s="1"/>
      <c r="B24" s="51" t="s">
        <v>205</v>
      </c>
      <c r="C24" s="10">
        <f>'Fane 7. Kontrol af ØR2019'!E41</f>
        <v>-3116754.3306875955</v>
      </c>
      <c r="D24" s="11" t="s">
        <v>3</v>
      </c>
      <c r="E24" s="1"/>
    </row>
    <row r="25" spans="1:5" x14ac:dyDescent="0.45">
      <c r="A25" s="1"/>
      <c r="B25" s="40" t="s">
        <v>32</v>
      </c>
      <c r="C25" s="12">
        <f>SUM(C16,C18,C22,C24)</f>
        <v>34776021.816495143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163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5" t="s">
        <v>165</v>
      </c>
      <c r="C8" s="7">
        <f>'Fane 2.2. Økonomisk ramme 2022'!C16</f>
        <v>13635407.711044399</v>
      </c>
      <c r="D8" s="8" t="s">
        <v>3</v>
      </c>
      <c r="E8" s="1"/>
    </row>
    <row r="9" spans="1:5" ht="15" customHeight="1" x14ac:dyDescent="0.45">
      <c r="A9" s="1"/>
      <c r="B9" s="45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5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166351.97407474168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-145548.53208642887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-191379.38667072338</v>
      </c>
      <c r="D14" s="8" t="s">
        <v>3</v>
      </c>
      <c r="E14" s="1"/>
    </row>
    <row r="15" spans="1:5" x14ac:dyDescent="0.45">
      <c r="A15" s="1"/>
      <c r="B15" s="46" t="s">
        <v>20</v>
      </c>
      <c r="C15" s="10">
        <f>SUM(C8:C14)</f>
        <v>13464831.766361989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omk.'!C15*(1+'Fane 12. Nøgletal'!C13)^2</f>
        <v>24553308.331059232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0" t="s">
        <v>109</v>
      </c>
      <c r="C22" s="12">
        <f>SUM(C15,C17,C21)</f>
        <v>38018140.097421221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164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5" t="s">
        <v>166</v>
      </c>
      <c r="C8" s="7">
        <f>'Fane 2.3. Økonomisk ramme 2023'!C15</f>
        <v>13464831.766361989</v>
      </c>
      <c r="D8" s="8" t="s">
        <v>3</v>
      </c>
      <c r="E8" s="1"/>
    </row>
    <row r="9" spans="1:5" ht="15" customHeight="1" x14ac:dyDescent="0.45">
      <c r="A9" s="1"/>
      <c r="B9" s="45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5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164270.94754961628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-144377.7396943256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-188387.07427043328</v>
      </c>
      <c r="D14" s="8" t="s">
        <v>3</v>
      </c>
      <c r="E14" s="1"/>
    </row>
    <row r="15" spans="1:5" x14ac:dyDescent="0.45">
      <c r="A15" s="1"/>
      <c r="B15" s="46" t="s">
        <v>20</v>
      </c>
      <c r="C15" s="10">
        <f>SUM(C8:C14)</f>
        <v>13296337.899946848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omk.'!C15*(1+'Fane 12. Nøgletal'!C13)^3</f>
        <v>24852858.692698158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0" t="s">
        <v>242</v>
      </c>
      <c r="C22" s="12">
        <f>SUM(C15,C17,C21)</f>
        <v>38149196.592645004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180</v>
      </c>
      <c r="C3" s="92"/>
      <c r="D3" s="92"/>
      <c r="E3" s="92"/>
      <c r="F3" s="92"/>
      <c r="G3" s="1"/>
    </row>
    <row r="4" spans="1:7" ht="29.2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167</v>
      </c>
      <c r="C8" s="41"/>
      <c r="D8" s="41"/>
      <c r="E8" s="41"/>
      <c r="F8" s="20"/>
      <c r="G8" s="1"/>
    </row>
    <row r="9" spans="1:7" x14ac:dyDescent="0.45">
      <c r="A9" s="1"/>
      <c r="B9" s="93" t="s">
        <v>23</v>
      </c>
      <c r="C9" s="94"/>
      <c r="D9" s="95"/>
      <c r="E9" s="7">
        <v>8319296.1937627811</v>
      </c>
      <c r="F9" s="8" t="s">
        <v>3</v>
      </c>
      <c r="G9" s="1"/>
    </row>
    <row r="10" spans="1:7" ht="15" customHeight="1" x14ac:dyDescent="0.45">
      <c r="A10" s="1"/>
      <c r="B10" s="78" t="s">
        <v>45</v>
      </c>
      <c r="C10" s="79"/>
      <c r="D10" s="80"/>
      <c r="E10" s="7">
        <v>0</v>
      </c>
      <c r="F10" s="8" t="s">
        <v>3</v>
      </c>
      <c r="G10" s="1"/>
    </row>
    <row r="11" spans="1:7" ht="15" customHeight="1" x14ac:dyDescent="0.45">
      <c r="A11" s="1"/>
      <c r="B11" s="78" t="s">
        <v>46</v>
      </c>
      <c r="C11" s="79"/>
      <c r="D11" s="80"/>
      <c r="E11" s="9">
        <v>4156640.8306572409</v>
      </c>
      <c r="F11" s="8" t="s">
        <v>3</v>
      </c>
      <c r="G11" s="1"/>
    </row>
    <row r="12" spans="1:7" x14ac:dyDescent="0.45">
      <c r="A12" s="1"/>
      <c r="B12" s="78" t="s">
        <v>30</v>
      </c>
      <c r="C12" s="79"/>
      <c r="D12" s="80"/>
      <c r="E12" s="9">
        <v>0</v>
      </c>
      <c r="F12" s="8" t="s">
        <v>3</v>
      </c>
      <c r="G12" s="1"/>
    </row>
    <row r="13" spans="1:7" x14ac:dyDescent="0.45">
      <c r="A13" s="1"/>
      <c r="B13" s="78" t="s">
        <v>29</v>
      </c>
      <c r="C13" s="79"/>
      <c r="D13" s="80"/>
      <c r="E13" s="9">
        <v>-492008.01716486609</v>
      </c>
      <c r="F13" s="8" t="s">
        <v>3</v>
      </c>
      <c r="G13" s="1"/>
    </row>
    <row r="14" spans="1:7" x14ac:dyDescent="0.45">
      <c r="A14" s="1"/>
      <c r="B14" s="78" t="s">
        <v>159</v>
      </c>
      <c r="C14" s="79"/>
      <c r="D14" s="80"/>
      <c r="E14" s="9">
        <v>0</v>
      </c>
      <c r="F14" s="8" t="s">
        <v>3</v>
      </c>
      <c r="G14" s="1"/>
    </row>
    <row r="15" spans="1:7" x14ac:dyDescent="0.45">
      <c r="A15" s="1"/>
      <c r="B15" s="78" t="s">
        <v>160</v>
      </c>
      <c r="C15" s="79"/>
      <c r="D15" s="80"/>
      <c r="E15" s="9">
        <v>0</v>
      </c>
      <c r="F15" s="8" t="s">
        <v>3</v>
      </c>
      <c r="G15" s="1"/>
    </row>
    <row r="16" spans="1:7" x14ac:dyDescent="0.45">
      <c r="A16" s="1"/>
      <c r="B16" s="78" t="s">
        <v>18</v>
      </c>
      <c r="C16" s="79"/>
      <c r="D16" s="80"/>
      <c r="E16" s="9">
        <f>E9*'Fane 12. Nøgletal'!C11+SUM(E10:E15)*'Fane 12. Nøgletal'!C12</f>
        <v>212789.37210039076</v>
      </c>
      <c r="F16" s="8" t="s">
        <v>3</v>
      </c>
      <c r="G16" s="1"/>
    </row>
    <row r="17" spans="1:7" x14ac:dyDescent="0.45">
      <c r="A17" s="1"/>
      <c r="B17" s="78" t="s">
        <v>9</v>
      </c>
      <c r="C17" s="79"/>
      <c r="D17" s="80"/>
      <c r="E17" s="9">
        <f>-SUM(E9:E16)*'Fane 5. Individuelt eff. krav'!G9</f>
        <v>-243934.36758711096</v>
      </c>
      <c r="F17" s="8" t="s">
        <v>3</v>
      </c>
      <c r="G17" s="1"/>
    </row>
    <row r="18" spans="1:7" x14ac:dyDescent="0.45">
      <c r="A18" s="1"/>
      <c r="B18" s="78" t="s">
        <v>27</v>
      </c>
      <c r="C18" s="79"/>
      <c r="D18" s="80"/>
      <c r="E18" s="9">
        <f>-'Fane 4.1. Gen. krav - drift'!G25</f>
        <v>-106261.82111813493</v>
      </c>
      <c r="F18" s="8" t="s">
        <v>3</v>
      </c>
      <c r="G18" s="1"/>
    </row>
    <row r="19" spans="1:7" x14ac:dyDescent="0.45">
      <c r="A19" s="1"/>
      <c r="B19" s="78" t="s">
        <v>28</v>
      </c>
      <c r="C19" s="79"/>
      <c r="D19" s="80"/>
      <c r="E19" s="9">
        <f>-'Fane 4.2. Gen. krav - anlæg'!G25</f>
        <v>-135029.40859528581</v>
      </c>
      <c r="F19" s="8" t="s">
        <v>3</v>
      </c>
      <c r="G19" s="1"/>
    </row>
    <row r="20" spans="1:7" x14ac:dyDescent="0.45">
      <c r="A20" s="1"/>
      <c r="B20" s="81" t="s">
        <v>20</v>
      </c>
      <c r="C20" s="82"/>
      <c r="D20" s="83"/>
      <c r="E20" s="10">
        <f>SUM(E9:E19)</f>
        <v>11711492.782055017</v>
      </c>
      <c r="F20" s="11" t="s">
        <v>3</v>
      </c>
      <c r="G20" s="1"/>
    </row>
    <row r="21" spans="1:7" x14ac:dyDescent="0.45">
      <c r="A21" s="1"/>
      <c r="B21" s="90" t="s">
        <v>12</v>
      </c>
      <c r="C21" s="91"/>
      <c r="D21" s="91"/>
      <c r="E21" s="41"/>
      <c r="F21" s="20"/>
      <c r="G21" s="1"/>
    </row>
    <row r="22" spans="1:7" x14ac:dyDescent="0.45">
      <c r="A22" s="1"/>
      <c r="B22" s="84" t="s">
        <v>12</v>
      </c>
      <c r="C22" s="85"/>
      <c r="D22" s="86"/>
      <c r="E22" s="10">
        <v>24196387.874923006</v>
      </c>
      <c r="F22" s="11" t="s">
        <v>3</v>
      </c>
      <c r="G22" s="1"/>
    </row>
    <row r="23" spans="1:7" ht="15" customHeight="1" x14ac:dyDescent="0.45">
      <c r="A23" s="1"/>
      <c r="B23" s="90" t="s">
        <v>99</v>
      </c>
      <c r="C23" s="91"/>
      <c r="D23" s="91"/>
      <c r="E23" s="41"/>
      <c r="F23" s="41"/>
      <c r="G23" s="1"/>
    </row>
    <row r="24" spans="1:7" ht="14.25" customHeight="1" x14ac:dyDescent="0.45">
      <c r="A24" s="1"/>
      <c r="B24" s="75" t="s">
        <v>95</v>
      </c>
      <c r="C24" s="76"/>
      <c r="D24" s="77"/>
      <c r="E24" s="9">
        <v>1940428.6184319302</v>
      </c>
      <c r="F24" s="8" t="s">
        <v>3</v>
      </c>
      <c r="G24" s="1"/>
    </row>
    <row r="25" spans="1:7" ht="14.25" customHeight="1" x14ac:dyDescent="0.45">
      <c r="A25" s="1"/>
      <c r="B25" s="75" t="s">
        <v>96</v>
      </c>
      <c r="C25" s="76"/>
      <c r="D25" s="77"/>
      <c r="E25" s="9">
        <v>0</v>
      </c>
      <c r="F25" s="8" t="s">
        <v>3</v>
      </c>
      <c r="G25" s="1"/>
    </row>
    <row r="26" spans="1:7" x14ac:dyDescent="0.45">
      <c r="A26" s="1"/>
      <c r="B26" s="87" t="s">
        <v>100</v>
      </c>
      <c r="C26" s="88"/>
      <c r="D26" s="88"/>
      <c r="E26" s="10">
        <v>1862811.473694653</v>
      </c>
      <c r="F26" s="11" t="s">
        <v>3</v>
      </c>
      <c r="G26" s="1"/>
    </row>
    <row r="27" spans="1:7" ht="14.25" customHeight="1" x14ac:dyDescent="0.45">
      <c r="A27" s="1"/>
      <c r="B27" s="40" t="s">
        <v>228</v>
      </c>
      <c r="C27" s="41"/>
      <c r="D27" s="41"/>
      <c r="E27" s="41"/>
      <c r="F27" s="41"/>
      <c r="G27" s="1"/>
    </row>
    <row r="28" spans="1:7" ht="13.15" customHeight="1" x14ac:dyDescent="0.45">
      <c r="A28" s="1"/>
      <c r="B28" s="87" t="s">
        <v>229</v>
      </c>
      <c r="C28" s="88"/>
      <c r="D28" s="89"/>
      <c r="E28" s="10">
        <v>0</v>
      </c>
      <c r="F28" s="11" t="s">
        <v>3</v>
      </c>
      <c r="G28" s="1"/>
    </row>
    <row r="29" spans="1:7" x14ac:dyDescent="0.45">
      <c r="A29" s="1"/>
      <c r="B29" s="40" t="s">
        <v>230</v>
      </c>
      <c r="C29" s="41"/>
      <c r="D29" s="41"/>
      <c r="E29" s="41"/>
      <c r="F29" s="20"/>
      <c r="G29" s="1"/>
    </row>
    <row r="30" spans="1:7" ht="15" customHeight="1" x14ac:dyDescent="0.45">
      <c r="A30" s="1"/>
      <c r="B30" s="87" t="s">
        <v>231</v>
      </c>
      <c r="C30" s="88"/>
      <c r="D30" s="89"/>
      <c r="E30" s="10">
        <v>1635979.5154260253</v>
      </c>
      <c r="F30" s="11" t="s">
        <v>3</v>
      </c>
      <c r="G30" s="1"/>
    </row>
    <row r="31" spans="1:7" x14ac:dyDescent="0.45">
      <c r="A31" s="1"/>
      <c r="B31" s="40" t="s">
        <v>232</v>
      </c>
      <c r="C31" s="41"/>
      <c r="D31" s="41"/>
      <c r="E31" s="41"/>
      <c r="F31" s="20"/>
      <c r="G31" s="1"/>
    </row>
    <row r="32" spans="1:7" x14ac:dyDescent="0.45">
      <c r="A32" s="1"/>
      <c r="B32" s="84" t="s">
        <v>233</v>
      </c>
      <c r="C32" s="85"/>
      <c r="D32" s="86"/>
      <c r="E32" s="10">
        <v>0</v>
      </c>
      <c r="F32" s="11" t="s">
        <v>3</v>
      </c>
      <c r="G32" s="1"/>
    </row>
    <row r="33" spans="1:7" x14ac:dyDescent="0.45">
      <c r="A33" s="1"/>
      <c r="B33" s="40" t="s">
        <v>24</v>
      </c>
      <c r="C33" s="41"/>
      <c r="D33" s="41"/>
      <c r="E33" s="12">
        <f>SUM(E30,E26,E28,E22,E20,E32)</f>
        <v>39406671.646098703</v>
      </c>
      <c r="F33" s="13" t="s">
        <v>3</v>
      </c>
      <c r="G33" s="1"/>
    </row>
    <row r="34" spans="1:7" ht="28.15" customHeight="1" x14ac:dyDescent="0.45">
      <c r="A34" s="1"/>
      <c r="B34" s="75" t="s">
        <v>179</v>
      </c>
      <c r="C34" s="76"/>
      <c r="D34" s="76"/>
      <c r="E34" s="76"/>
      <c r="F34" s="77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4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4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4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53</v>
      </c>
      <c r="C5" s="100"/>
      <c r="D5" s="100"/>
      <c r="E5" s="100"/>
      <c r="F5" s="101"/>
      <c r="G5" s="24">
        <v>5401081</v>
      </c>
      <c r="H5" s="14" t="s">
        <v>3</v>
      </c>
      <c r="I5" s="1"/>
    </row>
    <row r="6" spans="1:9" x14ac:dyDescent="0.45">
      <c r="A6" s="1"/>
      <c r="B6" s="99" t="s">
        <v>54</v>
      </c>
      <c r="C6" s="100"/>
      <c r="D6" s="100"/>
      <c r="E6" s="100"/>
      <c r="F6" s="101"/>
      <c r="G6" s="24">
        <f>G5*'Fane 12. Nøgletal'!C27</f>
        <v>108021.62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5360281.2341259997</v>
      </c>
      <c r="H10" s="14" t="s">
        <v>3</v>
      </c>
      <c r="I10" s="1"/>
    </row>
    <row r="11" spans="1:9" x14ac:dyDescent="0.4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107205.62468251999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5341852.5872430746</v>
      </c>
      <c r="H16" s="14" t="s">
        <v>3</v>
      </c>
      <c r="I16" s="1"/>
    </row>
    <row r="17" spans="1:9" x14ac:dyDescent="0.45">
      <c r="A17" s="1"/>
      <c r="B17" s="99" t="s">
        <v>148</v>
      </c>
      <c r="C17" s="100"/>
      <c r="D17" s="100"/>
      <c r="E17" s="100"/>
      <c r="F17" s="101"/>
      <c r="G17" s="24">
        <v>-10432.107727753541</v>
      </c>
      <c r="H17" s="14" t="s">
        <v>3</v>
      </c>
      <c r="I17" s="1"/>
    </row>
    <row r="18" spans="1:9" x14ac:dyDescent="0.4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4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106628.40959030642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5313091.0559067465</v>
      </c>
      <c r="H23" s="14" t="s">
        <v>3</v>
      </c>
      <c r="I23" s="1"/>
    </row>
    <row r="24" spans="1:9" x14ac:dyDescent="0.45">
      <c r="A24" s="1"/>
      <c r="B24" s="102" t="s">
        <v>62</v>
      </c>
      <c r="C24" s="103"/>
      <c r="D24" s="103"/>
      <c r="E24" s="103"/>
      <c r="F24" s="104"/>
      <c r="G24" s="24">
        <v>0</v>
      </c>
      <c r="H24" s="14" t="s">
        <v>3</v>
      </c>
      <c r="I24" s="1"/>
    </row>
    <row r="25" spans="1:9" x14ac:dyDescent="0.4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106261.82111813493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5270352.5514530325</v>
      </c>
      <c r="H29" s="14" t="s">
        <v>3</v>
      </c>
      <c r="I29" s="1"/>
    </row>
    <row r="30" spans="1:9" x14ac:dyDescent="0.4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2125581.2754548397</v>
      </c>
      <c r="H30" s="14" t="s">
        <v>3</v>
      </c>
      <c r="I30" s="1"/>
    </row>
    <row r="31" spans="1:9" x14ac:dyDescent="0.4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147918.67653815745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7336440.9352042256</v>
      </c>
      <c r="H35" s="14" t="s">
        <v>3</v>
      </c>
      <c r="I35" s="1"/>
    </row>
    <row r="36" spans="1:9" x14ac:dyDescent="0.4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146728.81870408452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7277426.6043214425</v>
      </c>
      <c r="H41" s="14" t="s">
        <v>3</v>
      </c>
      <c r="I41" s="1"/>
    </row>
    <row r="42" spans="1:9" x14ac:dyDescent="0.4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145548.53208642887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7218886.9847162804</v>
      </c>
      <c r="H47" s="14" t="s">
        <v>3</v>
      </c>
      <c r="I47" s="1"/>
    </row>
    <row r="48" spans="1:9" x14ac:dyDescent="0.4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144377.7396943256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72</v>
      </c>
      <c r="C5" s="100"/>
      <c r="D5" s="100"/>
      <c r="E5" s="100"/>
      <c r="F5" s="101"/>
      <c r="G5" s="24">
        <v>3020500</v>
      </c>
      <c r="H5" s="14" t="s">
        <v>3</v>
      </c>
      <c r="I5" s="1"/>
    </row>
    <row r="6" spans="1:9" x14ac:dyDescent="0.45">
      <c r="A6" s="1"/>
      <c r="B6" s="99" t="s">
        <v>69</v>
      </c>
      <c r="C6" s="100"/>
      <c r="D6" s="100"/>
      <c r="E6" s="100"/>
      <c r="F6" s="101"/>
      <c r="G6" s="24">
        <f>G5*'Fane 12. Nøgletal'!C18</f>
        <v>27486.550000000003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3031024.7208150001</v>
      </c>
      <c r="H10" s="14" t="s">
        <v>3</v>
      </c>
      <c r="I10" s="1"/>
    </row>
    <row r="11" spans="1:9" x14ac:dyDescent="0.4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27582.324959416503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3054200.5723455427</v>
      </c>
      <c r="H16" s="14" t="s">
        <v>3</v>
      </c>
      <c r="I16" s="1"/>
    </row>
    <row r="17" spans="1:9" x14ac:dyDescent="0.45">
      <c r="A17" s="1"/>
      <c r="B17" s="99" t="s">
        <v>149</v>
      </c>
      <c r="C17" s="100"/>
      <c r="D17" s="100"/>
      <c r="E17" s="100"/>
      <c r="F17" s="101"/>
      <c r="G17" s="24">
        <v>-1008464.5399294044</v>
      </c>
      <c r="H17" s="14" t="s">
        <v>3</v>
      </c>
      <c r="I17" s="1"/>
    </row>
    <row r="18" spans="1:9" x14ac:dyDescent="0.45">
      <c r="A18" s="1"/>
      <c r="B18" s="102" t="s">
        <v>79</v>
      </c>
      <c r="C18" s="103"/>
      <c r="D18" s="103"/>
      <c r="E18" s="103"/>
      <c r="F18" s="104"/>
      <c r="G18" s="24">
        <v>1249970.6287140897</v>
      </c>
      <c r="H18" s="14" t="s">
        <v>3</v>
      </c>
      <c r="I18" s="1"/>
    </row>
    <row r="19" spans="1:9" x14ac:dyDescent="0.4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28672.647951832983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3322246.8880011099</v>
      </c>
      <c r="H23" s="14" t="s">
        <v>3</v>
      </c>
      <c r="I23" s="1"/>
    </row>
    <row r="24" spans="1:9" x14ac:dyDescent="0.45">
      <c r="A24" s="1"/>
      <c r="B24" s="102" t="s">
        <v>83</v>
      </c>
      <c r="C24" s="103"/>
      <c r="D24" s="103"/>
      <c r="E24" s="103"/>
      <c r="F24" s="104"/>
      <c r="G24" s="24">
        <v>3736826.079918175</v>
      </c>
      <c r="H24" s="14" t="s">
        <v>3</v>
      </c>
      <c r="I24" s="1"/>
    </row>
    <row r="25" spans="1:9" x14ac:dyDescent="0.4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135029.40859528581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7008516.890747752</v>
      </c>
      <c r="H29" s="14" t="s">
        <v>3</v>
      </c>
      <c r="I29" s="1"/>
    </row>
    <row r="30" spans="1:9" x14ac:dyDescent="0.4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173568.73702049276</v>
      </c>
      <c r="H30" s="14" t="s">
        <v>3</v>
      </c>
      <c r="I30" s="1"/>
    </row>
    <row r="31" spans="1:9" x14ac:dyDescent="0.4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197507.35476362673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7069790.1279352736</v>
      </c>
      <c r="H35" s="14" t="s">
        <v>3</v>
      </c>
      <c r="I35" s="1"/>
    </row>
    <row r="36" spans="1:9" x14ac:dyDescent="0.4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194419.22851822001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6959250.4243899416</v>
      </c>
      <c r="H41" s="14" t="s">
        <v>3</v>
      </c>
      <c r="I41" s="1"/>
    </row>
    <row r="42" spans="1:9" x14ac:dyDescent="0.4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191379.38667072338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6850439.0643793922</v>
      </c>
      <c r="H47" s="14" t="s">
        <v>3</v>
      </c>
      <c r="I47" s="1"/>
    </row>
    <row r="48" spans="1:9" x14ac:dyDescent="0.4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188387.07427043328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45">
      <c r="A9" s="1"/>
      <c r="B9" s="99" t="s">
        <v>124</v>
      </c>
      <c r="C9" s="100"/>
      <c r="D9" s="100"/>
      <c r="E9" s="100"/>
      <c r="F9" s="101"/>
      <c r="G9" s="23">
        <v>0.02</v>
      </c>
      <c r="H9" s="14"/>
      <c r="I9" s="1"/>
    </row>
    <row r="10" spans="1:9" x14ac:dyDescent="0.45">
      <c r="A10" s="1"/>
      <c r="B10" s="99" t="s">
        <v>181</v>
      </c>
      <c r="C10" s="100"/>
      <c r="D10" s="100"/>
      <c r="E10" s="100"/>
      <c r="F10" s="101"/>
      <c r="G10" s="23">
        <v>0</v>
      </c>
      <c r="H10" s="14"/>
      <c r="I10" s="1"/>
    </row>
    <row r="11" spans="1:9" x14ac:dyDescent="0.45">
      <c r="A11" s="1"/>
      <c r="B11" s="40"/>
      <c r="C11" s="41"/>
      <c r="D11" s="41"/>
      <c r="E11" s="41"/>
      <c r="F11" s="41"/>
      <c r="G11" s="41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2020-10-20T06:04:16Z</dcterms:modified>
</cp:coreProperties>
</file>