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Vandcenter Syd AS (V199)\ØR2024\"/>
    </mc:Choice>
  </mc:AlternateContent>
  <xr:revisionPtr revIDLastSave="0" documentId="13_ncr:1_{AA79354B-31EE-486B-B538-0C8981ECC2FA}"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3"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iterate="1" iterateCount="1"/>
</workbook>
</file>

<file path=xl/calcChain.xml><?xml version="1.0" encoding="utf-8"?>
<calcChain xmlns="http://schemas.openxmlformats.org/spreadsheetml/2006/main">
  <c r="E23" i="43" l="1"/>
  <c r="E31" i="43" s="1"/>
  <c r="E33" i="43" s="1"/>
  <c r="E27" i="43" l="1"/>
  <c r="C29" i="2"/>
  <c r="C17" i="22" l="1"/>
  <c r="C17" i="15"/>
  <c r="C8" i="2"/>
  <c r="C13" i="29" l="1"/>
  <c r="C14" i="29" s="1"/>
  <c r="E24" i="39" l="1"/>
  <c r="C24" i="39"/>
  <c r="C31" i="2" l="1"/>
  <c r="E25" i="39" l="1"/>
  <c r="C25" i="39"/>
  <c r="J11" i="11"/>
  <c r="H11" i="11"/>
  <c r="F10" i="11" l="1"/>
  <c r="F11" i="11" s="1"/>
  <c r="C19" i="23" l="1"/>
  <c r="C19" i="22"/>
  <c r="C19" i="15"/>
  <c r="G18" i="40"/>
  <c r="E13" i="29" l="1"/>
  <c r="C19" i="19"/>
  <c r="C20" i="19" s="1"/>
  <c r="C15" i="23" l="1"/>
  <c r="C15" i="15"/>
  <c r="C15" i="22"/>
  <c r="E14" i="29"/>
  <c r="C14" i="2" s="1"/>
  <c r="E10" i="37"/>
  <c r="E24" i="37" s="1"/>
  <c r="E25" i="37" s="1"/>
  <c r="C10" i="37"/>
  <c r="C24" i="37" s="1"/>
  <c r="C25"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<sst xmlns="http://schemas.openxmlformats.org/spreadsheetml/2006/main" count="596" uniqueCount="273">
  <si>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</si>
  <si>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</si>
  <si>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</si>
  <si>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</si>
  <si>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</si>
  <si>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</si>
  <si>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</si>
  <si>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</si>
  <si>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</si>
  <si>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</si>
  <si>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</si>
  <si>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</si>
  <si>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</si>
  <si>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</si>
  <si>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</si>
  <si>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</si>
  <si>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</si>
  <si>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</si>
  <si>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</si>
  <si>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</si>
  <si>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</si>
  <si>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</si>
  <si>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</si>
  <si>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</si>
  <si>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</si>
  <si>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</si>
  <si>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</si>
  <si>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</si>
  <si>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</si>
  <si>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</si>
  <si>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</si>
  <si>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</si>
  <si>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</si>
  <si>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</si>
  <si>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</si>
  <si>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</si>
  <si>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</si>
  <si>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</si>
  <si>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</si>
  <si>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</si>
  <si>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</si>
  <si>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</si>
  <si>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</si>
  <si>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</si>
  <si>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</si>
  <si>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</si>
  <si>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</si>
  <si>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</si>
  <si>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</si>
  <si>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</si>
  <si>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</si>
  <si>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</si>
  <si>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</si>
  <si>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</si>
  <si>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</si>
  <si>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</si>
  <si>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</si>
  <si>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</si>
  <si>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</si>
  <si>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</si>
  <si>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</si>
  <si>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</si>
  <si>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</si>
  <si>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</si>
  <si>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</si>
  <si>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</si>
  <si>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</si>
  <si>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</si>
  <si>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</si>
  <si>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</si>
  <si>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</si>
  <si>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</si>
  <si>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</si>
  <si>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</si>
  <si>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</si>
  <si>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</si>
  <si>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</si>
  <si>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</si>
  <si>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</si>
  <si>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</si>
  <si>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</si>
  <si>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</si>
  <si>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</si>
  <si>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</si>
  <si>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</si>
  <si>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</si>
  <si>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</si>
  <si>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</si>
  <si>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</si>
  <si>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</si>
  <si>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</si>
  <si>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</si>
  <si>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</si>
  <si>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</si>
  <si>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</si>
  <si>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</si>
  <si>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</si>
  <si>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</si>
  <si>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</si>
  <si>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</si>
  <si>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</si>
  <si>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</si>
  <si>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</si>
  <si>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</si>
  <si>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</si>
  <si>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</si>
  <si>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</si>
  <si>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</si>
  <si>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</si>
  <si>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</si>
  <si>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</si>
  <si>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</si>
  <si>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</si>
  <si>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</si>
  <si>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</si>
  <si>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</si>
  <si>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</si>
  <si>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</si>
  <si>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</si>
  <si>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</si>
  <si>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</si>
  <si>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</si>
  <si>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</si>
  <si>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</si>
  <si>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</si>
  <si>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</si>
  <si>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</si>
  <si>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</si>
  <si>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</si>
  <si>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</si>
  <si>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</si>
  <si>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</si>
  <si>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</si>
  <si>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</si>
  <si>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</si>
  <si>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</si>
  <si>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</si>
  <si>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</si>
  <si>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</si>
  <si>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</si>
  <si>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</si>
  <si>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</si>
  <si>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</si>
  <si>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</si>
  <si>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</si>
  <si>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</si>
  <si>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</si>
  <si>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</si>
  <si>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</si>
  <si>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</si>
  <si>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</si>
  <si>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</si>
  <si>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</si>
  <si>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</si>
  <si>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</si>
  <si>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</si>
  <si>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</si>
  <si>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</si>
  <si>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</si>
  <si>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</si>
  <si>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</si>
  <si>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</si>
  <si>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</si>
  <si>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</si>
  <si>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</si>
  <si>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</si>
  <si>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</si>
  <si>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</si>
  <si>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</si>
  <si>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</si>
  <si>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</si>
  <si>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</si>
  <si>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</si>
  <si>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</si>
  <si>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</si>
  <si>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</si>
  <si>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</si>
  <si>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</si>
  <si>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</si>
  <si>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</si>
  <si>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</si>
  <si>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</si>
  <si>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</si>
  <si>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</si>
  <si>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</si>
  <si>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</si>
  <si>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</si>
  <si>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</si>
  <si>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</si>
  <si>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</si>
  <si>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</si>
  <si>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</si>
  <si>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</si>
  <si>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</si>
  <si>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</si>
  <si>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</si>
  <si>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</si>
  <si>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</si>
  <si>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</si>
  <si>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</si>
  <si>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</si>
  <si>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</si>
  <si>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</si>
  <si>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</si>
  <si>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</si>
  <si>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</si>
  <si>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</si>
  <si>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</si>
  <si>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</si>
  <si>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</si>
  <si>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</si>
  <si>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</si>
  <si>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</si>
  <si>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</si>
  <si>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</si>
  <si>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</si>
  <si>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</si>
  <si>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</si>
  <si>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</si>
  <si>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</si>
  <si>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</si>
  <si>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</si>
  <si>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</si>
  <si>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</si>
  <si>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</si>
  <si>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</si>
  <si>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</si>
  <si>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</si>
  <si>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</si>
  <si>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</si>
  <si>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</si>
  <si>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</si>
  <si>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</si>
  <si>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</si>
  <si>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</si>
  <si>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</si>
  <si>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</si>
  <si>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</si>
  <si>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</si>
  <si>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</si>
  <si>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</si>
  <si>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</si>
  <si>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</si>
  <si>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</si>
  <si>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</si>
  <si>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Tjenestemandspensioner</t>
  </si>
  <si>
    <t>Ejendomsskat</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</si>
  <si>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</si>
  <si>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</si>
  <si>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</si>
  <si>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</si>
  <si>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</si>
  <si>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</si>
  <si>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</si>
  <si>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</si>
  <si>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</si>
  <si>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</si>
  <si>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</si>
  <si>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</si>
  <si>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</si>
  <si>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Drift af UV-anlæg</t>
  </si>
  <si>
    <t>Drift vedr. online målinger og drikkevandskvalitet</t>
  </si>
  <si>
    <t>Lokal rensning af grundvandet</t>
  </si>
  <si>
    <t>Pejleboringer</t>
  </si>
  <si>
    <t>Udvidelse af antal målere</t>
  </si>
  <si>
    <t>Kvarterbrønde 2022</t>
  </si>
  <si>
    <t>Lukning og renovering af boringer 2022</t>
  </si>
  <si>
    <t>Dalumvej ved Dalum Papir - Omlægning af 300 ETR</t>
  </si>
  <si>
    <t>Nye forbrugere - nye stikledninger 2022</t>
  </si>
  <si>
    <t>Lunden 8, ny udstykning (266 boliger)</t>
  </si>
  <si>
    <t>Dalum Papir, ny udstykning</t>
  </si>
  <si>
    <t>Energivej – Erhvervsudstykning</t>
  </si>
  <si>
    <t>Elektroniske målere Odense Kommune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</si>
</sst>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5" fontId="8" fillId="4" borderId="1" xfId="1"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7" fillId="3" borderId="1" xfId="0" applyFont="1" applyFill="1" applyBorder="1" applyAlignment="1" applyProtection="1">
      <alignment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4" t="s">
        <v>4</v>
      </c>
      <c r="E6" s="84"/>
      <c r="F6" s="84"/>
      <c r="G6" s="84"/>
      <c r="H6" s="3"/>
      <c r="I6" s="1"/>
    </row>
    <row r="7" spans="1:9" ht="15" customHeight="1" x14ac:dyDescent="0.25">
      <c r="A7" s="1"/>
      <c r="B7" s="1"/>
      <c r="C7" s="3"/>
      <c r="D7" s="84"/>
      <c r="E7" s="84"/>
      <c r="F7" s="84"/>
      <c r="G7" s="84"/>
      <c r="H7" s="3"/>
      <c r="I7" s="1"/>
    </row>
    <row r="8" spans="1:9" ht="15.75" x14ac:dyDescent="0.25">
      <c r="A8" s="1"/>
      <c r="B8" s="1"/>
      <c r="C8" s="4"/>
      <c r="D8" s="89" t="s">
        <v>235</v>
      </c>
      <c r="E8" s="89"/>
      <c r="F8" s="89"/>
      <c r="G8" s="89"/>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8" t="s">
        <v>5</v>
      </c>
      <c r="E11" s="88"/>
      <c r="F11" s="88"/>
      <c r="G11" s="88"/>
      <c r="H11" s="5"/>
      <c r="I11" s="1"/>
    </row>
    <row r="12" spans="1:9" x14ac:dyDescent="0.25">
      <c r="A12" s="1"/>
      <c r="B12" s="1"/>
      <c r="C12" s="1"/>
      <c r="D12" s="1"/>
      <c r="E12" s="1"/>
      <c r="F12" s="1"/>
      <c r="G12" s="1"/>
      <c r="H12" s="1"/>
      <c r="I12" s="1"/>
    </row>
    <row r="13" spans="1:9" x14ac:dyDescent="0.25">
      <c r="A13" s="1"/>
      <c r="B13" s="1"/>
      <c r="C13" s="6" t="s">
        <v>6</v>
      </c>
      <c r="D13" s="81" t="s">
        <v>162</v>
      </c>
      <c r="E13" s="82"/>
      <c r="F13" s="82"/>
      <c r="G13" s="83"/>
      <c r="H13" s="1"/>
      <c r="I13" s="1"/>
    </row>
    <row r="14" spans="1:9" x14ac:dyDescent="0.25">
      <c r="A14" s="1"/>
      <c r="B14" s="1"/>
      <c r="C14" s="6" t="s">
        <v>14</v>
      </c>
      <c r="D14" s="81" t="s">
        <v>197</v>
      </c>
      <c r="E14" s="82"/>
      <c r="F14" s="82"/>
      <c r="G14" s="83"/>
      <c r="H14" s="1"/>
      <c r="I14" s="1"/>
    </row>
    <row r="15" spans="1:9" x14ac:dyDescent="0.25">
      <c r="A15" s="1"/>
      <c r="B15" s="1"/>
      <c r="C15" s="6" t="s">
        <v>30</v>
      </c>
      <c r="D15" s="81" t="s">
        <v>141</v>
      </c>
      <c r="E15" s="82"/>
      <c r="F15" s="82"/>
      <c r="G15" s="83"/>
      <c r="H15" s="1"/>
      <c r="I15" s="1"/>
    </row>
    <row r="16" spans="1:9" x14ac:dyDescent="0.25">
      <c r="A16" s="1"/>
      <c r="B16" s="1"/>
      <c r="C16" s="6" t="s">
        <v>31</v>
      </c>
      <c r="D16" s="81" t="s">
        <v>194</v>
      </c>
      <c r="E16" s="82"/>
      <c r="F16" s="82"/>
      <c r="G16" s="83"/>
      <c r="H16" s="1"/>
      <c r="I16" s="1"/>
    </row>
    <row r="17" spans="1:9" x14ac:dyDescent="0.25">
      <c r="A17" s="1"/>
      <c r="B17" s="1"/>
      <c r="C17" s="6" t="s">
        <v>102</v>
      </c>
      <c r="D17" s="81" t="s">
        <v>195</v>
      </c>
      <c r="E17" s="82"/>
      <c r="F17" s="82"/>
      <c r="G17" s="83"/>
      <c r="H17" s="1"/>
      <c r="I17" s="1"/>
    </row>
    <row r="18" spans="1:9" x14ac:dyDescent="0.25">
      <c r="A18" s="1"/>
      <c r="B18" s="1"/>
      <c r="C18" s="6" t="s">
        <v>86</v>
      </c>
      <c r="D18" s="90" t="s">
        <v>79</v>
      </c>
      <c r="E18" s="91"/>
      <c r="F18" s="91"/>
      <c r="G18" s="92"/>
      <c r="H18" s="1"/>
      <c r="I18" s="1"/>
    </row>
    <row r="19" spans="1:9" x14ac:dyDescent="0.25">
      <c r="A19" s="1"/>
      <c r="B19" s="1"/>
      <c r="C19" s="6" t="s">
        <v>87</v>
      </c>
      <c r="D19" s="90" t="s">
        <v>80</v>
      </c>
      <c r="E19" s="91"/>
      <c r="F19" s="91"/>
      <c r="G19" s="92"/>
      <c r="H19" s="1"/>
      <c r="I19" s="1"/>
    </row>
    <row r="20" spans="1:9" x14ac:dyDescent="0.25">
      <c r="A20" s="1"/>
      <c r="B20" s="1"/>
      <c r="C20" s="6" t="s">
        <v>7</v>
      </c>
      <c r="D20" s="90" t="s">
        <v>9</v>
      </c>
      <c r="E20" s="91"/>
      <c r="F20" s="91"/>
      <c r="G20" s="92"/>
      <c r="H20" s="1"/>
      <c r="I20" s="1"/>
    </row>
    <row r="21" spans="1:9" x14ac:dyDescent="0.25">
      <c r="A21" s="1"/>
      <c r="B21" s="1"/>
      <c r="C21" s="6" t="s">
        <v>88</v>
      </c>
      <c r="D21" s="96" t="s">
        <v>11</v>
      </c>
      <c r="E21" s="97"/>
      <c r="F21" s="97"/>
      <c r="G21" s="98"/>
      <c r="H21" s="1"/>
      <c r="I21" s="1"/>
    </row>
    <row r="22" spans="1:9" x14ac:dyDescent="0.25">
      <c r="A22" s="1"/>
      <c r="B22" s="1"/>
      <c r="C22" s="6" t="s">
        <v>73</v>
      </c>
      <c r="D22" s="85" t="s">
        <v>196</v>
      </c>
      <c r="E22" s="86"/>
      <c r="F22" s="86"/>
      <c r="G22" s="87"/>
      <c r="H22" s="1"/>
      <c r="I22" s="1"/>
    </row>
    <row r="23" spans="1:9" x14ac:dyDescent="0.25">
      <c r="A23" s="1"/>
      <c r="B23" s="1"/>
      <c r="C23" s="6" t="s">
        <v>8</v>
      </c>
      <c r="D23" s="85" t="s">
        <v>176</v>
      </c>
      <c r="E23" s="86"/>
      <c r="F23" s="86"/>
      <c r="G23" s="87"/>
      <c r="H23" s="1"/>
      <c r="I23" s="1"/>
    </row>
    <row r="24" spans="1:9" x14ac:dyDescent="0.25">
      <c r="A24" s="1"/>
      <c r="B24" s="1"/>
      <c r="C24" s="6" t="s">
        <v>172</v>
      </c>
      <c r="D24" s="85" t="s">
        <v>163</v>
      </c>
      <c r="E24" s="86"/>
      <c r="F24" s="86"/>
      <c r="G24" s="87"/>
      <c r="H24" s="1"/>
      <c r="I24" s="1"/>
    </row>
    <row r="25" spans="1:9" x14ac:dyDescent="0.25">
      <c r="A25" s="1"/>
      <c r="B25" s="1"/>
      <c r="C25" s="6" t="s">
        <v>173</v>
      </c>
      <c r="D25" s="85" t="s">
        <v>74</v>
      </c>
      <c r="E25" s="86"/>
      <c r="F25" s="86"/>
      <c r="G25" s="87"/>
      <c r="H25" s="1"/>
      <c r="I25" s="1"/>
    </row>
    <row r="26" spans="1:9" x14ac:dyDescent="0.25">
      <c r="A26" s="1"/>
      <c r="B26" s="1"/>
      <c r="C26" s="6" t="s">
        <v>174</v>
      </c>
      <c r="D26" s="85" t="s">
        <v>75</v>
      </c>
      <c r="E26" s="86"/>
      <c r="F26" s="86"/>
      <c r="G26" s="87"/>
      <c r="H26" s="1"/>
      <c r="I26" s="1"/>
    </row>
    <row r="27" spans="1:9" x14ac:dyDescent="0.25">
      <c r="A27" s="1"/>
      <c r="B27" s="1"/>
      <c r="C27" s="6" t="s">
        <v>89</v>
      </c>
      <c r="D27" s="85" t="s">
        <v>103</v>
      </c>
      <c r="E27" s="86"/>
      <c r="F27" s="86"/>
      <c r="G27" s="87"/>
      <c r="H27" s="1"/>
      <c r="I27" s="1"/>
    </row>
    <row r="28" spans="1:9" x14ac:dyDescent="0.25">
      <c r="A28" s="1"/>
      <c r="B28" s="1"/>
      <c r="C28" s="6" t="s">
        <v>83</v>
      </c>
      <c r="D28" s="85" t="s">
        <v>32</v>
      </c>
      <c r="E28" s="86"/>
      <c r="F28" s="86"/>
      <c r="G28" s="87"/>
      <c r="H28" s="1"/>
      <c r="I28" s="1"/>
    </row>
    <row r="29" spans="1:9" x14ac:dyDescent="0.25">
      <c r="A29" s="1"/>
      <c r="B29" s="1"/>
      <c r="C29" s="6" t="s">
        <v>175</v>
      </c>
      <c r="D29" s="93" t="s">
        <v>84</v>
      </c>
      <c r="E29" s="94"/>
      <c r="F29" s="94"/>
      <c r="G29" s="95"/>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dE5Hr5phdUDW2sm7jIRCb74y5RFVWCfGodThUS4UlRmhxpEOa2nKXmeURKYsE6QGb+FZD+YsscCLeuefF7ZWFA==" saltValue="MGD4hyJ/LgtmIxrYdNPHHQ=="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40" zoomScaleNormal="100" zoomScalePageLayoutView="4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9" t="s">
        <v>92</v>
      </c>
      <c r="C3" s="99"/>
      <c r="D3" s="99"/>
      <c r="E3" s="1"/>
      <c r="F3" s="1"/>
    </row>
    <row r="4" spans="1:6" ht="15" customHeight="1" x14ac:dyDescent="0.25">
      <c r="A4" s="1"/>
      <c r="B4" s="99"/>
      <c r="C4" s="99"/>
      <c r="D4" s="99"/>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9" t="s">
        <v>226</v>
      </c>
      <c r="C8" s="110"/>
      <c r="D8" s="111"/>
      <c r="E8" s="1"/>
      <c r="F8" s="1"/>
    </row>
    <row r="9" spans="1:6" ht="15" customHeight="1" x14ac:dyDescent="0.25">
      <c r="A9" s="1"/>
      <c r="B9" s="32" t="s">
        <v>28</v>
      </c>
      <c r="C9" s="11" t="s">
        <v>212</v>
      </c>
      <c r="D9" s="11"/>
      <c r="E9" s="1"/>
      <c r="F9" s="1"/>
    </row>
    <row r="10" spans="1:6" ht="15" customHeight="1" x14ac:dyDescent="0.25">
      <c r="A10" s="1"/>
      <c r="B10" s="73" t="s">
        <v>243</v>
      </c>
      <c r="C10" s="9">
        <v>56625045</v>
      </c>
      <c r="D10" s="14" t="s">
        <v>3</v>
      </c>
      <c r="E10" s="1"/>
      <c r="F10" s="1"/>
    </row>
    <row r="11" spans="1:6" x14ac:dyDescent="0.25">
      <c r="A11" s="1"/>
      <c r="B11" s="73" t="s">
        <v>244</v>
      </c>
      <c r="C11" s="9">
        <v>183584</v>
      </c>
      <c r="D11" s="14" t="s">
        <v>3</v>
      </c>
      <c r="E11" s="1"/>
      <c r="F11" s="1"/>
    </row>
    <row r="12" spans="1:6" x14ac:dyDescent="0.25">
      <c r="A12" s="1"/>
      <c r="B12" s="73" t="s">
        <v>246</v>
      </c>
      <c r="C12" s="9">
        <v>198229</v>
      </c>
      <c r="D12" s="14" t="s">
        <v>3</v>
      </c>
      <c r="E12" s="1"/>
      <c r="F12" s="1"/>
    </row>
    <row r="13" spans="1:6" x14ac:dyDescent="0.25">
      <c r="A13" s="1"/>
      <c r="B13" s="73" t="s">
        <v>245</v>
      </c>
      <c r="C13" s="9">
        <v>154183</v>
      </c>
      <c r="D13" s="14" t="s">
        <v>3</v>
      </c>
      <c r="E13" s="1"/>
      <c r="F13" s="1"/>
    </row>
    <row r="14" spans="1:6" x14ac:dyDescent="0.25">
      <c r="A14" s="1"/>
      <c r="B14" s="73"/>
      <c r="C14" s="9"/>
      <c r="D14" s="14" t="s">
        <v>3</v>
      </c>
      <c r="E14" s="1"/>
      <c r="F14" s="1"/>
    </row>
    <row r="15" spans="1:6" x14ac:dyDescent="0.25">
      <c r="A15" s="1"/>
      <c r="B15" s="73"/>
      <c r="C15" s="9"/>
      <c r="D15" s="14" t="s">
        <v>3</v>
      </c>
      <c r="E15" s="1"/>
      <c r="F15" s="1"/>
    </row>
    <row r="16" spans="1:6" x14ac:dyDescent="0.25">
      <c r="A16" s="1"/>
      <c r="B16" s="73"/>
      <c r="C16" s="9"/>
      <c r="D16" s="14" t="s">
        <v>3</v>
      </c>
      <c r="E16" s="1"/>
      <c r="F16" s="1"/>
    </row>
    <row r="17" spans="1:6" x14ac:dyDescent="0.25">
      <c r="A17" s="1"/>
      <c r="B17" s="73"/>
      <c r="C17" s="9"/>
      <c r="D17" s="14" t="s">
        <v>3</v>
      </c>
      <c r="E17" s="1"/>
      <c r="F17" s="1"/>
    </row>
    <row r="18" spans="1:6" x14ac:dyDescent="0.25">
      <c r="A18" s="1"/>
      <c r="B18" s="73"/>
      <c r="C18" s="9"/>
      <c r="D18" s="14" t="s">
        <v>3</v>
      </c>
      <c r="E18" s="1"/>
      <c r="F18" s="1"/>
    </row>
    <row r="19" spans="1:6" x14ac:dyDescent="0.25">
      <c r="A19" s="1"/>
      <c r="B19" s="53" t="s">
        <v>213</v>
      </c>
      <c r="C19" s="12">
        <f>SUM(C10:C18)</f>
        <v>57161041</v>
      </c>
      <c r="D19" s="13" t="s">
        <v>3</v>
      </c>
      <c r="E19" s="1"/>
      <c r="F19" s="1"/>
    </row>
    <row r="20" spans="1:6" x14ac:dyDescent="0.25">
      <c r="A20" s="1"/>
      <c r="B20" s="53" t="s">
        <v>214</v>
      </c>
      <c r="C20" s="12">
        <f>C19*(1+'Fane 13. Nøgletal'!C16)^2</f>
        <v>66771449.084314235</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g+UKb1R2LbBcC9VSIlX3bmvQbGAX4omrjf8rrZJaWoWC1susJA8irtp2J0ue17yABwxlzqAgVpaubzN23FoAiw==" saltValue="y/JRkmgk68N78ADsAAlPg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0BFD-EB76-4D3D-A7C9-9251D068BF36}">
  <dimension ref="A1:G45"/>
  <sheetViews>
    <sheetView showGridLines="0" view="pageLayout" zoomScale="85" zoomScaleNormal="100" zoomScalePageLayoutView="85"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2" t="s">
        <v>227</v>
      </c>
      <c r="C3" s="102"/>
      <c r="D3" s="102"/>
      <c r="E3" s="102"/>
      <c r="F3" s="102"/>
      <c r="G3" s="1"/>
    </row>
    <row r="4" spans="1:7" ht="15" customHeight="1" x14ac:dyDescent="0.25">
      <c r="A4" s="1"/>
      <c r="B4" s="102"/>
      <c r="C4" s="102"/>
      <c r="D4" s="102"/>
      <c r="E4" s="102"/>
      <c r="F4" s="102"/>
      <c r="G4" s="1"/>
    </row>
    <row r="5" spans="1:7" ht="15" customHeight="1" x14ac:dyDescent="0.25">
      <c r="A5" s="1"/>
      <c r="B5" s="66"/>
      <c r="C5" s="66"/>
      <c r="D5" s="66"/>
      <c r="E5" s="66"/>
      <c r="F5" s="66"/>
      <c r="G5" s="1"/>
    </row>
    <row r="6" spans="1:7" ht="15" customHeight="1" x14ac:dyDescent="0.25">
      <c r="A6" s="1"/>
      <c r="B6" s="1"/>
      <c r="C6" s="60"/>
      <c r="D6" s="61"/>
      <c r="E6" s="66"/>
      <c r="F6" s="66"/>
      <c r="G6" s="1"/>
    </row>
    <row r="7" spans="1:7" x14ac:dyDescent="0.25">
      <c r="A7" s="1"/>
      <c r="B7" s="1"/>
      <c r="C7" s="1"/>
      <c r="D7" s="1"/>
      <c r="E7" s="62"/>
      <c r="F7" s="1"/>
      <c r="G7" s="1"/>
    </row>
    <row r="8" spans="1:7" x14ac:dyDescent="0.25">
      <c r="A8" s="1"/>
      <c r="B8" s="109" t="s">
        <v>247</v>
      </c>
      <c r="C8" s="110"/>
      <c r="D8" s="110"/>
      <c r="E8" s="110"/>
      <c r="F8" s="111"/>
      <c r="G8" s="1"/>
    </row>
    <row r="9" spans="1:7" x14ac:dyDescent="0.25">
      <c r="A9" s="1"/>
      <c r="B9" s="103" t="s">
        <v>248</v>
      </c>
      <c r="C9" s="104"/>
      <c r="D9" s="105"/>
      <c r="E9" s="28">
        <v>-6245006</v>
      </c>
      <c r="F9" s="14" t="s">
        <v>3</v>
      </c>
      <c r="G9" s="1"/>
    </row>
    <row r="10" spans="1:7" x14ac:dyDescent="0.25">
      <c r="A10" s="1"/>
      <c r="B10" s="53"/>
      <c r="C10" s="54"/>
      <c r="D10" s="54"/>
      <c r="E10" s="54"/>
      <c r="F10" s="19"/>
      <c r="G10" s="1"/>
    </row>
    <row r="11" spans="1:7" ht="53.25" customHeight="1" x14ac:dyDescent="0.25">
      <c r="A11" s="1"/>
      <c r="B11" s="128" t="s">
        <v>249</v>
      </c>
      <c r="C11" s="129"/>
      <c r="D11" s="129"/>
      <c r="E11" s="129"/>
      <c r="F11" s="130"/>
      <c r="G11" s="1"/>
    </row>
    <row r="12" spans="1:7" x14ac:dyDescent="0.25">
      <c r="A12" s="1"/>
      <c r="B12" s="1"/>
      <c r="C12" s="1"/>
      <c r="D12" s="1"/>
      <c r="E12" s="1"/>
      <c r="F12" s="1"/>
      <c r="G12" s="1"/>
    </row>
    <row r="13" spans="1:7" x14ac:dyDescent="0.25">
      <c r="A13" s="1"/>
      <c r="B13" s="109" t="s">
        <v>140</v>
      </c>
      <c r="C13" s="110"/>
      <c r="D13" s="110"/>
      <c r="E13" s="110"/>
      <c r="F13" s="111"/>
      <c r="G13" s="1"/>
    </row>
    <row r="14" spans="1:7" x14ac:dyDescent="0.25">
      <c r="A14" s="1"/>
      <c r="B14" s="103" t="s">
        <v>250</v>
      </c>
      <c r="C14" s="104"/>
      <c r="D14" s="105"/>
      <c r="E14" s="9">
        <v>-2892791</v>
      </c>
      <c r="F14" s="14" t="s">
        <v>3</v>
      </c>
      <c r="G14" s="1"/>
    </row>
    <row r="15" spans="1:7" x14ac:dyDescent="0.25">
      <c r="A15" s="1"/>
      <c r="B15" s="103" t="s">
        <v>251</v>
      </c>
      <c r="C15" s="104"/>
      <c r="D15" s="105"/>
      <c r="E15" s="9">
        <v>-2892791</v>
      </c>
      <c r="F15" s="14" t="s">
        <v>3</v>
      </c>
      <c r="G15" s="1"/>
    </row>
    <row r="16" spans="1:7" x14ac:dyDescent="0.25">
      <c r="A16" s="1"/>
      <c r="B16" s="53"/>
      <c r="C16" s="54"/>
      <c r="D16" s="54"/>
      <c r="E16" s="54"/>
      <c r="F16" s="19"/>
      <c r="G16" s="1"/>
    </row>
    <row r="17" spans="1:7" ht="32.25" customHeight="1" x14ac:dyDescent="0.25">
      <c r="A17" s="1"/>
      <c r="B17" s="128" t="s">
        <v>252</v>
      </c>
      <c r="C17" s="129"/>
      <c r="D17" s="129"/>
      <c r="E17" s="129"/>
      <c r="F17" s="130"/>
      <c r="G17" s="1"/>
    </row>
    <row r="18" spans="1:7" x14ac:dyDescent="0.25">
      <c r="A18" s="1"/>
      <c r="B18" s="1"/>
      <c r="C18" s="1"/>
      <c r="D18" s="1"/>
      <c r="E18" s="1"/>
      <c r="F18" s="1"/>
      <c r="G18" s="1"/>
    </row>
    <row r="19" spans="1:7" x14ac:dyDescent="0.25">
      <c r="A19" s="1"/>
      <c r="B19" s="67" t="s">
        <v>253</v>
      </c>
      <c r="C19" s="68"/>
      <c r="D19" s="68"/>
      <c r="E19" s="68"/>
      <c r="F19" s="69"/>
      <c r="G19" s="1"/>
    </row>
    <row r="20" spans="1:7" x14ac:dyDescent="0.25">
      <c r="A20" s="1"/>
      <c r="B20" s="70" t="s">
        <v>254</v>
      </c>
      <c r="C20" s="71"/>
      <c r="D20" s="72"/>
      <c r="E20" s="9">
        <v>155940975</v>
      </c>
      <c r="F20" s="14" t="s">
        <v>3</v>
      </c>
      <c r="G20" s="1"/>
    </row>
    <row r="21" spans="1:7" x14ac:dyDescent="0.25">
      <c r="A21" s="1"/>
      <c r="B21" s="70" t="s">
        <v>255</v>
      </c>
      <c r="C21" s="71"/>
      <c r="D21" s="72"/>
      <c r="E21" s="9">
        <v>157232329</v>
      </c>
      <c r="F21" s="14" t="s">
        <v>3</v>
      </c>
      <c r="G21" s="1"/>
    </row>
    <row r="22" spans="1:7" x14ac:dyDescent="0.25">
      <c r="A22" s="1"/>
      <c r="B22" s="70" t="s">
        <v>29</v>
      </c>
      <c r="C22" s="71"/>
      <c r="D22" s="72"/>
      <c r="E22" s="9">
        <v>0</v>
      </c>
      <c r="F22" s="14" t="s">
        <v>3</v>
      </c>
      <c r="G22" s="1"/>
    </row>
    <row r="23" spans="1:7" x14ac:dyDescent="0.25">
      <c r="A23" s="1"/>
      <c r="B23" s="75" t="s">
        <v>256</v>
      </c>
      <c r="C23" s="76"/>
      <c r="D23" s="77"/>
      <c r="E23" s="10">
        <f>E20-(E21-E22)</f>
        <v>-1291354</v>
      </c>
      <c r="F23" s="17" t="s">
        <v>3</v>
      </c>
      <c r="G23" s="1"/>
    </row>
    <row r="24" spans="1:7" x14ac:dyDescent="0.25">
      <c r="A24" s="1"/>
      <c r="B24" s="53"/>
      <c r="C24" s="54"/>
      <c r="D24" s="54"/>
      <c r="E24" s="54"/>
      <c r="F24" s="19"/>
      <c r="G24" s="1"/>
    </row>
    <row r="25" spans="1:7" x14ac:dyDescent="0.25">
      <c r="A25" s="1"/>
      <c r="B25" s="1"/>
      <c r="C25" s="1"/>
      <c r="D25" s="1"/>
      <c r="E25" s="1"/>
      <c r="F25" s="1"/>
      <c r="G25" s="1"/>
    </row>
    <row r="26" spans="1:7" x14ac:dyDescent="0.25">
      <c r="A26" s="1"/>
      <c r="B26" s="109" t="s">
        <v>257</v>
      </c>
      <c r="C26" s="110"/>
      <c r="D26" s="110"/>
      <c r="E26" s="110"/>
      <c r="F26" s="111"/>
      <c r="G26" s="1"/>
    </row>
    <row r="27" spans="1:7" x14ac:dyDescent="0.25">
      <c r="A27" s="1"/>
      <c r="B27" s="131" t="s">
        <v>258</v>
      </c>
      <c r="C27" s="132"/>
      <c r="D27" s="133"/>
      <c r="E27" s="63">
        <f>IF(AND(E15&lt;0,E23&gt;0,ABS(SUM(E14:E15))&lt;E23),ABS(E14),IF(AND(E15&lt;0,E23&gt;0,ABS(SUM(E14:E15))&gt;E23),SUM(E14,E23),0))</f>
        <v>0</v>
      </c>
      <c r="F27" s="17" t="s">
        <v>3</v>
      </c>
      <c r="G27" s="1"/>
    </row>
    <row r="28" spans="1:7" x14ac:dyDescent="0.25">
      <c r="A28" s="1"/>
      <c r="B28" s="109"/>
      <c r="C28" s="110"/>
      <c r="D28" s="110"/>
      <c r="E28" s="110"/>
      <c r="F28" s="111"/>
      <c r="G28" s="1"/>
    </row>
    <row r="29" spans="1:7" x14ac:dyDescent="0.25">
      <c r="A29" s="1"/>
      <c r="B29" s="1"/>
      <c r="C29" s="1"/>
      <c r="D29" s="1"/>
      <c r="E29" s="1"/>
      <c r="F29" s="1"/>
      <c r="G29" s="1"/>
    </row>
    <row r="30" spans="1:7" x14ac:dyDescent="0.25">
      <c r="A30" s="1"/>
      <c r="B30" s="109" t="s">
        <v>259</v>
      </c>
      <c r="C30" s="110"/>
      <c r="D30" s="110"/>
      <c r="E30" s="110"/>
      <c r="F30" s="111"/>
      <c r="G30" s="1"/>
    </row>
    <row r="31" spans="1:7" x14ac:dyDescent="0.25">
      <c r="A31" s="1"/>
      <c r="B31" s="121" t="s">
        <v>117</v>
      </c>
      <c r="C31" s="122"/>
      <c r="D31" s="123"/>
      <c r="E31" s="64">
        <f>IF(AND(E9&gt;0,(E9+E23)&gt;0),0,IF(AND(E9&gt;0,(E9+E23)&lt;0),(E9+E23),IF(AND(E9&lt;0,E23&lt;0),E23,0)))</f>
        <v>-1291354</v>
      </c>
      <c r="F31" s="14" t="s">
        <v>3</v>
      </c>
      <c r="G31" s="1"/>
    </row>
    <row r="32" spans="1:7" x14ac:dyDescent="0.25">
      <c r="A32" s="1"/>
      <c r="B32" s="121" t="s">
        <v>85</v>
      </c>
      <c r="C32" s="122"/>
      <c r="D32" s="123"/>
      <c r="E32" s="9">
        <v>2</v>
      </c>
      <c r="F32" s="14" t="s">
        <v>18</v>
      </c>
      <c r="G32" s="1"/>
    </row>
    <row r="33" spans="1:7" x14ac:dyDescent="0.25">
      <c r="A33" s="1"/>
      <c r="B33" s="124" t="s">
        <v>116</v>
      </c>
      <c r="C33" s="124"/>
      <c r="D33" s="124"/>
      <c r="E33" s="63">
        <f>E31/E32</f>
        <v>-645677</v>
      </c>
      <c r="F33" s="17" t="s">
        <v>3</v>
      </c>
      <c r="G33" s="1"/>
    </row>
    <row r="34" spans="1:7" x14ac:dyDescent="0.25">
      <c r="A34" s="1"/>
      <c r="B34" s="125"/>
      <c r="C34" s="126"/>
      <c r="D34" s="126"/>
      <c r="E34" s="126"/>
      <c r="F34" s="127"/>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r/tgE8IOyFHQHEm2UbvP73hynQ3z6tnbRX4Krf04eFLDrzyIXeJP9cfkHeOv4e3Z4AcDU+xwZjHrYfFSHKKn/Q==" saltValue="PDQeqOdJfjaFbtpLX0KLFQ==" spinCount="100000" sheet="1" objects="1" scenarios="1"/>
  <mergeCells count="16">
    <mergeCell ref="B14:D14"/>
    <mergeCell ref="B3:F4"/>
    <mergeCell ref="B8:F8"/>
    <mergeCell ref="B9:D9"/>
    <mergeCell ref="B11:F11"/>
    <mergeCell ref="B13:F13"/>
    <mergeCell ref="B31:D31"/>
    <mergeCell ref="B32:D32"/>
    <mergeCell ref="B33:D33"/>
    <mergeCell ref="B34:F34"/>
    <mergeCell ref="B15:D15"/>
    <mergeCell ref="B17:F17"/>
    <mergeCell ref="B26:F26"/>
    <mergeCell ref="B27:D27"/>
    <mergeCell ref="B28:F28"/>
    <mergeCell ref="B30:F30"/>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55" zoomScaleNormal="100" zoomScalePageLayoutView="55"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9" t="s">
        <v>183</v>
      </c>
      <c r="C3" s="99"/>
      <c r="D3" s="99"/>
      <c r="E3" s="99"/>
      <c r="F3" s="99"/>
      <c r="G3" s="99"/>
      <c r="H3" s="99"/>
      <c r="I3" s="1"/>
    </row>
    <row r="4" spans="1:9" ht="15" customHeight="1" x14ac:dyDescent="0.25">
      <c r="A4" s="1"/>
      <c r="B4" s="99"/>
      <c r="C4" s="99"/>
      <c r="D4" s="99"/>
      <c r="E4" s="99"/>
      <c r="F4" s="99"/>
      <c r="G4" s="99"/>
      <c r="H4" s="99"/>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9" t="s">
        <v>184</v>
      </c>
      <c r="C8" s="110"/>
      <c r="D8" s="110"/>
      <c r="E8" s="110"/>
      <c r="F8" s="110"/>
      <c r="G8" s="110"/>
      <c r="H8" s="111"/>
      <c r="I8" s="1"/>
    </row>
    <row r="9" spans="1:9" ht="15" customHeight="1" x14ac:dyDescent="0.25">
      <c r="A9" s="1"/>
      <c r="B9" s="134" t="s">
        <v>234</v>
      </c>
      <c r="C9" s="135"/>
      <c r="D9" s="135"/>
      <c r="E9" s="135"/>
      <c r="F9" s="135"/>
      <c r="G9" s="135"/>
      <c r="H9" s="136"/>
      <c r="I9" s="1"/>
    </row>
    <row r="10" spans="1:9" x14ac:dyDescent="0.25">
      <c r="A10" s="1"/>
      <c r="B10" s="137" t="s">
        <v>185</v>
      </c>
      <c r="C10" s="138"/>
      <c r="D10" s="138"/>
      <c r="E10" s="138"/>
      <c r="F10" s="139"/>
      <c r="G10" s="45"/>
      <c r="H10" s="9" t="s">
        <v>3</v>
      </c>
      <c r="I10" s="1"/>
    </row>
    <row r="11" spans="1:9" x14ac:dyDescent="0.25">
      <c r="A11" s="1"/>
      <c r="B11" s="137" t="s">
        <v>186</v>
      </c>
      <c r="C11" s="138"/>
      <c r="D11" s="138"/>
      <c r="E11" s="138"/>
      <c r="F11" s="139"/>
      <c r="G11" s="45"/>
      <c r="H11" s="9" t="s">
        <v>3</v>
      </c>
      <c r="I11" s="1"/>
    </row>
    <row r="12" spans="1:9" x14ac:dyDescent="0.25">
      <c r="A12" s="1"/>
      <c r="B12" s="137" t="s">
        <v>187</v>
      </c>
      <c r="C12" s="138"/>
      <c r="D12" s="138"/>
      <c r="E12" s="138"/>
      <c r="F12" s="139"/>
      <c r="G12" s="9"/>
      <c r="H12" s="9" t="s">
        <v>3</v>
      </c>
      <c r="I12" s="1"/>
    </row>
    <row r="13" spans="1:9" x14ac:dyDescent="0.25">
      <c r="A13" s="1"/>
      <c r="B13" s="137" t="s">
        <v>188</v>
      </c>
      <c r="C13" s="138"/>
      <c r="D13" s="138"/>
      <c r="E13" s="138"/>
      <c r="F13" s="139"/>
      <c r="G13" s="9"/>
      <c r="H13" s="9" t="s">
        <v>3</v>
      </c>
      <c r="I13" s="1"/>
    </row>
    <row r="14" spans="1:9" x14ac:dyDescent="0.25">
      <c r="A14" s="1"/>
      <c r="B14" s="137" t="s">
        <v>189</v>
      </c>
      <c r="C14" s="138"/>
      <c r="D14" s="138"/>
      <c r="E14" s="138"/>
      <c r="F14" s="139"/>
      <c r="G14" s="9"/>
      <c r="H14" s="9" t="s">
        <v>3</v>
      </c>
      <c r="I14" s="1"/>
    </row>
    <row r="15" spans="1:9" x14ac:dyDescent="0.25">
      <c r="A15" s="1"/>
      <c r="B15" s="137" t="s">
        <v>190</v>
      </c>
      <c r="C15" s="138"/>
      <c r="D15" s="138"/>
      <c r="E15" s="138"/>
      <c r="F15" s="139"/>
      <c r="G15" s="9"/>
      <c r="H15" s="9" t="s">
        <v>3</v>
      </c>
      <c r="I15" s="1"/>
    </row>
    <row r="16" spans="1:9" x14ac:dyDescent="0.25">
      <c r="A16" s="1"/>
      <c r="B16" s="137" t="s">
        <v>191</v>
      </c>
      <c r="C16" s="138"/>
      <c r="D16" s="138"/>
      <c r="E16" s="138"/>
      <c r="F16" s="139"/>
      <c r="G16" s="9"/>
      <c r="H16" s="9" t="s">
        <v>3</v>
      </c>
      <c r="I16" s="1"/>
    </row>
    <row r="17" spans="1:9" x14ac:dyDescent="0.25">
      <c r="A17" s="1"/>
      <c r="B17" s="137" t="s">
        <v>192</v>
      </c>
      <c r="C17" s="138"/>
      <c r="D17" s="138"/>
      <c r="E17" s="138"/>
      <c r="F17" s="139"/>
      <c r="G17" s="9"/>
      <c r="H17" s="9" t="s">
        <v>3</v>
      </c>
      <c r="I17" s="1"/>
    </row>
    <row r="18" spans="1:9" x14ac:dyDescent="0.25">
      <c r="A18" s="1"/>
      <c r="B18" s="109" t="s">
        <v>193</v>
      </c>
      <c r="C18" s="110"/>
      <c r="D18" s="110"/>
      <c r="E18" s="110"/>
      <c r="F18" s="111"/>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b157YJaQJ7VumoIrp4c17m59rWOc45rFDE7YJRQzxyrGhbkVJs/7gB9whHKJkDa6MPGvWnuvOR88KDghqxOkMw==" saltValue="qzduYYxeLcsjov8bbKCQl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70" zoomScaleNormal="100" zoomScalePageLayoutView="7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9" t="s">
        <v>177</v>
      </c>
      <c r="C3" s="99"/>
      <c r="D3" s="99"/>
      <c r="E3" s="99"/>
      <c r="F3" s="99"/>
      <c r="G3" s="99"/>
      <c r="H3" s="99"/>
      <c r="I3" s="99"/>
      <c r="J3" s="99"/>
      <c r="K3" s="99"/>
      <c r="L3" s="1"/>
    </row>
    <row r="4" spans="1:12" ht="15" customHeight="1" x14ac:dyDescent="0.25">
      <c r="A4" s="1"/>
      <c r="B4" s="99"/>
      <c r="C4" s="99"/>
      <c r="D4" s="99"/>
      <c r="E4" s="99"/>
      <c r="F4" s="99"/>
      <c r="G4" s="99"/>
      <c r="H4" s="99"/>
      <c r="I4" s="99"/>
      <c r="J4" s="99"/>
      <c r="K4" s="99"/>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9" t="s">
        <v>155</v>
      </c>
      <c r="C8" s="110"/>
      <c r="D8" s="110"/>
      <c r="E8" s="110"/>
      <c r="F8" s="110"/>
      <c r="G8" s="110"/>
      <c r="H8" s="110"/>
      <c r="I8" s="110"/>
      <c r="J8" s="110"/>
      <c r="K8" s="111"/>
      <c r="L8" s="1"/>
    </row>
    <row r="9" spans="1:12" ht="39.75" customHeight="1" x14ac:dyDescent="0.25">
      <c r="A9" s="1"/>
      <c r="B9" s="18" t="s">
        <v>0</v>
      </c>
      <c r="C9" s="18" t="s">
        <v>1</v>
      </c>
      <c r="D9" s="140" t="s">
        <v>170</v>
      </c>
      <c r="E9" s="141"/>
      <c r="F9" s="140" t="s">
        <v>2</v>
      </c>
      <c r="G9" s="141"/>
      <c r="H9" s="140" t="s">
        <v>171</v>
      </c>
      <c r="I9" s="141"/>
      <c r="J9" s="140" t="s">
        <v>26</v>
      </c>
      <c r="K9" s="141"/>
      <c r="L9" s="1"/>
    </row>
    <row r="10" spans="1:12" x14ac:dyDescent="0.25">
      <c r="A10" s="1"/>
      <c r="B10" s="80" t="s">
        <v>238</v>
      </c>
      <c r="C10" s="31">
        <v>0</v>
      </c>
      <c r="D10" s="9">
        <v>0</v>
      </c>
      <c r="E10" s="14" t="s">
        <v>3</v>
      </c>
      <c r="F10" s="57">
        <f>IFERROR(D10/C10,0)</f>
        <v>0</v>
      </c>
      <c r="G10" s="14" t="s">
        <v>3</v>
      </c>
      <c r="H10" s="9">
        <v>0</v>
      </c>
      <c r="I10" s="14" t="s">
        <v>3</v>
      </c>
      <c r="J10" s="9">
        <v>0</v>
      </c>
      <c r="K10" s="14" t="s">
        <v>3</v>
      </c>
      <c r="L10" s="1"/>
    </row>
    <row r="11" spans="1:12" x14ac:dyDescent="0.25">
      <c r="A11" s="1"/>
      <c r="B11" s="53" t="s">
        <v>215</v>
      </c>
      <c r="C11" s="54"/>
      <c r="D11" s="19"/>
      <c r="E11" s="69"/>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5ar+gN9WViHRlHe/hGkReljxS/HN6yDBdR6T4bJ0Xhg335YfRO/pnNLb+7y501tJ0D3KYV92hD3A1/9jxGNlwA==" saltValue="vlOihyWErKD9gv5vGCvXu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64"/>
  <sheetViews>
    <sheetView showGridLines="0" view="pageLayout" zoomScale="110" zoomScaleNormal="100" zoomScalePageLayoutView="11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9" t="s">
        <v>178</v>
      </c>
      <c r="C3" s="99"/>
      <c r="D3" s="99"/>
      <c r="E3" s="99"/>
      <c r="F3" s="99"/>
      <c r="G3" s="1"/>
    </row>
    <row r="4" spans="1:7" ht="15" customHeight="1" x14ac:dyDescent="0.25">
      <c r="A4" s="1"/>
      <c r="B4" s="99"/>
      <c r="C4" s="99"/>
      <c r="D4" s="99"/>
      <c r="E4" s="99"/>
      <c r="F4" s="9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3" t="s">
        <v>70</v>
      </c>
      <c r="C8" s="54"/>
      <c r="D8" s="54"/>
      <c r="E8" s="54"/>
      <c r="F8" s="19"/>
      <c r="G8" s="1"/>
    </row>
    <row r="9" spans="1:7" ht="17.25" customHeight="1" x14ac:dyDescent="0.25">
      <c r="A9" s="1"/>
      <c r="B9" s="78" t="s">
        <v>15</v>
      </c>
      <c r="C9" s="78" t="s">
        <v>10</v>
      </c>
      <c r="D9" s="79"/>
      <c r="E9" s="78"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265</v>
      </c>
      <c r="C11" s="21">
        <v>0</v>
      </c>
      <c r="D11" s="14" t="s">
        <v>3</v>
      </c>
      <c r="E11" s="9">
        <v>11250</v>
      </c>
      <c r="F11" s="14" t="s">
        <v>3</v>
      </c>
      <c r="G11" s="1"/>
    </row>
    <row r="12" spans="1:7" x14ac:dyDescent="0.25">
      <c r="A12" s="1"/>
      <c r="B12" s="27" t="s">
        <v>266</v>
      </c>
      <c r="C12" s="21">
        <v>0</v>
      </c>
      <c r="D12" s="14" t="s">
        <v>3</v>
      </c>
      <c r="E12" s="9">
        <v>56855</v>
      </c>
      <c r="F12" s="14" t="s">
        <v>3</v>
      </c>
      <c r="G12" s="1"/>
    </row>
    <row r="13" spans="1:7" x14ac:dyDescent="0.25">
      <c r="A13" s="1"/>
      <c r="B13" s="27" t="s">
        <v>267</v>
      </c>
      <c r="C13" s="21">
        <v>0</v>
      </c>
      <c r="D13" s="14" t="s">
        <v>3</v>
      </c>
      <c r="E13" s="9">
        <v>18414</v>
      </c>
      <c r="F13" s="14" t="s">
        <v>3</v>
      </c>
      <c r="G13" s="1"/>
    </row>
    <row r="14" spans="1:7" x14ac:dyDescent="0.25">
      <c r="A14" s="1"/>
      <c r="B14" s="27" t="s">
        <v>268</v>
      </c>
      <c r="C14" s="21">
        <v>32890</v>
      </c>
      <c r="D14" s="14" t="s">
        <v>3</v>
      </c>
      <c r="E14" s="9">
        <v>61284</v>
      </c>
      <c r="F14" s="14" t="s">
        <v>3</v>
      </c>
      <c r="G14" s="1"/>
    </row>
    <row r="15" spans="1:7" x14ac:dyDescent="0.25">
      <c r="A15" s="1"/>
      <c r="B15" s="27" t="s">
        <v>269</v>
      </c>
      <c r="C15" s="21">
        <v>4208</v>
      </c>
      <c r="D15" s="14" t="s">
        <v>3</v>
      </c>
      <c r="E15" s="9">
        <v>10195</v>
      </c>
      <c r="F15" s="14" t="s">
        <v>3</v>
      </c>
      <c r="G15" s="1"/>
    </row>
    <row r="16" spans="1:7" x14ac:dyDescent="0.25">
      <c r="A16" s="1"/>
      <c r="B16" s="27" t="s">
        <v>270</v>
      </c>
      <c r="C16" s="21">
        <v>35367</v>
      </c>
      <c r="D16" s="14" t="s">
        <v>3</v>
      </c>
      <c r="E16" s="9">
        <v>29592</v>
      </c>
      <c r="F16" s="14" t="s">
        <v>3</v>
      </c>
      <c r="G16" s="1"/>
    </row>
    <row r="17" spans="1:7" x14ac:dyDescent="0.25">
      <c r="A17" s="1"/>
      <c r="B17" s="27" t="s">
        <v>271</v>
      </c>
      <c r="C17" s="21">
        <v>1424</v>
      </c>
      <c r="D17" s="14" t="s">
        <v>3</v>
      </c>
      <c r="E17" s="9">
        <v>4294</v>
      </c>
      <c r="F17" s="14" t="s">
        <v>3</v>
      </c>
      <c r="G17" s="1"/>
    </row>
    <row r="18" spans="1:7" x14ac:dyDescent="0.25">
      <c r="A18" s="1"/>
      <c r="B18" s="27" t="s">
        <v>272</v>
      </c>
      <c r="C18" s="21">
        <v>0</v>
      </c>
      <c r="D18" s="14" t="s">
        <v>3</v>
      </c>
      <c r="E18" s="9">
        <v>92538</v>
      </c>
      <c r="F18" s="14" t="s">
        <v>3</v>
      </c>
      <c r="G18" s="1"/>
    </row>
    <row r="19" spans="1:7" x14ac:dyDescent="0.25">
      <c r="A19" s="1"/>
      <c r="B19" s="27"/>
      <c r="C19" s="21"/>
      <c r="D19" s="14" t="s">
        <v>3</v>
      </c>
      <c r="E19" s="9"/>
      <c r="F19" s="14" t="s">
        <v>3</v>
      </c>
      <c r="G19" s="1"/>
    </row>
    <row r="20" spans="1:7" x14ac:dyDescent="0.25">
      <c r="A20" s="1"/>
      <c r="B20" s="27"/>
      <c r="C20" s="21"/>
      <c r="D20" s="14" t="s">
        <v>3</v>
      </c>
      <c r="E20" s="9"/>
      <c r="F20" s="14" t="s">
        <v>3</v>
      </c>
      <c r="G20" s="1"/>
    </row>
    <row r="21" spans="1:7" x14ac:dyDescent="0.25">
      <c r="A21" s="1"/>
      <c r="B21" s="27"/>
      <c r="C21" s="21"/>
      <c r="D21" s="14" t="s">
        <v>3</v>
      </c>
      <c r="E21" s="9"/>
      <c r="F21" s="14" t="s">
        <v>3</v>
      </c>
      <c r="G21" s="1"/>
    </row>
    <row r="22" spans="1:7" x14ac:dyDescent="0.25">
      <c r="A22" s="1"/>
      <c r="B22" s="27"/>
      <c r="C22" s="21"/>
      <c r="D22" s="14" t="s">
        <v>3</v>
      </c>
      <c r="E22" s="9"/>
      <c r="F22" s="14" t="s">
        <v>3</v>
      </c>
      <c r="G22" s="1"/>
    </row>
    <row r="23" spans="1:7" x14ac:dyDescent="0.25">
      <c r="A23" s="1"/>
      <c r="B23" s="27"/>
      <c r="C23" s="21"/>
      <c r="D23" s="14" t="s">
        <v>3</v>
      </c>
      <c r="E23" s="9"/>
      <c r="F23" s="14" t="s">
        <v>3</v>
      </c>
      <c r="G23" s="1"/>
    </row>
    <row r="24" spans="1:7" x14ac:dyDescent="0.25">
      <c r="A24" s="1"/>
      <c r="B24" s="53" t="s">
        <v>151</v>
      </c>
      <c r="C24" s="12">
        <f>SUM(C10:C23)</f>
        <v>73889</v>
      </c>
      <c r="D24" s="13" t="s">
        <v>3</v>
      </c>
      <c r="E24" s="12">
        <f>SUM(E10:E23)</f>
        <v>284422</v>
      </c>
      <c r="F24" s="13" t="s">
        <v>3</v>
      </c>
      <c r="G24" s="1"/>
    </row>
    <row r="25" spans="1:7" x14ac:dyDescent="0.25">
      <c r="A25" s="1"/>
      <c r="B25" s="53" t="s">
        <v>209</v>
      </c>
      <c r="C25" s="12">
        <f>C24*(1+'Fane 13. Nøgletal'!C16)</f>
        <v>79859.231199999995</v>
      </c>
      <c r="D25" s="13" t="s">
        <v>3</v>
      </c>
      <c r="E25" s="12">
        <f>E24*(1+'Fane 13. Nøgletal'!C16)</f>
        <v>307403.29759999999</v>
      </c>
      <c r="F25" s="13" t="s">
        <v>3</v>
      </c>
      <c r="G25" s="1"/>
    </row>
    <row r="26" spans="1:7" x14ac:dyDescent="0.25">
      <c r="A26" s="1"/>
      <c r="B26" s="1"/>
      <c r="C26" s="1" t="s">
        <v>168</v>
      </c>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44"/>
      <c r="B58" s="44"/>
      <c r="C58" s="44"/>
      <c r="D58" s="44"/>
      <c r="E58" s="44"/>
      <c r="F58" s="44"/>
      <c r="G58" s="44"/>
    </row>
    <row r="59" spans="1:7" x14ac:dyDescent="0.25">
      <c r="A59" s="44"/>
      <c r="B59" s="44"/>
      <c r="C59" s="44"/>
      <c r="D59" s="44"/>
      <c r="E59" s="44"/>
      <c r="F59" s="44"/>
      <c r="G59" s="44"/>
    </row>
    <row r="60" spans="1:7" x14ac:dyDescent="0.25">
      <c r="A60" s="44"/>
      <c r="B60" s="44"/>
      <c r="C60" s="44"/>
      <c r="D60" s="44"/>
      <c r="E60" s="44"/>
      <c r="F60" s="44"/>
      <c r="G60" s="44"/>
    </row>
    <row r="61" spans="1:7" x14ac:dyDescent="0.25">
      <c r="A61" s="44"/>
      <c r="B61" s="44"/>
      <c r="C61" s="44"/>
      <c r="D61" s="44"/>
      <c r="E61" s="44"/>
      <c r="F61" s="44"/>
      <c r="G61" s="44"/>
    </row>
    <row r="62" spans="1:7" x14ac:dyDescent="0.25">
      <c r="A62" s="44"/>
      <c r="B62" s="44"/>
      <c r="C62" s="44"/>
      <c r="D62" s="44"/>
      <c r="E62" s="44"/>
      <c r="F62" s="44"/>
      <c r="G62" s="44"/>
    </row>
    <row r="63" spans="1:7" x14ac:dyDescent="0.25">
      <c r="A63" s="44"/>
      <c r="B63" s="44"/>
      <c r="C63" s="44"/>
      <c r="D63" s="44"/>
      <c r="E63" s="44"/>
      <c r="F63" s="44"/>
      <c r="G63" s="44"/>
    </row>
    <row r="64" spans="1:7" x14ac:dyDescent="0.25">
      <c r="A64" s="44"/>
      <c r="B64" s="44"/>
      <c r="C64" s="44"/>
      <c r="D64" s="44"/>
      <c r="E64" s="44"/>
      <c r="F64" s="44"/>
      <c r="G64" s="44"/>
    </row>
  </sheetData>
  <sheetProtection algorithmName="SHA-512" hashValue="ypljC2dy5CTjNB6r6tVO0vEV9paZ4p+y5YqUTikG6EO3zoZnywXVq2P+Jf+dD4XBVgUeTGtwxwnSUJZ5+t/RwQ==" saltValue="1cqM75catw/qSajPwZFQF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view="pageLayout" zoomScale="110" zoomScaleNormal="100" zoomScalePageLayoutView="11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9" t="s">
        <v>179</v>
      </c>
      <c r="C3" s="99"/>
      <c r="D3" s="99"/>
      <c r="E3" s="99"/>
      <c r="F3" s="99"/>
      <c r="G3" s="1"/>
    </row>
    <row r="4" spans="1:7" ht="15" customHeight="1" x14ac:dyDescent="0.25">
      <c r="A4" s="1"/>
      <c r="B4" s="99"/>
      <c r="C4" s="99"/>
      <c r="D4" s="99"/>
      <c r="E4" s="99"/>
      <c r="F4" s="9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9" t="s">
        <v>217</v>
      </c>
      <c r="C9" s="110"/>
      <c r="D9" s="110"/>
      <c r="E9" s="110"/>
      <c r="F9" s="111"/>
      <c r="G9" s="1"/>
    </row>
    <row r="10" spans="1:7" ht="26.25" x14ac:dyDescent="0.25">
      <c r="A10" s="1"/>
      <c r="B10" s="78" t="s">
        <v>15</v>
      </c>
      <c r="C10" s="78" t="s">
        <v>10</v>
      </c>
      <c r="D10" s="79"/>
      <c r="E10" s="78" t="s">
        <v>27</v>
      </c>
      <c r="F10" s="30"/>
      <c r="G10" s="1"/>
    </row>
    <row r="11" spans="1:7" x14ac:dyDescent="0.25">
      <c r="A11" s="1"/>
      <c r="B11" s="23" t="s">
        <v>260</v>
      </c>
      <c r="C11" s="21">
        <v>276984</v>
      </c>
      <c r="D11" s="14" t="s">
        <v>3</v>
      </c>
      <c r="E11" s="9">
        <v>0</v>
      </c>
      <c r="F11" s="14" t="s">
        <v>3</v>
      </c>
      <c r="G11" s="1"/>
    </row>
    <row r="12" spans="1:7" x14ac:dyDescent="0.25">
      <c r="A12" s="1"/>
      <c r="B12" s="23" t="s">
        <v>261</v>
      </c>
      <c r="C12" s="21">
        <v>13780</v>
      </c>
      <c r="D12" s="14" t="s">
        <v>3</v>
      </c>
      <c r="E12" s="9">
        <v>0</v>
      </c>
      <c r="F12" s="14" t="s">
        <v>3</v>
      </c>
      <c r="G12" s="1"/>
    </row>
    <row r="13" spans="1:7" x14ac:dyDescent="0.25">
      <c r="A13" s="1"/>
      <c r="B13" s="23" t="s">
        <v>262</v>
      </c>
      <c r="C13" s="21">
        <v>51873</v>
      </c>
      <c r="D13" s="14" t="s">
        <v>3</v>
      </c>
      <c r="E13" s="9">
        <v>0</v>
      </c>
      <c r="F13" s="14" t="s">
        <v>3</v>
      </c>
      <c r="G13" s="1"/>
    </row>
    <row r="14" spans="1:7" x14ac:dyDescent="0.25">
      <c r="A14" s="1"/>
      <c r="B14" s="23" t="s">
        <v>265</v>
      </c>
      <c r="C14" s="21">
        <v>191457</v>
      </c>
      <c r="D14" s="14" t="s">
        <v>3</v>
      </c>
      <c r="E14" s="9">
        <v>0</v>
      </c>
      <c r="F14" s="14" t="s">
        <v>3</v>
      </c>
      <c r="G14" s="1"/>
    </row>
    <row r="15" spans="1:7" x14ac:dyDescent="0.25">
      <c r="A15" s="1"/>
      <c r="B15" s="23" t="s">
        <v>263</v>
      </c>
      <c r="C15" s="21">
        <v>50890</v>
      </c>
      <c r="D15" s="14" t="s">
        <v>3</v>
      </c>
      <c r="E15" s="9">
        <v>0</v>
      </c>
      <c r="F15" s="14" t="s">
        <v>3</v>
      </c>
      <c r="G15" s="1"/>
    </row>
    <row r="16" spans="1:7" x14ac:dyDescent="0.25">
      <c r="A16" s="1"/>
      <c r="B16" s="23" t="s">
        <v>264</v>
      </c>
      <c r="C16" s="21">
        <v>60264</v>
      </c>
      <c r="D16" s="14" t="s">
        <v>3</v>
      </c>
      <c r="E16" s="9">
        <v>0</v>
      </c>
      <c r="F16" s="14" t="s">
        <v>3</v>
      </c>
      <c r="G16" s="1"/>
    </row>
    <row r="17" spans="1:7" x14ac:dyDescent="0.25">
      <c r="A17" s="1"/>
      <c r="B17" s="23" t="s">
        <v>272</v>
      </c>
      <c r="C17" s="21">
        <v>640450</v>
      </c>
      <c r="D17" s="14" t="s">
        <v>3</v>
      </c>
      <c r="E17" s="9">
        <v>0</v>
      </c>
      <c r="F17" s="14" t="s">
        <v>3</v>
      </c>
      <c r="G17" s="1"/>
    </row>
    <row r="18" spans="1:7" x14ac:dyDescent="0.25">
      <c r="A18" s="1"/>
      <c r="B18" s="23"/>
      <c r="C18" s="21"/>
      <c r="D18" s="14" t="s">
        <v>3</v>
      </c>
      <c r="E18" s="9"/>
      <c r="F18" s="14" t="s">
        <v>3</v>
      </c>
      <c r="G18" s="1"/>
    </row>
    <row r="19" spans="1:7" x14ac:dyDescent="0.25">
      <c r="A19" s="1"/>
      <c r="B19" s="23"/>
      <c r="C19" s="21"/>
      <c r="D19" s="14" t="s">
        <v>3</v>
      </c>
      <c r="E19" s="9"/>
      <c r="F19" s="14" t="s">
        <v>3</v>
      </c>
      <c r="G19" s="1"/>
    </row>
    <row r="20" spans="1:7" x14ac:dyDescent="0.25">
      <c r="A20" s="1"/>
      <c r="B20" s="23"/>
      <c r="C20" s="21"/>
      <c r="D20" s="14" t="s">
        <v>3</v>
      </c>
      <c r="E20" s="9"/>
      <c r="F20" s="14" t="s">
        <v>3</v>
      </c>
      <c r="G20" s="1"/>
    </row>
    <row r="21" spans="1:7" x14ac:dyDescent="0.25">
      <c r="A21" s="1"/>
      <c r="B21" s="23"/>
      <c r="C21" s="21"/>
      <c r="D21" s="14" t="s">
        <v>3</v>
      </c>
      <c r="E21" s="9"/>
      <c r="F21" s="14" t="s">
        <v>3</v>
      </c>
      <c r="G21" s="1"/>
    </row>
    <row r="22" spans="1:7" x14ac:dyDescent="0.25">
      <c r="A22" s="1"/>
      <c r="B22" s="23"/>
      <c r="C22" s="21"/>
      <c r="D22" s="14" t="s">
        <v>3</v>
      </c>
      <c r="E22" s="9"/>
      <c r="F22" s="14" t="s">
        <v>3</v>
      </c>
      <c r="G22" s="1"/>
    </row>
    <row r="23" spans="1:7" x14ac:dyDescent="0.25">
      <c r="A23" s="1"/>
      <c r="B23" s="23"/>
      <c r="C23" s="21"/>
      <c r="D23" s="14" t="s">
        <v>3</v>
      </c>
      <c r="E23" s="9"/>
      <c r="F23" s="14" t="s">
        <v>3</v>
      </c>
      <c r="G23" s="1"/>
    </row>
    <row r="24" spans="1:7" x14ac:dyDescent="0.25">
      <c r="A24" s="1"/>
      <c r="B24" s="53" t="s">
        <v>218</v>
      </c>
      <c r="C24" s="12">
        <f>SUM(C11:C23)</f>
        <v>1285698</v>
      </c>
      <c r="D24" s="13" t="s">
        <v>3</v>
      </c>
      <c r="E24" s="12">
        <f>SUM(E11:E23)</f>
        <v>0</v>
      </c>
      <c r="F24" s="13" t="s">
        <v>3</v>
      </c>
      <c r="G24" s="1"/>
    </row>
    <row r="25" spans="1:7" x14ac:dyDescent="0.25">
      <c r="A25" s="1"/>
      <c r="B25" s="53" t="s">
        <v>219</v>
      </c>
      <c r="C25" s="12">
        <f>C24*(1+'Fane 13. Nøgletal'!$C$16)^2</f>
        <v>1501860.6561907199</v>
      </c>
      <c r="D25" s="13" t="s">
        <v>3</v>
      </c>
      <c r="E25" s="12">
        <f>E24*(1+'Fane 13. Nøgletal'!$C$16)^2</f>
        <v>0</v>
      </c>
      <c r="F25" s="13" t="s">
        <v>3</v>
      </c>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ht="18" customHeight="1"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x+8q8EPmsRaWnaYN2ROVN1GmGi80NSUztPEGJUPSiWsO508rgIszovTGd8agtuVSCV0Mu3bnNuI7TDtikZMicw==" saltValue="LBhWVzxUtymp+xcmrfiSDg=="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55" zoomScaleNormal="100" zoomScalePageLayoutView="55"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2" t="s">
        <v>180</v>
      </c>
      <c r="C3" s="102"/>
      <c r="D3" s="102"/>
      <c r="E3" s="102"/>
      <c r="F3" s="102"/>
      <c r="G3" s="1"/>
    </row>
    <row r="4" spans="1:7" ht="25.5" customHeight="1" x14ac:dyDescent="0.25">
      <c r="A4" s="1"/>
      <c r="B4" s="102"/>
      <c r="C4" s="102"/>
      <c r="D4" s="102"/>
      <c r="E4" s="102"/>
      <c r="F4" s="10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9" t="s">
        <v>104</v>
      </c>
      <c r="C8" s="110"/>
      <c r="D8" s="110"/>
      <c r="E8" s="110"/>
      <c r="F8" s="111"/>
      <c r="G8" s="1"/>
    </row>
    <row r="9" spans="1:7" ht="15" customHeight="1" x14ac:dyDescent="0.25">
      <c r="A9" s="1"/>
      <c r="B9" s="55" t="s">
        <v>105</v>
      </c>
      <c r="C9" s="134" t="s">
        <v>10</v>
      </c>
      <c r="D9" s="136"/>
      <c r="E9" s="134" t="s">
        <v>27</v>
      </c>
      <c r="F9" s="136"/>
      <c r="G9" s="1"/>
    </row>
    <row r="10" spans="1:7" ht="26.25" x14ac:dyDescent="0.25">
      <c r="A10" s="1"/>
      <c r="B10" s="59"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Vkve7ADLlzeQEZauNByRzfdUIpDyn3JlzPATBqK5mTDobvnF5KfOKGcMcoDNhpYax08sPetNwQ8mOpArlRP6jw==" saltValue="3ufdFdl5tIz5qducETyLC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F49"/>
  <sheetViews>
    <sheetView showGridLines="0" view="pageLayout" zoomScale="40" zoomScaleNormal="100" zoomScalePageLayoutView="4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2" t="s">
        <v>181</v>
      </c>
      <c r="C3" s="102"/>
      <c r="D3" s="102"/>
      <c r="E3" s="102"/>
      <c r="F3" s="102"/>
    </row>
    <row r="4" spans="1:6" ht="25.5" customHeight="1" x14ac:dyDescent="0.25">
      <c r="A4" s="1"/>
      <c r="B4" s="102"/>
      <c r="C4" s="102"/>
      <c r="D4" s="102"/>
      <c r="E4" s="102"/>
      <c r="F4" s="102"/>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
      <c r="C8" s="1"/>
      <c r="D8" s="1"/>
      <c r="E8" s="1"/>
      <c r="F8" s="1"/>
    </row>
    <row r="9" spans="1:6" ht="15" customHeight="1" x14ac:dyDescent="0.25">
      <c r="A9" s="1"/>
      <c r="B9" s="1"/>
      <c r="C9" s="1"/>
      <c r="D9" s="1"/>
      <c r="E9" s="1"/>
      <c r="F9" s="1"/>
    </row>
    <row r="10" spans="1:6" x14ac:dyDescent="0.25">
      <c r="A10" s="1"/>
      <c r="B10" s="109" t="s">
        <v>237</v>
      </c>
      <c r="C10" s="110"/>
      <c r="D10" s="110"/>
      <c r="E10" s="110"/>
      <c r="F10" s="111"/>
    </row>
    <row r="11" spans="1:6" ht="26.25" x14ac:dyDescent="0.25">
      <c r="A11" s="1"/>
      <c r="B11" s="55" t="s">
        <v>16</v>
      </c>
      <c r="C11" s="55" t="s">
        <v>10</v>
      </c>
      <c r="D11" s="30"/>
      <c r="E11" s="55" t="s">
        <v>27</v>
      </c>
      <c r="F11" s="30"/>
    </row>
    <row r="12" spans="1:6" x14ac:dyDescent="0.25">
      <c r="A12" s="1"/>
      <c r="B12" s="59" t="s">
        <v>242</v>
      </c>
      <c r="C12" s="9">
        <v>0</v>
      </c>
      <c r="D12" s="14" t="s">
        <v>3</v>
      </c>
      <c r="E12" s="9">
        <v>0</v>
      </c>
      <c r="F12" s="14" t="s">
        <v>3</v>
      </c>
    </row>
    <row r="13" spans="1:6" x14ac:dyDescent="0.25">
      <c r="A13" s="1"/>
      <c r="B13" s="53" t="s">
        <v>78</v>
      </c>
      <c r="C13" s="12">
        <f>SUM(C12:C12)</f>
        <v>0</v>
      </c>
      <c r="D13" s="13" t="s">
        <v>3</v>
      </c>
      <c r="E13" s="12">
        <f>SUM(E12:E12)</f>
        <v>0</v>
      </c>
      <c r="F13" s="13" t="s">
        <v>3</v>
      </c>
    </row>
    <row r="14" spans="1:6" x14ac:dyDescent="0.25">
      <c r="A14" s="1"/>
      <c r="B14" s="53" t="s">
        <v>233</v>
      </c>
      <c r="C14" s="12">
        <f>C13*(1+'Fane 13. Nøgletal'!C16)</f>
        <v>0</v>
      </c>
      <c r="D14" s="13" t="s">
        <v>3</v>
      </c>
      <c r="E14" s="12">
        <f>E13*(1+'Fane 13. Nøgletal'!C16)</f>
        <v>0</v>
      </c>
      <c r="F14" s="13" t="s">
        <v>3</v>
      </c>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sheetData>
  <sheetProtection algorithmName="SHA-512" hashValue="rkBVTi30npI1MPWDTmZZ5Xzh9p8ZaWVyZG3SBCHnF9KMUUHvC6pdlcsBbrNCwaCvcBvTW8QTzZx8rLuG5fNb/A==" saltValue="tKS9eYOm+C82lJUHfJnaew=="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70" zoomScaleNormal="100" zoomScalePageLayoutView="7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2" t="s">
        <v>182</v>
      </c>
      <c r="C3" s="102"/>
      <c r="D3" s="1"/>
    </row>
    <row r="4" spans="1:4" ht="25.5" customHeight="1" x14ac:dyDescent="0.25">
      <c r="A4" s="1"/>
      <c r="B4" s="102"/>
      <c r="C4" s="102"/>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3" t="s">
        <v>13</v>
      </c>
      <c r="C8" s="39"/>
      <c r="D8" s="1"/>
    </row>
    <row r="9" spans="1:4" x14ac:dyDescent="0.25">
      <c r="A9" s="1"/>
      <c r="B9" s="73" t="s">
        <v>93</v>
      </c>
      <c r="C9" s="40">
        <v>1.2699999999999999E-2</v>
      </c>
      <c r="D9" s="1"/>
    </row>
    <row r="10" spans="1:4" x14ac:dyDescent="0.25">
      <c r="A10" s="1"/>
      <c r="B10" s="73" t="s">
        <v>21</v>
      </c>
      <c r="C10" s="40">
        <v>1.7500000000000002E-2</v>
      </c>
      <c r="D10" s="1"/>
    </row>
    <row r="11" spans="1:4" x14ac:dyDescent="0.25">
      <c r="A11" s="1"/>
      <c r="B11" s="73"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1" t="s">
        <v>207</v>
      </c>
      <c r="C16" s="42">
        <v>8.0799999999999997E-2</v>
      </c>
      <c r="D16" s="1"/>
    </row>
    <row r="17" spans="1:4" x14ac:dyDescent="0.25">
      <c r="A17" s="1"/>
      <c r="B17" s="109"/>
      <c r="C17" s="111"/>
      <c r="D17" s="1"/>
    </row>
    <row r="18" spans="1:4" x14ac:dyDescent="0.25">
      <c r="A18" s="1"/>
      <c r="B18" s="1"/>
      <c r="C18" s="38"/>
      <c r="D18" s="1"/>
    </row>
    <row r="19" spans="1:4" x14ac:dyDescent="0.25">
      <c r="A19" s="1"/>
      <c r="B19" s="1"/>
      <c r="C19" s="38"/>
      <c r="D19" s="1"/>
    </row>
    <row r="20" spans="1:4" x14ac:dyDescent="0.25">
      <c r="A20" s="1"/>
      <c r="B20" s="53" t="s">
        <v>81</v>
      </c>
      <c r="C20" s="39"/>
      <c r="D20" s="1"/>
    </row>
    <row r="21" spans="1:4" x14ac:dyDescent="0.25">
      <c r="A21" s="1"/>
      <c r="B21" s="73" t="s">
        <v>95</v>
      </c>
      <c r="C21" s="42">
        <v>9.1000000000000004E-3</v>
      </c>
      <c r="D21" s="1"/>
    </row>
    <row r="22" spans="1:4" x14ac:dyDescent="0.25">
      <c r="A22" s="1"/>
      <c r="B22" s="73" t="s">
        <v>96</v>
      </c>
      <c r="C22" s="42">
        <v>1.77E-2</v>
      </c>
      <c r="D22" s="1"/>
    </row>
    <row r="23" spans="1:4" x14ac:dyDescent="0.25">
      <c r="A23" s="1"/>
      <c r="B23" s="73" t="s">
        <v>97</v>
      </c>
      <c r="C23" s="42">
        <v>8.6999999999999994E-3</v>
      </c>
      <c r="D23" s="1"/>
    </row>
    <row r="24" spans="1:4" x14ac:dyDescent="0.25">
      <c r="A24" s="1"/>
      <c r="B24" s="73" t="s">
        <v>98</v>
      </c>
      <c r="C24" s="42">
        <v>2.8400000000000002E-2</v>
      </c>
      <c r="D24" s="1"/>
    </row>
    <row r="25" spans="1:4" x14ac:dyDescent="0.25">
      <c r="A25" s="1"/>
      <c r="B25" s="73" t="s">
        <v>111</v>
      </c>
      <c r="C25" s="42">
        <v>2.75E-2</v>
      </c>
      <c r="D25" s="1"/>
    </row>
    <row r="26" spans="1:4" x14ac:dyDescent="0.25">
      <c r="A26" s="1"/>
      <c r="B26" s="73" t="s">
        <v>137</v>
      </c>
      <c r="C26" s="42">
        <v>1.4800000000000001E-2</v>
      </c>
      <c r="D26" s="1"/>
    </row>
    <row r="27" spans="1:4" x14ac:dyDescent="0.25">
      <c r="A27" s="1"/>
      <c r="B27" s="25" t="s">
        <v>154</v>
      </c>
      <c r="C27" s="42">
        <v>0</v>
      </c>
      <c r="D27" s="1"/>
    </row>
    <row r="28" spans="1:4" x14ac:dyDescent="0.25">
      <c r="A28" s="1"/>
      <c r="B28" s="51" t="s">
        <v>208</v>
      </c>
      <c r="C28" s="42">
        <v>0</v>
      </c>
      <c r="D28" s="1"/>
    </row>
    <row r="29" spans="1:4" x14ac:dyDescent="0.25">
      <c r="A29" s="1"/>
      <c r="B29" s="53"/>
      <c r="C29" s="39"/>
      <c r="D29" s="1"/>
    </row>
    <row r="30" spans="1:4" x14ac:dyDescent="0.25">
      <c r="A30" s="1"/>
      <c r="B30" s="1"/>
      <c r="C30" s="38"/>
      <c r="D30" s="1"/>
    </row>
    <row r="31" spans="1:4" x14ac:dyDescent="0.25">
      <c r="A31" s="1"/>
      <c r="B31" s="1"/>
      <c r="C31" s="38"/>
      <c r="D31" s="1"/>
    </row>
    <row r="32" spans="1:4" x14ac:dyDescent="0.25">
      <c r="A32" s="1"/>
      <c r="B32" s="53" t="s">
        <v>82</v>
      </c>
      <c r="C32" s="39"/>
      <c r="D32" s="1"/>
    </row>
    <row r="33" spans="1:4" x14ac:dyDescent="0.25">
      <c r="A33" s="1"/>
      <c r="B33" s="73" t="s">
        <v>99</v>
      </c>
      <c r="C33" s="40">
        <v>0.02</v>
      </c>
      <c r="D33" s="1"/>
    </row>
    <row r="34" spans="1:4" x14ac:dyDescent="0.25">
      <c r="A34" s="1"/>
      <c r="B34" s="53"/>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P5fswqnlX1twV6YrjxLMdhOu57Fid9JSTUIXW8d37pGNsAs9BYKt1BROO8hUMNjYFuWBl/zxHcIrAb60x+7xaA==" saltValue="Zd8jYIunlEkYnGcGk6pVow=="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93" zoomScaleNormal="100" zoomScalePageLayoutView="93" workbookViewId="0"/>
  </sheetViews>
  <sheetFormatPr defaultColWidth="9.140625" defaultRowHeight="15" x14ac:dyDescent="0.25"/>
  <cols>
    <col min="1" max="1" width="6.5703125" style="2" customWidth="1"/>
    <col min="2" max="2" width="55.28515625" style="2" customWidth="1"/>
    <col min="3" max="3" width="14.85546875" style="2"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9" t="s">
        <v>198</v>
      </c>
      <c r="C3" s="99"/>
      <c r="D3" s="99"/>
      <c r="E3" s="1"/>
    </row>
    <row r="4" spans="1:5" ht="15" customHeight="1" x14ac:dyDescent="0.25">
      <c r="A4" s="1"/>
      <c r="B4" s="99"/>
      <c r="C4" s="99"/>
      <c r="D4" s="99"/>
      <c r="E4" s="1"/>
    </row>
    <row r="5" spans="1:5" x14ac:dyDescent="0.25">
      <c r="A5" s="1"/>
      <c r="B5" s="1"/>
      <c r="C5" s="1"/>
      <c r="D5" s="1"/>
      <c r="E5" s="1"/>
    </row>
    <row r="6" spans="1:5" x14ac:dyDescent="0.25">
      <c r="A6" s="1"/>
      <c r="B6" s="1"/>
      <c r="C6" s="1"/>
      <c r="D6" s="1"/>
      <c r="E6" s="1"/>
    </row>
    <row r="7" spans="1:5" x14ac:dyDescent="0.25">
      <c r="A7" s="1"/>
      <c r="B7" s="53" t="s">
        <v>12</v>
      </c>
      <c r="C7" s="54"/>
      <c r="D7" s="19"/>
      <c r="E7" s="1"/>
    </row>
    <row r="8" spans="1:5" x14ac:dyDescent="0.25">
      <c r="A8" s="1"/>
      <c r="B8" s="56" t="s">
        <v>109</v>
      </c>
      <c r="C8" s="7">
        <f>'Fane 3. Omkostninger i ØR2023'!C19</f>
        <v>100616513.24764885</v>
      </c>
      <c r="D8" s="8" t="s">
        <v>3</v>
      </c>
      <c r="E8" s="1"/>
    </row>
    <row r="9" spans="1:5" ht="17.100000000000001" customHeight="1" x14ac:dyDescent="0.25">
      <c r="A9" s="1"/>
      <c r="B9" s="24" t="s">
        <v>33</v>
      </c>
      <c r="C9" s="7">
        <f>'Fane 10.1. Varige tillæg'!C25</f>
        <v>79859.231199999995</v>
      </c>
      <c r="D9" s="8" t="s">
        <v>3</v>
      </c>
      <c r="E9" s="1"/>
    </row>
    <row r="10" spans="1:5" ht="17.100000000000001" customHeight="1" x14ac:dyDescent="0.25">
      <c r="A10" s="1"/>
      <c r="B10" s="24" t="s">
        <v>34</v>
      </c>
      <c r="C10" s="9">
        <f>'Fane 10.1. Varige tillæg'!E25</f>
        <v>307403.29759999999</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3613238.6839433392</v>
      </c>
      <c r="D15" s="8" t="s">
        <v>3</v>
      </c>
      <c r="E15" s="1"/>
    </row>
    <row r="16" spans="1:5" ht="17.100000000000001" customHeight="1" x14ac:dyDescent="0.25">
      <c r="A16" s="1"/>
      <c r="B16" s="24" t="s">
        <v>9</v>
      </c>
      <c r="C16" s="9">
        <f>-SUM(C8,C9:C15)*'Fane 5. Individuelt eff. krav'!G9</f>
        <v>-607234.80305820587</v>
      </c>
      <c r="D16" s="8" t="s">
        <v>3</v>
      </c>
      <c r="E16" s="1"/>
    </row>
    <row r="17" spans="1:5" ht="17.100000000000001" customHeight="1" x14ac:dyDescent="0.25">
      <c r="A17" s="1"/>
      <c r="B17" s="24" t="s">
        <v>22</v>
      </c>
      <c r="C17" s="9">
        <f>-'Fane 4.1. Gen. krav - drift'!G49</f>
        <v>-1106233.7833374143</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5" t="s">
        <v>19</v>
      </c>
      <c r="C19" s="10">
        <f>SUM(C8:C18)</f>
        <v>102903545.87399657</v>
      </c>
      <c r="D19" s="11" t="s">
        <v>3</v>
      </c>
      <c r="E19" s="1"/>
    </row>
    <row r="20" spans="1:5" ht="15" customHeight="1" x14ac:dyDescent="0.25">
      <c r="A20" s="1"/>
      <c r="B20" s="53" t="s">
        <v>11</v>
      </c>
      <c r="C20" s="54"/>
      <c r="D20" s="19"/>
      <c r="E20" s="1"/>
    </row>
    <row r="21" spans="1:5" ht="15" customHeight="1" x14ac:dyDescent="0.25">
      <c r="A21" s="1"/>
      <c r="B21" s="55" t="s">
        <v>11</v>
      </c>
      <c r="C21" s="10">
        <f>'Fane 6. Ikke-påvirkelige omk.'!C20</f>
        <v>66771449.084314235</v>
      </c>
      <c r="D21" s="11" t="s">
        <v>3</v>
      </c>
      <c r="E21" s="1"/>
    </row>
    <row r="22" spans="1:5" ht="15" customHeight="1" x14ac:dyDescent="0.25">
      <c r="A22" s="1"/>
      <c r="B22" s="53" t="s">
        <v>75</v>
      </c>
      <c r="C22" s="54"/>
      <c r="D22" s="19"/>
      <c r="E22" s="1"/>
    </row>
    <row r="23" spans="1:5" ht="15" customHeight="1" x14ac:dyDescent="0.25">
      <c r="A23" s="1"/>
      <c r="B23" s="24" t="s">
        <v>71</v>
      </c>
      <c r="C23" s="9">
        <f>'Fane 10.2. Engangstillæg'!C25</f>
        <v>1501860.6561907199</v>
      </c>
      <c r="D23" s="8" t="s">
        <v>3</v>
      </c>
      <c r="E23" s="1"/>
    </row>
    <row r="24" spans="1:5" ht="15" customHeight="1" x14ac:dyDescent="0.25">
      <c r="A24" s="1"/>
      <c r="B24" s="24" t="s">
        <v>72</v>
      </c>
      <c r="C24" s="9">
        <f>'Fane 10.2. Engangstillæg'!E25</f>
        <v>0</v>
      </c>
      <c r="D24" s="8" t="s">
        <v>3</v>
      </c>
      <c r="E24" s="1"/>
    </row>
    <row r="25" spans="1:5" ht="15" customHeight="1" x14ac:dyDescent="0.25">
      <c r="A25" s="1"/>
      <c r="B25" s="24" t="s">
        <v>164</v>
      </c>
      <c r="C25" s="9">
        <f>-C23*('Fane 13. Nøgletal'!C33+'Fane 5. Individuelt eff. krav'!G9)</f>
        <v>-38754.552884337907</v>
      </c>
      <c r="D25" s="8" t="s">
        <v>3</v>
      </c>
      <c r="E25" s="1"/>
    </row>
    <row r="26" spans="1:5" ht="15" customHeight="1" x14ac:dyDescent="0.25">
      <c r="A26" s="1"/>
      <c r="B26" s="24" t="s">
        <v>165</v>
      </c>
      <c r="C26" s="9">
        <f>-C24*('Fane 13. Nøgletal'!C28+'Fane 5. Individuelt eff. krav'!G9)</f>
        <v>0</v>
      </c>
      <c r="D26" s="8" t="s">
        <v>3</v>
      </c>
      <c r="E26" s="1"/>
    </row>
    <row r="27" spans="1:5" x14ac:dyDescent="0.25">
      <c r="A27" s="1"/>
      <c r="B27" s="75" t="s">
        <v>76</v>
      </c>
      <c r="C27" s="49">
        <f>SUM(C23:C26)</f>
        <v>1463106.103306382</v>
      </c>
      <c r="D27" s="11" t="s">
        <v>3</v>
      </c>
      <c r="E27" s="1"/>
    </row>
    <row r="28" spans="1:5" ht="15" customHeight="1" x14ac:dyDescent="0.25">
      <c r="A28" s="1"/>
      <c r="B28" s="26" t="s">
        <v>117</v>
      </c>
      <c r="C28" s="54"/>
      <c r="D28" s="19"/>
      <c r="E28" s="1"/>
    </row>
    <row r="29" spans="1:5" x14ac:dyDescent="0.25">
      <c r="A29" s="1"/>
      <c r="B29" s="74" t="s">
        <v>118</v>
      </c>
      <c r="C29" s="10">
        <f>'Fane 7. Kontrol af ØR2022'!E15</f>
        <v>-2892791</v>
      </c>
      <c r="D29" s="11" t="s">
        <v>3</v>
      </c>
      <c r="E29" s="1"/>
    </row>
    <row r="30" spans="1:5" ht="26.25" x14ac:dyDescent="0.25">
      <c r="A30" s="1"/>
      <c r="B30" s="65" t="s">
        <v>138</v>
      </c>
      <c r="C30" s="54"/>
      <c r="D30" s="19"/>
      <c r="E30" s="1"/>
    </row>
    <row r="31" spans="1:5" x14ac:dyDescent="0.25">
      <c r="A31" s="1"/>
      <c r="B31" s="74" t="s">
        <v>139</v>
      </c>
      <c r="C31" s="10">
        <f>'Fane 8. Skattesagen'!G13</f>
        <v>0</v>
      </c>
      <c r="D31" s="11" t="s">
        <v>3</v>
      </c>
      <c r="E31" s="1"/>
    </row>
    <row r="32" spans="1:5" x14ac:dyDescent="0.25">
      <c r="A32" s="1"/>
      <c r="B32" s="53" t="s">
        <v>126</v>
      </c>
      <c r="C32" s="33">
        <f>SUM(C19,C21,C27,C29,C31)</f>
        <v>168245310.0616172</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5I9/j4GQ2UdOnGtyLEzYyZbWTMnWpk+fMYVeJ+4YDbq8cAxBt3Q+s+CzP1vdwGMJh8W2xbE/+CvsL2o7l0nGqA==" saltValue="+xY1vK8/uP9Z3EBMquSOw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57" style="2" customWidth="1"/>
    <col min="3" max="3" width="14.425781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9" t="s">
        <v>199</v>
      </c>
      <c r="C3" s="99"/>
      <c r="D3" s="99"/>
      <c r="E3" s="1"/>
    </row>
    <row r="4" spans="1:5" ht="15" customHeight="1" x14ac:dyDescent="0.25">
      <c r="A4" s="1"/>
      <c r="B4" s="99"/>
      <c r="C4" s="99"/>
      <c r="D4" s="99"/>
      <c r="E4" s="1"/>
    </row>
    <row r="5" spans="1:5" x14ac:dyDescent="0.25">
      <c r="A5" s="1"/>
      <c r="B5" s="100" t="s">
        <v>20</v>
      </c>
      <c r="C5" s="100"/>
      <c r="D5" s="100"/>
      <c r="E5" s="1"/>
    </row>
    <row r="6" spans="1:5" x14ac:dyDescent="0.25">
      <c r="A6" s="1"/>
      <c r="B6" s="1"/>
      <c r="C6" s="1"/>
      <c r="D6" s="1"/>
      <c r="E6" s="1"/>
    </row>
    <row r="7" spans="1:5" x14ac:dyDescent="0.25">
      <c r="A7" s="1"/>
      <c r="B7" s="53" t="s">
        <v>12</v>
      </c>
      <c r="C7" s="54"/>
      <c r="D7" s="19"/>
      <c r="E7" s="1"/>
    </row>
    <row r="8" spans="1:5" ht="15" customHeight="1" x14ac:dyDescent="0.25">
      <c r="A8" s="1"/>
      <c r="B8" s="56" t="s">
        <v>127</v>
      </c>
      <c r="C8" s="7">
        <f>'Fane 2.1. Økonomisk ramme 2024'!C19</f>
        <v>102903545.87399657</v>
      </c>
      <c r="D8" s="8" t="s">
        <v>3</v>
      </c>
      <c r="E8" s="1"/>
    </row>
    <row r="9" spans="1:5" ht="15" customHeight="1" x14ac:dyDescent="0.25">
      <c r="A9" s="1"/>
      <c r="B9" s="29" t="s">
        <v>17</v>
      </c>
      <c r="C9" s="9">
        <f>SUM(C8:C8)*'Fane 13. Nøgletal'!C16</f>
        <v>8314606.5066189226</v>
      </c>
      <c r="D9" s="8" t="s">
        <v>3</v>
      </c>
      <c r="E9" s="1"/>
    </row>
    <row r="10" spans="1:5" ht="15" customHeight="1" x14ac:dyDescent="0.25">
      <c r="A10" s="1"/>
      <c r="B10" s="29" t="s">
        <v>9</v>
      </c>
      <c r="C10" s="9">
        <f>-SUM(C8:C9)*'Fane 5. Individuelt eff. krav'!G9</f>
        <v>-645550.1832630618</v>
      </c>
      <c r="D10" s="8" t="s">
        <v>3</v>
      </c>
      <c r="E10" s="1"/>
    </row>
    <row r="11" spans="1:5" ht="15" customHeight="1" x14ac:dyDescent="0.25">
      <c r="A11" s="1"/>
      <c r="B11" s="29" t="s">
        <v>22</v>
      </c>
      <c r="C11" s="9">
        <f>-'Fane 4.1. Gen. krav - drift'!G54</f>
        <v>-1171705.1235704557</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109400897.07378197</v>
      </c>
      <c r="D13" s="11" t="s">
        <v>3</v>
      </c>
      <c r="E13" s="1"/>
    </row>
    <row r="14" spans="1:5" x14ac:dyDescent="0.25">
      <c r="A14" s="1"/>
      <c r="B14" s="53" t="s">
        <v>11</v>
      </c>
      <c r="C14" s="54"/>
      <c r="D14" s="19"/>
      <c r="E14" s="1"/>
    </row>
    <row r="15" spans="1:5" ht="15" customHeight="1" x14ac:dyDescent="0.25">
      <c r="A15" s="1"/>
      <c r="B15" s="55" t="s">
        <v>11</v>
      </c>
      <c r="C15" s="10">
        <f>'Fane 6. Ikke-påvirkelige omk.'!C20*(1+'Fane 13. Nøgletal'!C16)</f>
        <v>72166582.170326829</v>
      </c>
      <c r="D15" s="11" t="s">
        <v>3</v>
      </c>
      <c r="E15" s="1"/>
    </row>
    <row r="16" spans="1:5" x14ac:dyDescent="0.25">
      <c r="A16" s="1"/>
      <c r="B16" s="26" t="s">
        <v>117</v>
      </c>
      <c r="C16" s="54"/>
      <c r="D16" s="19"/>
      <c r="E16" s="1"/>
    </row>
    <row r="17" spans="1:5" ht="15" customHeight="1" x14ac:dyDescent="0.25">
      <c r="A17" s="1"/>
      <c r="B17" s="74" t="s">
        <v>118</v>
      </c>
      <c r="C17" s="10">
        <f>'Fane 7. Kontrol af ØR2022'!E33</f>
        <v>-645677</v>
      </c>
      <c r="D17" s="11" t="s">
        <v>3</v>
      </c>
      <c r="E17" s="1"/>
    </row>
    <row r="18" spans="1:5" ht="26.25" x14ac:dyDescent="0.25">
      <c r="A18" s="1"/>
      <c r="B18" s="65" t="s">
        <v>138</v>
      </c>
      <c r="C18" s="54"/>
      <c r="D18" s="19"/>
      <c r="E18" s="1"/>
    </row>
    <row r="19" spans="1:5" x14ac:dyDescent="0.25">
      <c r="A19" s="1"/>
      <c r="B19" s="74" t="s">
        <v>139</v>
      </c>
      <c r="C19" s="10">
        <f>'Fane 8. Skattesagen'!G13</f>
        <v>0</v>
      </c>
      <c r="D19" s="11" t="s">
        <v>3</v>
      </c>
      <c r="E19" s="1"/>
    </row>
    <row r="20" spans="1:5" x14ac:dyDescent="0.25">
      <c r="A20" s="1"/>
      <c r="B20" s="53" t="s">
        <v>128</v>
      </c>
      <c r="C20" s="12">
        <f>SUM(C13,C15,C17,C19)</f>
        <v>180921802.2441088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SwvK6pFRMrdRPR22Km4Nnls+pjYjD163y+v+Yk4BPfdS0Hc78jp/soEHmQjf3egdnwCyUM1wgxxwOcGzDf4GJA==" saltValue="VgpdPXSnrRy8I0VovhtRq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59.85546875" style="2" customWidth="1"/>
    <col min="3" max="3" width="13.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9" t="s">
        <v>200</v>
      </c>
      <c r="C3" s="99"/>
      <c r="D3" s="99"/>
      <c r="E3" s="1"/>
    </row>
    <row r="4" spans="1:5" ht="15" customHeight="1" x14ac:dyDescent="0.25">
      <c r="A4" s="1"/>
      <c r="B4" s="99"/>
      <c r="C4" s="99"/>
      <c r="D4" s="99"/>
      <c r="E4" s="1"/>
    </row>
    <row r="5" spans="1:5" x14ac:dyDescent="0.25">
      <c r="A5" s="1"/>
      <c r="B5" s="100" t="s">
        <v>20</v>
      </c>
      <c r="C5" s="100"/>
      <c r="D5" s="100"/>
      <c r="E5" s="1"/>
    </row>
    <row r="6" spans="1:5" x14ac:dyDescent="0.25">
      <c r="A6" s="1"/>
      <c r="B6" s="1"/>
      <c r="C6" s="1"/>
      <c r="D6" s="1"/>
      <c r="E6" s="1"/>
    </row>
    <row r="7" spans="1:5" x14ac:dyDescent="0.25">
      <c r="A7" s="1"/>
      <c r="B7" s="53" t="s">
        <v>12</v>
      </c>
      <c r="C7" s="54"/>
      <c r="D7" s="19"/>
      <c r="E7" s="1"/>
    </row>
    <row r="8" spans="1:5" ht="15" customHeight="1" x14ac:dyDescent="0.25">
      <c r="A8" s="1"/>
      <c r="B8" s="56" t="s">
        <v>142</v>
      </c>
      <c r="C8" s="7">
        <f>'Fane 2.2. Økonomisk ramme 2025'!C13</f>
        <v>109400897.07378197</v>
      </c>
      <c r="D8" s="8" t="s">
        <v>3</v>
      </c>
      <c r="E8" s="1"/>
    </row>
    <row r="9" spans="1:5" ht="15" customHeight="1" x14ac:dyDescent="0.25">
      <c r="A9" s="1"/>
      <c r="B9" s="29" t="s">
        <v>17</v>
      </c>
      <c r="C9" s="9">
        <f>SUM(C8:C8)*'Fane 13. Nøgletal'!C16</f>
        <v>8839592.4835615829</v>
      </c>
      <c r="D9" s="8" t="s">
        <v>3</v>
      </c>
      <c r="E9" s="1"/>
    </row>
    <row r="10" spans="1:5" ht="15" customHeight="1" x14ac:dyDescent="0.25">
      <c r="A10" s="1"/>
      <c r="B10" s="29" t="s">
        <v>9</v>
      </c>
      <c r="C10" s="9">
        <f>-SUM(C8:C9)*'Fane 5. Individuelt eff. krav'!G9</f>
        <v>-686310.35554013634</v>
      </c>
      <c r="D10" s="8" t="s">
        <v>3</v>
      </c>
      <c r="E10" s="1"/>
    </row>
    <row r="11" spans="1:5" ht="15" customHeight="1" x14ac:dyDescent="0.25">
      <c r="A11" s="1"/>
      <c r="B11" s="29" t="s">
        <v>22</v>
      </c>
      <c r="C11" s="9">
        <f>-'Fane 4.1. Gen. krav - drift'!G59</f>
        <v>-1241051.3196038494</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116313127.88219956</v>
      </c>
      <c r="D13" s="11" t="s">
        <v>3</v>
      </c>
      <c r="E13" s="1"/>
    </row>
    <row r="14" spans="1:5" x14ac:dyDescent="0.25">
      <c r="A14" s="1"/>
      <c r="B14" s="53" t="s">
        <v>11</v>
      </c>
      <c r="C14" s="54"/>
      <c r="D14" s="19"/>
      <c r="E14" s="1"/>
    </row>
    <row r="15" spans="1:5" ht="15" customHeight="1" x14ac:dyDescent="0.25">
      <c r="A15" s="1"/>
      <c r="B15" s="55" t="s">
        <v>11</v>
      </c>
      <c r="C15" s="10">
        <f>'Fane 6. Ikke-påvirkelige omk.'!C20*(1+'Fane 13. Nøgletal'!C16)^2</f>
        <v>77997642.009689227</v>
      </c>
      <c r="D15" s="11" t="s">
        <v>3</v>
      </c>
      <c r="E15" s="1"/>
    </row>
    <row r="16" spans="1:5" x14ac:dyDescent="0.25">
      <c r="A16" s="1"/>
      <c r="B16" s="53" t="s">
        <v>117</v>
      </c>
      <c r="C16" s="54"/>
      <c r="D16" s="19"/>
      <c r="E16" s="1"/>
    </row>
    <row r="17" spans="1:5" x14ac:dyDescent="0.25">
      <c r="A17" s="1"/>
      <c r="B17" s="55" t="s">
        <v>118</v>
      </c>
      <c r="C17" s="10">
        <f>'Fane 7. Kontrol af ØR2022'!E33</f>
        <v>-645677</v>
      </c>
      <c r="D17" s="11" t="s">
        <v>3</v>
      </c>
      <c r="E17" s="1"/>
    </row>
    <row r="18" spans="1:5" ht="15" customHeight="1" x14ac:dyDescent="0.25">
      <c r="A18" s="1"/>
      <c r="B18" s="65" t="s">
        <v>138</v>
      </c>
      <c r="C18" s="54"/>
      <c r="D18" s="19"/>
      <c r="E18" s="1"/>
    </row>
    <row r="19" spans="1:5" ht="15" customHeight="1" x14ac:dyDescent="0.25">
      <c r="A19" s="1"/>
      <c r="B19" s="74" t="s">
        <v>139</v>
      </c>
      <c r="C19" s="10">
        <f>'Fane 8. Skattesagen'!G14</f>
        <v>0</v>
      </c>
      <c r="D19" s="11" t="s">
        <v>3</v>
      </c>
      <c r="E19" s="1"/>
    </row>
    <row r="20" spans="1:5" x14ac:dyDescent="0.25">
      <c r="A20" s="1"/>
      <c r="B20" s="53" t="s">
        <v>143</v>
      </c>
      <c r="C20" s="12">
        <f>SUM(C13,C15,C17,C19)</f>
        <v>193665092.8918888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qdSoali1m9nnOO2i+epq33hLAScGOinv2amCxhW9qNeTTcE5kCeaw1lOrh21xwpBs0DTLPiLb9ioQsXnfsLA==" saltValue="CGQwJL3UGh/am6McQXAtD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58.7109375" style="2" customWidth="1"/>
    <col min="3" max="3" width="14.425781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9" t="s">
        <v>204</v>
      </c>
      <c r="C3" s="99"/>
      <c r="D3" s="99"/>
      <c r="E3" s="1"/>
    </row>
    <row r="4" spans="1:5" ht="15" customHeight="1" x14ac:dyDescent="0.25">
      <c r="A4" s="1"/>
      <c r="B4" s="99"/>
      <c r="C4" s="99"/>
      <c r="D4" s="99"/>
      <c r="E4" s="1"/>
    </row>
    <row r="5" spans="1:5" x14ac:dyDescent="0.25">
      <c r="A5" s="1"/>
      <c r="B5" s="100" t="s">
        <v>20</v>
      </c>
      <c r="C5" s="100"/>
      <c r="D5" s="100"/>
      <c r="E5" s="1"/>
    </row>
    <row r="6" spans="1:5" x14ac:dyDescent="0.25">
      <c r="A6" s="1"/>
      <c r="B6" s="1"/>
      <c r="C6" s="1"/>
      <c r="D6" s="1"/>
      <c r="E6" s="1"/>
    </row>
    <row r="7" spans="1:5" x14ac:dyDescent="0.25">
      <c r="A7" s="1"/>
      <c r="B7" s="53" t="s">
        <v>12</v>
      </c>
      <c r="C7" s="54"/>
      <c r="D7" s="19"/>
      <c r="E7" s="1"/>
    </row>
    <row r="8" spans="1:5" ht="15" customHeight="1" x14ac:dyDescent="0.25">
      <c r="A8" s="1"/>
      <c r="B8" s="56" t="s">
        <v>203</v>
      </c>
      <c r="C8" s="7">
        <f>'Fane 2.3. Økonomisk ramme 2026'!C13</f>
        <v>116313127.88219956</v>
      </c>
      <c r="D8" s="8" t="s">
        <v>3</v>
      </c>
      <c r="E8" s="1"/>
    </row>
    <row r="9" spans="1:5" ht="15" customHeight="1" x14ac:dyDescent="0.25">
      <c r="A9" s="1"/>
      <c r="B9" s="29" t="s">
        <v>17</v>
      </c>
      <c r="C9" s="9">
        <f>SUM(C8:C8)*'Fane 13. Nøgletal'!C16</f>
        <v>9398100.732881723</v>
      </c>
      <c r="D9" s="8" t="s">
        <v>3</v>
      </c>
      <c r="E9" s="1"/>
    </row>
    <row r="10" spans="1:5" ht="15" customHeight="1" x14ac:dyDescent="0.25">
      <c r="A10" s="1"/>
      <c r="B10" s="29" t="s">
        <v>9</v>
      </c>
      <c r="C10" s="9">
        <f>-SUM(C8:C9)*'Fane 5. Individuelt eff. krav'!G9</f>
        <v>-729673.21371214173</v>
      </c>
      <c r="D10" s="8" t="s">
        <v>3</v>
      </c>
      <c r="E10" s="1"/>
    </row>
    <row r="11" spans="1:5" ht="15" customHeight="1" x14ac:dyDescent="0.25">
      <c r="A11" s="1"/>
      <c r="B11" s="29" t="s">
        <v>22</v>
      </c>
      <c r="C11" s="9">
        <f>-'Fane 4.1. Gen. krav - drift'!G64</f>
        <v>-1314501.7009032837</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123667053.70046586</v>
      </c>
      <c r="D13" s="11" t="s">
        <v>3</v>
      </c>
      <c r="E13" s="1"/>
    </row>
    <row r="14" spans="1:5" x14ac:dyDescent="0.25">
      <c r="A14" s="1"/>
      <c r="B14" s="53" t="s">
        <v>11</v>
      </c>
      <c r="C14" s="54"/>
      <c r="D14" s="19"/>
      <c r="E14" s="1"/>
    </row>
    <row r="15" spans="1:5" ht="15" customHeight="1" x14ac:dyDescent="0.25">
      <c r="A15" s="1"/>
      <c r="B15" s="55" t="s">
        <v>11</v>
      </c>
      <c r="C15" s="10">
        <f>'Fane 6. Ikke-påvirkelige omk.'!C20*(1+'Fane 13. Nøgletal'!C16)^3</f>
        <v>84299851.484072119</v>
      </c>
      <c r="D15" s="11" t="s">
        <v>3</v>
      </c>
      <c r="E15" s="1"/>
    </row>
    <row r="16" spans="1:5" x14ac:dyDescent="0.25">
      <c r="A16" s="1"/>
      <c r="B16" s="53" t="s">
        <v>117</v>
      </c>
      <c r="C16" s="54"/>
      <c r="D16" s="19"/>
      <c r="E16" s="1"/>
    </row>
    <row r="17" spans="1:5" x14ac:dyDescent="0.25">
      <c r="A17" s="1"/>
      <c r="B17" s="55" t="s">
        <v>118</v>
      </c>
      <c r="C17" s="10">
        <v>0</v>
      </c>
      <c r="D17" s="11" t="s">
        <v>3</v>
      </c>
      <c r="E17" s="1"/>
    </row>
    <row r="18" spans="1:5" ht="26.25" x14ac:dyDescent="0.25">
      <c r="A18" s="1"/>
      <c r="B18" s="65" t="s">
        <v>138</v>
      </c>
      <c r="C18" s="54"/>
      <c r="D18" s="19"/>
      <c r="E18" s="1"/>
    </row>
    <row r="19" spans="1:5" x14ac:dyDescent="0.25">
      <c r="A19" s="1"/>
      <c r="B19" s="74" t="s">
        <v>139</v>
      </c>
      <c r="C19" s="10">
        <f>'Fane 8. Skattesagen'!G15</f>
        <v>0</v>
      </c>
      <c r="D19" s="11" t="s">
        <v>3</v>
      </c>
      <c r="E19" s="1"/>
    </row>
    <row r="20" spans="1:5" x14ac:dyDescent="0.25">
      <c r="A20" s="1"/>
      <c r="B20" s="53" t="s">
        <v>205</v>
      </c>
      <c r="C20" s="12">
        <f>SUM(C13,C15,C17,C19)</f>
        <v>207966905.18453798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BYSQqS6E0ECSAFSsS6y+vvIbbLDn+QjkMHxk/26M4KgjrGB/iCF+EWqbnX+gUwH7S+FxC2MUN7y6EWjKtuOe2w==" saltValue="1sgu4PDOGPzqW0pa86uSu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70" zoomScaleNormal="100" zoomScalePageLayoutView="7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2" t="s">
        <v>201</v>
      </c>
      <c r="C3" s="102"/>
      <c r="D3" s="102"/>
      <c r="E3" s="1"/>
    </row>
    <row r="4" spans="1:5" x14ac:dyDescent="0.25">
      <c r="A4" s="1"/>
      <c r="B4" s="102"/>
      <c r="C4" s="102"/>
      <c r="D4" s="102"/>
      <c r="E4" s="1"/>
    </row>
    <row r="5" spans="1:5" x14ac:dyDescent="0.25">
      <c r="A5" s="1"/>
      <c r="B5" s="1"/>
      <c r="C5" s="1"/>
      <c r="D5" s="1"/>
      <c r="E5" s="1"/>
    </row>
    <row r="6" spans="1:5" x14ac:dyDescent="0.25">
      <c r="A6" s="1"/>
      <c r="B6" s="1"/>
      <c r="C6" s="1"/>
      <c r="D6" s="1"/>
      <c r="E6" s="1"/>
    </row>
    <row r="7" spans="1:5" x14ac:dyDescent="0.25">
      <c r="A7" s="1"/>
      <c r="B7" s="53" t="s">
        <v>202</v>
      </c>
      <c r="C7" s="54"/>
      <c r="D7" s="19"/>
      <c r="E7" s="1"/>
    </row>
    <row r="8" spans="1:5" x14ac:dyDescent="0.25">
      <c r="A8" s="1"/>
      <c r="B8" s="56" t="s">
        <v>108</v>
      </c>
      <c r="C8" s="7">
        <v>95988999.951422259</v>
      </c>
      <c r="D8" s="8" t="s">
        <v>3</v>
      </c>
      <c r="E8" s="1"/>
    </row>
    <row r="9" spans="1:5" x14ac:dyDescent="0.25">
      <c r="A9" s="1"/>
      <c r="B9" s="24" t="s">
        <v>33</v>
      </c>
      <c r="C9" s="7">
        <v>219156.77880000003</v>
      </c>
      <c r="D9" s="8" t="s">
        <v>3</v>
      </c>
      <c r="E9" s="1"/>
    </row>
    <row r="10" spans="1:5" x14ac:dyDescent="0.25">
      <c r="A10" s="1"/>
      <c r="B10" s="24" t="s">
        <v>34</v>
      </c>
      <c r="C10" s="9">
        <v>2573801.5344000002</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3516637.7142205522</v>
      </c>
      <c r="D15" s="8" t="s">
        <v>3</v>
      </c>
      <c r="E15" s="1"/>
    </row>
    <row r="16" spans="1:5" x14ac:dyDescent="0.25">
      <c r="A16" s="1"/>
      <c r="B16" s="24" t="s">
        <v>9</v>
      </c>
      <c r="C16" s="9">
        <v>-593777.86780430272</v>
      </c>
      <c r="D16" s="8" t="s">
        <v>3</v>
      </c>
      <c r="E16" s="1"/>
    </row>
    <row r="17" spans="1:5" x14ac:dyDescent="0.25">
      <c r="A17" s="1"/>
      <c r="B17" s="24" t="s">
        <v>22</v>
      </c>
      <c r="C17" s="9">
        <v>-1088304.8633896499</v>
      </c>
      <c r="D17" s="8" t="s">
        <v>3</v>
      </c>
      <c r="E17" s="1"/>
    </row>
    <row r="18" spans="1:5" x14ac:dyDescent="0.25">
      <c r="A18" s="1"/>
      <c r="B18" s="24" t="s">
        <v>23</v>
      </c>
      <c r="C18" s="9">
        <v>0</v>
      </c>
      <c r="D18" s="8" t="s">
        <v>3</v>
      </c>
      <c r="E18" s="1"/>
    </row>
    <row r="19" spans="1:5" x14ac:dyDescent="0.25">
      <c r="A19" s="1"/>
      <c r="B19" s="75" t="s">
        <v>19</v>
      </c>
      <c r="C19" s="10">
        <v>100616513.24764885</v>
      </c>
      <c r="D19" s="11" t="s">
        <v>3</v>
      </c>
      <c r="E19" s="1"/>
    </row>
    <row r="20" spans="1:5" x14ac:dyDescent="0.25">
      <c r="A20" s="1"/>
      <c r="B20" s="53" t="s">
        <v>11</v>
      </c>
      <c r="C20" s="54"/>
      <c r="D20" s="19"/>
      <c r="E20" s="1"/>
    </row>
    <row r="21" spans="1:5" x14ac:dyDescent="0.25">
      <c r="A21" s="1"/>
      <c r="B21" s="55" t="s">
        <v>11</v>
      </c>
      <c r="C21" s="10">
        <v>64919267.745022088</v>
      </c>
      <c r="D21" s="11" t="s">
        <v>3</v>
      </c>
      <c r="E21" s="1"/>
    </row>
    <row r="22" spans="1:5" x14ac:dyDescent="0.25">
      <c r="A22" s="1"/>
      <c r="B22" s="53" t="s">
        <v>75</v>
      </c>
      <c r="C22" s="54"/>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5" t="s">
        <v>76</v>
      </c>
      <c r="C27" s="58">
        <v>0</v>
      </c>
      <c r="D27" s="11" t="s">
        <v>3</v>
      </c>
      <c r="E27" s="1"/>
    </row>
    <row r="28" spans="1:5" x14ac:dyDescent="0.25">
      <c r="A28" s="1"/>
      <c r="B28" s="26" t="s">
        <v>117</v>
      </c>
      <c r="C28" s="54"/>
      <c r="D28" s="19"/>
      <c r="E28" s="1"/>
    </row>
    <row r="29" spans="1:5" x14ac:dyDescent="0.25">
      <c r="A29" s="1"/>
      <c r="B29" s="74" t="s">
        <v>118</v>
      </c>
      <c r="C29" s="10">
        <v>-2892791.1903624237</v>
      </c>
      <c r="D29" s="11" t="s">
        <v>3</v>
      </c>
      <c r="E29" s="1"/>
    </row>
    <row r="30" spans="1:5" x14ac:dyDescent="0.25">
      <c r="A30" s="1"/>
      <c r="B30" s="26" t="s">
        <v>138</v>
      </c>
      <c r="C30" s="54"/>
      <c r="D30" s="19"/>
      <c r="E30" s="1"/>
    </row>
    <row r="31" spans="1:5" x14ac:dyDescent="0.25">
      <c r="A31" s="1"/>
      <c r="B31" s="74" t="s">
        <v>139</v>
      </c>
      <c r="C31" s="10">
        <v>0</v>
      </c>
      <c r="D31" s="11" t="s">
        <v>3</v>
      </c>
      <c r="E31" s="1"/>
    </row>
    <row r="32" spans="1:5" x14ac:dyDescent="0.25">
      <c r="A32" s="1"/>
      <c r="B32" s="53" t="s">
        <v>239</v>
      </c>
      <c r="C32" s="33">
        <v>162642989.80230853</v>
      </c>
      <c r="D32" s="19" t="s">
        <v>3</v>
      </c>
      <c r="E32" s="1"/>
    </row>
    <row r="33" spans="1:5" ht="30" customHeight="1" x14ac:dyDescent="0.25">
      <c r="A33" s="1"/>
      <c r="B33" s="101" t="s">
        <v>240</v>
      </c>
      <c r="C33" s="101"/>
      <c r="D33" s="10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9bWNqd743v1fAZxAfg2eS48q3MWYB/bdz2vlGeLL4k4/qvuhgCtbVfaPK1LgEgjYLSDVQbVrjzmoMfjpyUDrzQ==" saltValue="bI6r/3E4nqEiD+tFcfrp6Q=="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70" zoomScaleNormal="100" zoomScalePageLayoutView="7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2" t="s">
        <v>90</v>
      </c>
      <c r="C1" s="102"/>
      <c r="D1" s="102"/>
      <c r="E1" s="102"/>
      <c r="F1" s="102"/>
      <c r="G1" s="102"/>
      <c r="H1" s="102"/>
      <c r="I1" s="1"/>
    </row>
    <row r="2" spans="1:9" ht="15" customHeight="1" x14ac:dyDescent="0.25">
      <c r="A2" s="1"/>
      <c r="B2" s="102"/>
      <c r="C2" s="102"/>
      <c r="D2" s="102"/>
      <c r="E2" s="102"/>
      <c r="F2" s="102"/>
      <c r="G2" s="102"/>
      <c r="H2" s="102"/>
      <c r="I2" s="1"/>
    </row>
    <row r="3" spans="1:9" ht="15" customHeight="1" x14ac:dyDescent="0.25">
      <c r="A3" s="1"/>
      <c r="B3" s="102"/>
      <c r="C3" s="102"/>
      <c r="D3" s="102"/>
      <c r="E3" s="102"/>
      <c r="F3" s="102"/>
      <c r="G3" s="102"/>
      <c r="H3" s="102"/>
      <c r="I3" s="1"/>
    </row>
    <row r="4" spans="1:9" x14ac:dyDescent="0.25">
      <c r="A4" s="1"/>
      <c r="B4" s="109" t="s">
        <v>44</v>
      </c>
      <c r="C4" s="110"/>
      <c r="D4" s="110"/>
      <c r="E4" s="110"/>
      <c r="F4" s="110"/>
      <c r="G4" s="110"/>
      <c r="H4" s="111"/>
      <c r="I4" s="1"/>
    </row>
    <row r="5" spans="1:9" x14ac:dyDescent="0.25">
      <c r="A5" s="1"/>
      <c r="B5" s="103" t="s">
        <v>36</v>
      </c>
      <c r="C5" s="104"/>
      <c r="D5" s="104"/>
      <c r="E5" s="104"/>
      <c r="F5" s="105"/>
      <c r="G5" s="47">
        <v>62662486</v>
      </c>
      <c r="H5" s="14" t="s">
        <v>3</v>
      </c>
      <c r="I5" s="1"/>
    </row>
    <row r="6" spans="1:9" x14ac:dyDescent="0.25">
      <c r="A6" s="1"/>
      <c r="B6" s="103" t="s">
        <v>37</v>
      </c>
      <c r="C6" s="104"/>
      <c r="D6" s="104"/>
      <c r="E6" s="104"/>
      <c r="F6" s="105"/>
      <c r="G6" s="22">
        <f>G5*'Fane 13. Nøgletal'!C33</f>
        <v>1253249.72</v>
      </c>
      <c r="H6" s="14" t="s">
        <v>3</v>
      </c>
      <c r="I6" s="1"/>
    </row>
    <row r="7" spans="1:9" x14ac:dyDescent="0.25">
      <c r="A7" s="1"/>
      <c r="B7" s="53"/>
      <c r="C7" s="54"/>
      <c r="D7" s="54"/>
      <c r="E7" s="54"/>
      <c r="F7" s="54"/>
      <c r="G7" s="35"/>
      <c r="H7" s="19"/>
      <c r="I7" s="1"/>
    </row>
    <row r="8" spans="1:9" x14ac:dyDescent="0.25">
      <c r="A8" s="1"/>
      <c r="B8" s="1"/>
      <c r="C8" s="1"/>
      <c r="D8" s="1"/>
      <c r="E8" s="1"/>
      <c r="F8" s="1"/>
      <c r="G8" s="36"/>
      <c r="H8" s="1"/>
      <c r="I8" s="1"/>
    </row>
    <row r="9" spans="1:9" x14ac:dyDescent="0.25">
      <c r="A9" s="1"/>
      <c r="B9" s="109" t="s">
        <v>45</v>
      </c>
      <c r="C9" s="110"/>
      <c r="D9" s="110"/>
      <c r="E9" s="110"/>
      <c r="F9" s="110"/>
      <c r="G9" s="110"/>
      <c r="H9" s="111"/>
      <c r="I9" s="1"/>
    </row>
    <row r="10" spans="1:9" x14ac:dyDescent="0.25">
      <c r="A10" s="1"/>
      <c r="B10" s="103" t="s">
        <v>38</v>
      </c>
      <c r="C10" s="104"/>
      <c r="D10" s="104"/>
      <c r="E10" s="104"/>
      <c r="F10" s="105"/>
      <c r="G10" s="22">
        <f>(G5-G6)*(1+'Fane 13. Nøgletal'!C9)</f>
        <v>62189133.580755994</v>
      </c>
      <c r="H10" s="14" t="s">
        <v>3</v>
      </c>
      <c r="I10" s="1"/>
    </row>
    <row r="11" spans="1:9" x14ac:dyDescent="0.25">
      <c r="A11" s="1"/>
      <c r="B11" s="106" t="s">
        <v>228</v>
      </c>
      <c r="C11" s="107"/>
      <c r="D11" s="107"/>
      <c r="E11" s="107"/>
      <c r="F11" s="108"/>
      <c r="G11" s="47">
        <v>0</v>
      </c>
      <c r="H11" s="14" t="s">
        <v>3</v>
      </c>
      <c r="I11" s="1"/>
    </row>
    <row r="12" spans="1:9" x14ac:dyDescent="0.25">
      <c r="A12" s="1"/>
      <c r="B12" s="103" t="s">
        <v>39</v>
      </c>
      <c r="C12" s="104"/>
      <c r="D12" s="104"/>
      <c r="E12" s="104"/>
      <c r="F12" s="105"/>
      <c r="G12" s="22">
        <f>(G10+G11)*'Fane 13. Nøgletal'!C33</f>
        <v>1243782.6716151198</v>
      </c>
      <c r="H12" s="14" t="s">
        <v>3</v>
      </c>
      <c r="I12" s="1"/>
    </row>
    <row r="13" spans="1:9" x14ac:dyDescent="0.25">
      <c r="A13" s="1"/>
      <c r="B13" s="53"/>
      <c r="C13" s="54"/>
      <c r="D13" s="54"/>
      <c r="E13" s="54"/>
      <c r="F13" s="54"/>
      <c r="G13" s="35"/>
      <c r="H13" s="19"/>
      <c r="I13" s="1"/>
    </row>
    <row r="14" spans="1:9" x14ac:dyDescent="0.25">
      <c r="A14" s="1"/>
      <c r="B14" s="1"/>
      <c r="C14" s="1"/>
      <c r="D14" s="1"/>
      <c r="E14" s="1"/>
      <c r="F14" s="1"/>
      <c r="G14" s="36"/>
      <c r="H14" s="1"/>
      <c r="I14" s="1"/>
    </row>
    <row r="15" spans="1:9" x14ac:dyDescent="0.25">
      <c r="A15" s="1"/>
      <c r="B15" s="109" t="s">
        <v>46</v>
      </c>
      <c r="C15" s="110"/>
      <c r="D15" s="110"/>
      <c r="E15" s="110"/>
      <c r="F15" s="110"/>
      <c r="G15" s="110"/>
      <c r="H15" s="111"/>
      <c r="I15" s="1"/>
    </row>
    <row r="16" spans="1:9" x14ac:dyDescent="0.25">
      <c r="A16" s="1"/>
      <c r="B16" s="103" t="s">
        <v>40</v>
      </c>
      <c r="C16" s="104"/>
      <c r="D16" s="104"/>
      <c r="E16" s="104"/>
      <c r="F16" s="105"/>
      <c r="G16" s="22">
        <f>(G10+G11-G12)*(1+'Fane 13. Nøgletal'!C11)</f>
        <v>61975327.339505352</v>
      </c>
      <c r="H16" s="14" t="s">
        <v>3</v>
      </c>
      <c r="I16" s="1"/>
    </row>
    <row r="17" spans="1:9" x14ac:dyDescent="0.25">
      <c r="A17" s="1"/>
      <c r="B17" s="103" t="s">
        <v>100</v>
      </c>
      <c r="C17" s="104"/>
      <c r="D17" s="104"/>
      <c r="E17" s="104"/>
      <c r="F17" s="105"/>
      <c r="G17" s="47">
        <v>-7956539.1667111255</v>
      </c>
      <c r="H17" s="14" t="s">
        <v>3</v>
      </c>
      <c r="I17" s="1"/>
    </row>
    <row r="18" spans="1:9" x14ac:dyDescent="0.25">
      <c r="A18" s="1"/>
      <c r="B18" s="106" t="s">
        <v>229</v>
      </c>
      <c r="C18" s="107"/>
      <c r="D18" s="107"/>
      <c r="E18" s="107"/>
      <c r="F18" s="108"/>
      <c r="G18" s="47">
        <v>0</v>
      </c>
      <c r="H18" s="14" t="s">
        <v>3</v>
      </c>
      <c r="I18" s="1"/>
    </row>
    <row r="19" spans="1:9" x14ac:dyDescent="0.25">
      <c r="A19" s="1"/>
      <c r="B19" s="103" t="s">
        <v>41</v>
      </c>
      <c r="C19" s="104"/>
      <c r="D19" s="104"/>
      <c r="E19" s="104"/>
      <c r="F19" s="105"/>
      <c r="G19" s="22">
        <f>SUM(G16:G18)*'Fane 13. Nøgletal'!C33</f>
        <v>1080375.7634558845</v>
      </c>
      <c r="H19" s="14" t="s">
        <v>3</v>
      </c>
      <c r="I19" s="1"/>
    </row>
    <row r="20" spans="1:9" x14ac:dyDescent="0.25">
      <c r="A20" s="1"/>
      <c r="B20" s="53"/>
      <c r="C20" s="54"/>
      <c r="D20" s="54"/>
      <c r="E20" s="54"/>
      <c r="F20" s="54"/>
      <c r="G20" s="35"/>
      <c r="H20" s="19"/>
      <c r="I20" s="1"/>
    </row>
    <row r="21" spans="1:9" x14ac:dyDescent="0.25">
      <c r="A21" s="1"/>
      <c r="B21" s="1"/>
      <c r="C21" s="1"/>
      <c r="D21" s="1"/>
      <c r="E21" s="1"/>
      <c r="F21" s="1"/>
      <c r="G21" s="36"/>
      <c r="H21" s="1"/>
      <c r="I21" s="1"/>
    </row>
    <row r="22" spans="1:9" x14ac:dyDescent="0.25">
      <c r="A22" s="1"/>
      <c r="B22" s="109" t="s">
        <v>47</v>
      </c>
      <c r="C22" s="110"/>
      <c r="D22" s="110"/>
      <c r="E22" s="110"/>
      <c r="F22" s="110"/>
      <c r="G22" s="110"/>
      <c r="H22" s="111"/>
      <c r="I22" s="1"/>
    </row>
    <row r="23" spans="1:9" x14ac:dyDescent="0.25">
      <c r="A23" s="1"/>
      <c r="B23" s="103" t="s">
        <v>42</v>
      </c>
      <c r="C23" s="104"/>
      <c r="D23" s="104"/>
      <c r="E23" s="104"/>
      <c r="F23" s="105"/>
      <c r="G23" s="22">
        <f>(SUM(G16:G18)-G19)*(1+'Fane 13. Nøgletal'!C11)</f>
        <v>53833071.579056151</v>
      </c>
      <c r="H23" s="14" t="s">
        <v>3</v>
      </c>
      <c r="I23" s="1"/>
    </row>
    <row r="24" spans="1:9" x14ac:dyDescent="0.25">
      <c r="A24" s="1"/>
      <c r="B24" s="106" t="s">
        <v>230</v>
      </c>
      <c r="C24" s="107"/>
      <c r="D24" s="107"/>
      <c r="E24" s="107"/>
      <c r="F24" s="108"/>
      <c r="G24" s="47">
        <v>0</v>
      </c>
      <c r="H24" s="14" t="s">
        <v>3</v>
      </c>
      <c r="I24" s="1"/>
    </row>
    <row r="25" spans="1:9" x14ac:dyDescent="0.25">
      <c r="A25" s="1"/>
      <c r="B25" s="103" t="s">
        <v>43</v>
      </c>
      <c r="C25" s="104"/>
      <c r="D25" s="104"/>
      <c r="E25" s="104"/>
      <c r="F25" s="105"/>
      <c r="G25" s="22">
        <f>(G23+G24)*'Fane 13. Nøgletal'!C33</f>
        <v>1076661.431581123</v>
      </c>
      <c r="H25" s="14" t="s">
        <v>3</v>
      </c>
      <c r="I25" s="1"/>
    </row>
    <row r="26" spans="1:9" x14ac:dyDescent="0.25">
      <c r="A26" s="1"/>
      <c r="B26" s="53"/>
      <c r="C26" s="54"/>
      <c r="D26" s="54"/>
      <c r="E26" s="54"/>
      <c r="F26" s="54"/>
      <c r="G26" s="35"/>
      <c r="H26" s="19"/>
      <c r="I26" s="1"/>
    </row>
    <row r="27" spans="1:9" x14ac:dyDescent="0.25">
      <c r="A27" s="1"/>
      <c r="B27" s="1"/>
      <c r="C27" s="1"/>
      <c r="D27" s="1"/>
      <c r="E27" s="1"/>
      <c r="F27" s="1"/>
      <c r="G27" s="36"/>
      <c r="H27" s="1"/>
      <c r="I27" s="1"/>
    </row>
    <row r="28" spans="1:9" x14ac:dyDescent="0.25">
      <c r="A28" s="1"/>
      <c r="B28" s="109" t="s">
        <v>121</v>
      </c>
      <c r="C28" s="110"/>
      <c r="D28" s="110"/>
      <c r="E28" s="110"/>
      <c r="F28" s="110"/>
      <c r="G28" s="110"/>
      <c r="H28" s="111"/>
      <c r="I28" s="1"/>
    </row>
    <row r="29" spans="1:9" x14ac:dyDescent="0.25">
      <c r="A29" s="1"/>
      <c r="B29" s="103" t="s">
        <v>50</v>
      </c>
      <c r="C29" s="104"/>
      <c r="D29" s="104"/>
      <c r="E29" s="104"/>
      <c r="F29" s="105"/>
      <c r="G29" s="22">
        <f>(G23+G24-G25)*(1+'Fane 13. Nøgletal'!C13)</f>
        <v>53400038.351274222</v>
      </c>
      <c r="H29" s="14" t="s">
        <v>3</v>
      </c>
      <c r="I29" s="1"/>
    </row>
    <row r="30" spans="1:9" x14ac:dyDescent="0.25">
      <c r="A30" s="1"/>
      <c r="B30" s="103" t="s">
        <v>231</v>
      </c>
      <c r="C30" s="104"/>
      <c r="D30" s="104"/>
      <c r="E30" s="104"/>
      <c r="F30" s="105"/>
      <c r="G30" s="47">
        <v>274552.45085015998</v>
      </c>
      <c r="H30" s="14" t="s">
        <v>3</v>
      </c>
      <c r="I30" s="1"/>
    </row>
    <row r="31" spans="1:9" x14ac:dyDescent="0.25">
      <c r="A31" s="1"/>
      <c r="B31" s="103" t="s">
        <v>115</v>
      </c>
      <c r="C31" s="104"/>
      <c r="D31" s="104"/>
      <c r="E31" s="104"/>
      <c r="F31" s="105"/>
      <c r="G31" s="22">
        <f>(G29+G30)*'Fane 13. Nøgletal'!C33</f>
        <v>1073491.8160424877</v>
      </c>
      <c r="H31" s="14" t="s">
        <v>3</v>
      </c>
      <c r="I31" s="1"/>
    </row>
    <row r="32" spans="1:9" x14ac:dyDescent="0.25">
      <c r="A32" s="1"/>
      <c r="B32" s="53"/>
      <c r="C32" s="54"/>
      <c r="D32" s="54"/>
      <c r="E32" s="54"/>
      <c r="F32" s="54"/>
      <c r="G32" s="35"/>
      <c r="H32" s="19"/>
      <c r="I32" s="1"/>
    </row>
    <row r="33" spans="1:9" x14ac:dyDescent="0.25">
      <c r="A33" s="1"/>
      <c r="B33" s="1"/>
      <c r="C33" s="1"/>
      <c r="D33" s="1"/>
      <c r="E33" s="1"/>
      <c r="F33" s="1"/>
      <c r="G33" s="36"/>
      <c r="H33" s="1"/>
      <c r="I33" s="1"/>
    </row>
    <row r="34" spans="1:9" x14ac:dyDescent="0.25">
      <c r="A34" s="1"/>
      <c r="B34" s="109" t="s">
        <v>122</v>
      </c>
      <c r="C34" s="110"/>
      <c r="D34" s="110"/>
      <c r="E34" s="110"/>
      <c r="F34" s="110"/>
      <c r="G34" s="110"/>
      <c r="H34" s="111"/>
      <c r="I34" s="1"/>
    </row>
    <row r="35" spans="1:9" x14ac:dyDescent="0.25">
      <c r="A35" s="1"/>
      <c r="B35" s="103" t="s">
        <v>69</v>
      </c>
      <c r="C35" s="104"/>
      <c r="D35" s="104"/>
      <c r="E35" s="104"/>
      <c r="F35" s="105"/>
      <c r="G35" s="22">
        <f>(G29+G30-G31)*(1+'Fane 13. Nøgletal'!C13)</f>
        <v>53242832.393712088</v>
      </c>
      <c r="H35" s="14" t="s">
        <v>3</v>
      </c>
      <c r="I35" s="1"/>
    </row>
    <row r="36" spans="1:9" x14ac:dyDescent="0.25">
      <c r="A36" s="1"/>
      <c r="B36" s="103" t="s">
        <v>232</v>
      </c>
      <c r="C36" s="104"/>
      <c r="D36" s="104"/>
      <c r="E36" s="104"/>
      <c r="F36" s="105"/>
      <c r="G36" s="47">
        <v>150531.61232327003</v>
      </c>
      <c r="H36" s="14" t="s">
        <v>3</v>
      </c>
      <c r="I36" s="1"/>
    </row>
    <row r="37" spans="1:9" x14ac:dyDescent="0.25">
      <c r="A37" s="1"/>
      <c r="B37" s="103" t="s">
        <v>123</v>
      </c>
      <c r="C37" s="104"/>
      <c r="D37" s="104"/>
      <c r="E37" s="104"/>
      <c r="F37" s="105"/>
      <c r="G37" s="22">
        <f>(G35+G36)*'Fane 13. Nøgletal'!C33</f>
        <v>1067867.2801207071</v>
      </c>
      <c r="H37" s="14" t="s">
        <v>3</v>
      </c>
      <c r="I37" s="1"/>
    </row>
    <row r="38" spans="1:9" x14ac:dyDescent="0.25">
      <c r="A38" s="1"/>
      <c r="B38" s="53"/>
      <c r="C38" s="54"/>
      <c r="D38" s="54"/>
      <c r="E38" s="54"/>
      <c r="F38" s="54"/>
      <c r="G38" s="35"/>
      <c r="H38" s="19"/>
      <c r="I38" s="1"/>
    </row>
    <row r="39" spans="1:9" x14ac:dyDescent="0.25">
      <c r="A39" s="1"/>
      <c r="B39" s="1"/>
      <c r="C39" s="1"/>
      <c r="D39" s="1"/>
      <c r="E39" s="1"/>
      <c r="F39" s="1"/>
      <c r="G39" s="36"/>
      <c r="H39" s="1"/>
      <c r="I39" s="1"/>
    </row>
    <row r="40" spans="1:9" x14ac:dyDescent="0.25">
      <c r="A40" s="1"/>
      <c r="B40" s="109" t="s">
        <v>157</v>
      </c>
      <c r="C40" s="110"/>
      <c r="D40" s="110"/>
      <c r="E40" s="110"/>
      <c r="F40" s="110"/>
      <c r="G40" s="110"/>
      <c r="H40" s="111"/>
      <c r="I40" s="1"/>
    </row>
    <row r="41" spans="1:9" x14ac:dyDescent="0.25">
      <c r="A41" s="1"/>
      <c r="B41" s="103" t="s">
        <v>68</v>
      </c>
      <c r="C41" s="104"/>
      <c r="D41" s="104"/>
      <c r="E41" s="104"/>
      <c r="F41" s="105"/>
      <c r="G41" s="22">
        <f>(G35+G36-G37)*(1+'Fane 13. Nøgletal'!C15)</f>
        <v>54188284.409357212</v>
      </c>
      <c r="H41" s="14" t="s">
        <v>3</v>
      </c>
      <c r="I41" s="1"/>
    </row>
    <row r="42" spans="1:9" x14ac:dyDescent="0.25">
      <c r="A42" s="1"/>
      <c r="B42" s="103" t="s">
        <v>156</v>
      </c>
      <c r="C42" s="104"/>
      <c r="D42" s="104"/>
      <c r="E42" s="104"/>
      <c r="F42" s="105"/>
      <c r="G42" s="22">
        <v>226958.76012528004</v>
      </c>
      <c r="H42" s="14" t="s">
        <v>3</v>
      </c>
      <c r="I42" s="1"/>
    </row>
    <row r="43" spans="1:9" x14ac:dyDescent="0.25">
      <c r="A43" s="1"/>
      <c r="B43" s="103" t="s">
        <v>166</v>
      </c>
      <c r="C43" s="104"/>
      <c r="D43" s="104"/>
      <c r="E43" s="104"/>
      <c r="F43" s="105"/>
      <c r="G43" s="22">
        <f>(G41+G42)*'Fane 13. Nøgletal'!C33</f>
        <v>1088304.8633896499</v>
      </c>
      <c r="H43" s="14" t="s">
        <v>3</v>
      </c>
      <c r="I43" s="1"/>
    </row>
    <row r="44" spans="1:9" x14ac:dyDescent="0.25">
      <c r="A44" s="1"/>
      <c r="B44" s="53"/>
      <c r="C44" s="54"/>
      <c r="D44" s="54"/>
      <c r="E44" s="54"/>
      <c r="F44" s="54"/>
      <c r="G44" s="35"/>
      <c r="H44" s="19"/>
      <c r="I44" s="1"/>
    </row>
    <row r="45" spans="1:9" x14ac:dyDescent="0.25">
      <c r="A45" s="1"/>
      <c r="B45" s="1"/>
      <c r="C45" s="1"/>
      <c r="D45" s="1"/>
      <c r="E45" s="1"/>
      <c r="F45" s="1"/>
      <c r="G45" s="36"/>
      <c r="H45" s="1"/>
      <c r="I45" s="1"/>
    </row>
    <row r="46" spans="1:9" x14ac:dyDescent="0.25">
      <c r="A46" s="1"/>
      <c r="B46" s="109" t="s">
        <v>158</v>
      </c>
      <c r="C46" s="110"/>
      <c r="D46" s="110"/>
      <c r="E46" s="110"/>
      <c r="F46" s="110"/>
      <c r="G46" s="110"/>
      <c r="H46" s="111"/>
      <c r="I46" s="1"/>
    </row>
    <row r="47" spans="1:9" x14ac:dyDescent="0.25">
      <c r="A47" s="1"/>
      <c r="B47" s="103" t="s">
        <v>112</v>
      </c>
      <c r="C47" s="104"/>
      <c r="D47" s="104"/>
      <c r="E47" s="104"/>
      <c r="F47" s="105"/>
      <c r="G47" s="22">
        <f>(G41+G42-G43)*(1+'Fane 13. Nøgletal'!C15)</f>
        <v>55225377.309789754</v>
      </c>
      <c r="H47" s="14" t="s">
        <v>3</v>
      </c>
      <c r="I47" s="1"/>
    </row>
    <row r="48" spans="1:9" x14ac:dyDescent="0.25">
      <c r="A48" s="1"/>
      <c r="B48" s="103" t="s">
        <v>206</v>
      </c>
      <c r="C48" s="104"/>
      <c r="D48" s="104"/>
      <c r="E48" s="104"/>
      <c r="F48" s="105"/>
      <c r="G48" s="22">
        <f>('Fane 2.1. Økonomisk ramme 2024'!C9+'Fane 2.1. Økonomisk ramme 2024'!C11+'Fane 2.1. Økonomisk ramme 2024'!C13)*(1+'Fane 13. Nøgletal'!C16)</f>
        <v>86311.857080959991</v>
      </c>
      <c r="H48" s="14" t="s">
        <v>3</v>
      </c>
      <c r="I48" s="1"/>
    </row>
    <row r="49" spans="1:9" x14ac:dyDescent="0.25">
      <c r="A49" s="1"/>
      <c r="B49" s="103" t="s">
        <v>167</v>
      </c>
      <c r="C49" s="104"/>
      <c r="D49" s="104"/>
      <c r="E49" s="104"/>
      <c r="F49" s="105"/>
      <c r="G49" s="22">
        <f>G47*'Fane 13. Nøgletal'!C33+G48*'Fane 13. Nøgletal'!C33</f>
        <v>1106233.7833374143</v>
      </c>
      <c r="H49" s="14" t="s">
        <v>3</v>
      </c>
      <c r="I49" s="1"/>
    </row>
    <row r="50" spans="1:9" x14ac:dyDescent="0.25">
      <c r="A50" s="1"/>
      <c r="B50" s="53"/>
      <c r="C50" s="54"/>
      <c r="D50" s="54"/>
      <c r="E50" s="54"/>
      <c r="F50" s="54"/>
      <c r="G50" s="35"/>
      <c r="H50" s="19"/>
      <c r="I50" s="1"/>
    </row>
    <row r="51" spans="1:9" x14ac:dyDescent="0.25">
      <c r="A51" s="1"/>
      <c r="B51" s="1"/>
      <c r="C51" s="1"/>
      <c r="D51" s="1"/>
      <c r="E51" s="1"/>
      <c r="F51" s="1"/>
      <c r="G51" s="36"/>
      <c r="H51" s="1"/>
      <c r="I51" s="1"/>
    </row>
    <row r="52" spans="1:9" x14ac:dyDescent="0.25">
      <c r="A52" s="1"/>
      <c r="B52" s="109" t="s">
        <v>133</v>
      </c>
      <c r="C52" s="110"/>
      <c r="D52" s="110"/>
      <c r="E52" s="110"/>
      <c r="F52" s="110"/>
      <c r="G52" s="110"/>
      <c r="H52" s="111"/>
      <c r="I52" s="1"/>
    </row>
    <row r="53" spans="1:9" x14ac:dyDescent="0.25">
      <c r="A53" s="1"/>
      <c r="B53" s="103" t="s">
        <v>134</v>
      </c>
      <c r="C53" s="104"/>
      <c r="D53" s="104"/>
      <c r="E53" s="104"/>
      <c r="F53" s="105"/>
      <c r="G53" s="22">
        <f>(G47+G48-G49)*(1+'Fane 13. Nøgletal'!C16)</f>
        <v>58585256.178522788</v>
      </c>
      <c r="H53" s="14" t="s">
        <v>3</v>
      </c>
      <c r="I53" s="1"/>
    </row>
    <row r="54" spans="1:9" x14ac:dyDescent="0.25">
      <c r="A54" s="1"/>
      <c r="B54" s="103" t="s">
        <v>135</v>
      </c>
      <c r="C54" s="104"/>
      <c r="D54" s="104"/>
      <c r="E54" s="104"/>
      <c r="F54" s="105"/>
      <c r="G54" s="22">
        <f>(G53)*'Fane 13. Nøgletal'!C33</f>
        <v>1171705.1235704557</v>
      </c>
      <c r="H54" s="14" t="s">
        <v>3</v>
      </c>
      <c r="I54" s="1"/>
    </row>
    <row r="55" spans="1:9" x14ac:dyDescent="0.25">
      <c r="A55" s="1"/>
      <c r="B55" s="53"/>
      <c r="C55" s="54"/>
      <c r="D55" s="54"/>
      <c r="E55" s="54"/>
      <c r="F55" s="54"/>
      <c r="G55" s="35"/>
      <c r="H55" s="19"/>
      <c r="I55" s="1"/>
    </row>
    <row r="56" spans="1:9" x14ac:dyDescent="0.25">
      <c r="A56" s="1"/>
      <c r="B56" s="1"/>
      <c r="C56" s="1"/>
      <c r="D56" s="1"/>
      <c r="E56" s="1"/>
      <c r="F56" s="1"/>
      <c r="G56" s="36"/>
      <c r="H56" s="1"/>
      <c r="I56" s="1"/>
    </row>
    <row r="57" spans="1:9" x14ac:dyDescent="0.25">
      <c r="A57" s="1"/>
      <c r="B57" s="109" t="s">
        <v>144</v>
      </c>
      <c r="C57" s="110"/>
      <c r="D57" s="110"/>
      <c r="E57" s="110"/>
      <c r="F57" s="110"/>
      <c r="G57" s="110"/>
      <c r="H57" s="111"/>
      <c r="I57" s="1"/>
    </row>
    <row r="58" spans="1:9" x14ac:dyDescent="0.25">
      <c r="A58" s="1"/>
      <c r="B58" s="103" t="s">
        <v>145</v>
      </c>
      <c r="C58" s="104"/>
      <c r="D58" s="104"/>
      <c r="E58" s="104"/>
      <c r="F58" s="105"/>
      <c r="G58" s="22">
        <f>(G53-G54)*(1+'Fane 13. Nøgletal'!C16)</f>
        <v>62052565.980192475</v>
      </c>
      <c r="H58" s="14" t="s">
        <v>3</v>
      </c>
      <c r="I58" s="1"/>
    </row>
    <row r="59" spans="1:9" x14ac:dyDescent="0.25">
      <c r="A59" s="1"/>
      <c r="B59" s="103" t="s">
        <v>146</v>
      </c>
      <c r="C59" s="104"/>
      <c r="D59" s="104"/>
      <c r="E59" s="104"/>
      <c r="F59" s="105"/>
      <c r="G59" s="22">
        <f>(G58)*'Fane 13. Nøgletal'!C33</f>
        <v>1241051.3196038494</v>
      </c>
      <c r="H59" s="14" t="s">
        <v>3</v>
      </c>
      <c r="I59" s="1"/>
    </row>
    <row r="60" spans="1:9" x14ac:dyDescent="0.25">
      <c r="A60" s="1"/>
      <c r="B60" s="53"/>
      <c r="C60" s="54"/>
      <c r="D60" s="54"/>
      <c r="E60" s="54"/>
      <c r="F60" s="54"/>
      <c r="G60" s="35"/>
      <c r="H60" s="19"/>
      <c r="I60" s="1"/>
    </row>
    <row r="61" spans="1:9" x14ac:dyDescent="0.25">
      <c r="A61" s="1"/>
      <c r="B61" s="1"/>
      <c r="C61" s="1"/>
      <c r="D61" s="1"/>
      <c r="E61" s="1"/>
      <c r="F61" s="1"/>
      <c r="G61" s="36"/>
      <c r="H61" s="1"/>
      <c r="I61" s="1"/>
    </row>
    <row r="62" spans="1:9" x14ac:dyDescent="0.25">
      <c r="A62" s="1"/>
      <c r="B62" s="109" t="s">
        <v>220</v>
      </c>
      <c r="C62" s="110"/>
      <c r="D62" s="110"/>
      <c r="E62" s="110"/>
      <c r="F62" s="110"/>
      <c r="G62" s="110"/>
      <c r="H62" s="111"/>
      <c r="I62" s="1"/>
    </row>
    <row r="63" spans="1:9" x14ac:dyDescent="0.25">
      <c r="A63" s="1"/>
      <c r="B63" s="103" t="s">
        <v>221</v>
      </c>
      <c r="C63" s="104"/>
      <c r="D63" s="104"/>
      <c r="E63" s="104"/>
      <c r="F63" s="105"/>
      <c r="G63" s="22">
        <f>(G58-G59)*(1+'Fane 13. Nøgletal'!C16)</f>
        <v>65725085.045164183</v>
      </c>
      <c r="H63" s="14" t="s">
        <v>3</v>
      </c>
      <c r="I63" s="1"/>
    </row>
    <row r="64" spans="1:9" x14ac:dyDescent="0.25">
      <c r="A64" s="1"/>
      <c r="B64" s="103" t="s">
        <v>222</v>
      </c>
      <c r="C64" s="104"/>
      <c r="D64" s="104"/>
      <c r="E64" s="104"/>
      <c r="F64" s="105"/>
      <c r="G64" s="22">
        <f>(G63)*'Fane 13. Nøgletal'!C33</f>
        <v>1314501.7009032837</v>
      </c>
      <c r="H64" s="14" t="s">
        <v>3</v>
      </c>
      <c r="I64" s="1"/>
    </row>
    <row r="65" spans="1:9" x14ac:dyDescent="0.25">
      <c r="A65" s="1"/>
      <c r="B65" s="53"/>
      <c r="C65" s="54"/>
      <c r="D65" s="54"/>
      <c r="E65" s="54"/>
      <c r="F65" s="54"/>
      <c r="G65" s="50"/>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ZeDAQXwoQjHRlevSDZxEC2qf67+Bol3o5Jis7LoxPYFSxLN0ejilpPZLYANpsx5F2X9RkYtIfzpdcceDI5BuHQ==" saltValue="ACMGHluqNwyBgBDGnk2RoA==" spinCount="100000" sheet="1" objects="1" scenarios="1"/>
  <mergeCells count="42">
    <mergeCell ref="B62:H62"/>
    <mergeCell ref="B63:F63"/>
    <mergeCell ref="B64:F64"/>
    <mergeCell ref="B59:F59"/>
    <mergeCell ref="B52:H52"/>
    <mergeCell ref="B53:F53"/>
    <mergeCell ref="B54:F54"/>
    <mergeCell ref="B58:F58"/>
    <mergeCell ref="B37:F37"/>
    <mergeCell ref="B46:H46"/>
    <mergeCell ref="B48:F48"/>
    <mergeCell ref="B36:F36"/>
    <mergeCell ref="B57:H57"/>
    <mergeCell ref="B47:F47"/>
    <mergeCell ref="B49:F49"/>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70" zoomScaleNormal="120" zoomScalePageLayoutView="7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2" t="s">
        <v>91</v>
      </c>
      <c r="C1" s="113"/>
      <c r="D1" s="113"/>
      <c r="E1" s="113"/>
      <c r="F1" s="113"/>
      <c r="G1" s="113"/>
      <c r="H1" s="113"/>
      <c r="I1" s="1"/>
    </row>
    <row r="2" spans="1:9" ht="19.899999999999999" customHeight="1" x14ac:dyDescent="0.25">
      <c r="A2" s="1"/>
      <c r="B2" s="113"/>
      <c r="C2" s="113"/>
      <c r="D2" s="113"/>
      <c r="E2" s="113"/>
      <c r="F2" s="113"/>
      <c r="G2" s="113"/>
      <c r="H2" s="113"/>
      <c r="I2" s="1"/>
    </row>
    <row r="3" spans="1:9" ht="15" customHeight="1" x14ac:dyDescent="0.25">
      <c r="A3" s="1"/>
      <c r="B3" s="114"/>
      <c r="C3" s="114"/>
      <c r="D3" s="114"/>
      <c r="E3" s="114"/>
      <c r="F3" s="114"/>
      <c r="G3" s="114"/>
      <c r="H3" s="114"/>
      <c r="I3" s="1"/>
    </row>
    <row r="4" spans="1:9" x14ac:dyDescent="0.25">
      <c r="A4" s="1"/>
      <c r="B4" s="109" t="s">
        <v>48</v>
      </c>
      <c r="C4" s="110"/>
      <c r="D4" s="110"/>
      <c r="E4" s="110"/>
      <c r="F4" s="110"/>
      <c r="G4" s="110"/>
      <c r="H4" s="111"/>
      <c r="I4" s="1"/>
    </row>
    <row r="5" spans="1:9" x14ac:dyDescent="0.25">
      <c r="A5" s="1"/>
      <c r="B5" s="103" t="s">
        <v>51</v>
      </c>
      <c r="C5" s="104"/>
      <c r="D5" s="104"/>
      <c r="E5" s="104"/>
      <c r="F5" s="105"/>
      <c r="G5" s="47">
        <v>49171908.551089495</v>
      </c>
      <c r="H5" s="14" t="s">
        <v>3</v>
      </c>
      <c r="I5" s="1"/>
    </row>
    <row r="6" spans="1:9" x14ac:dyDescent="0.25">
      <c r="A6" s="1"/>
      <c r="B6" s="103" t="s">
        <v>49</v>
      </c>
      <c r="C6" s="104"/>
      <c r="D6" s="104"/>
      <c r="E6" s="104"/>
      <c r="F6" s="105"/>
      <c r="G6" s="22">
        <f>G5*'Fane 13. Nøgletal'!C21</f>
        <v>447464.36781491444</v>
      </c>
      <c r="H6" s="14" t="s">
        <v>3</v>
      </c>
      <c r="I6" s="1"/>
    </row>
    <row r="7" spans="1:9" x14ac:dyDescent="0.25">
      <c r="A7" s="1"/>
      <c r="B7" s="53"/>
      <c r="C7" s="54"/>
      <c r="D7" s="54"/>
      <c r="E7" s="54"/>
      <c r="F7" s="54"/>
      <c r="G7" s="54"/>
      <c r="H7" s="19"/>
      <c r="I7" s="1"/>
    </row>
    <row r="8" spans="1:9" x14ac:dyDescent="0.25">
      <c r="A8" s="1"/>
      <c r="B8" s="1"/>
      <c r="C8" s="1"/>
      <c r="D8" s="1"/>
      <c r="E8" s="1"/>
      <c r="F8" s="1"/>
      <c r="G8" s="1"/>
      <c r="H8" s="1"/>
      <c r="I8" s="1"/>
    </row>
    <row r="9" spans="1:9" x14ac:dyDescent="0.25">
      <c r="A9" s="1"/>
      <c r="B9" s="109" t="s">
        <v>52</v>
      </c>
      <c r="C9" s="110"/>
      <c r="D9" s="110"/>
      <c r="E9" s="110"/>
      <c r="F9" s="110"/>
      <c r="G9" s="110"/>
      <c r="H9" s="111"/>
      <c r="I9" s="1"/>
    </row>
    <row r="10" spans="1:9" x14ac:dyDescent="0.25">
      <c r="A10" s="1"/>
      <c r="B10" s="103" t="s">
        <v>53</v>
      </c>
      <c r="C10" s="104"/>
      <c r="D10" s="104"/>
      <c r="E10" s="104"/>
      <c r="F10" s="105"/>
      <c r="G10" s="22">
        <f>(G5-G6)*(1+'Fane 13. Nøgletal'!C9)</f>
        <v>49343244.624402165</v>
      </c>
      <c r="H10" s="14" t="s">
        <v>3</v>
      </c>
      <c r="I10" s="1"/>
    </row>
    <row r="11" spans="1:9" x14ac:dyDescent="0.25">
      <c r="A11" s="1"/>
      <c r="B11" s="106" t="s">
        <v>54</v>
      </c>
      <c r="C11" s="107"/>
      <c r="D11" s="107"/>
      <c r="E11" s="107"/>
      <c r="F11" s="108"/>
      <c r="G11" s="48">
        <v>0</v>
      </c>
      <c r="H11" s="14" t="s">
        <v>3</v>
      </c>
      <c r="I11" s="1"/>
    </row>
    <row r="12" spans="1:9" x14ac:dyDescent="0.25">
      <c r="A12" s="1"/>
      <c r="B12" s="103" t="s">
        <v>55</v>
      </c>
      <c r="C12" s="104"/>
      <c r="D12" s="104"/>
      <c r="E12" s="104"/>
      <c r="F12" s="105"/>
      <c r="G12" s="22">
        <f>G10*'Fane 13. Nøgletal'!C21+G11*'Fane 13. Nøgletal'!C22</f>
        <v>449023.52608205972</v>
      </c>
      <c r="H12" s="14" t="s">
        <v>3</v>
      </c>
      <c r="I12" s="1"/>
    </row>
    <row r="13" spans="1:9" x14ac:dyDescent="0.25">
      <c r="A13" s="1"/>
      <c r="B13" s="53"/>
      <c r="C13" s="54"/>
      <c r="D13" s="54"/>
      <c r="E13" s="54"/>
      <c r="F13" s="54"/>
      <c r="G13" s="54"/>
      <c r="H13" s="19"/>
      <c r="I13" s="1"/>
    </row>
    <row r="14" spans="1:9" x14ac:dyDescent="0.25">
      <c r="A14" s="1"/>
      <c r="B14" s="1"/>
      <c r="C14" s="1"/>
      <c r="D14" s="1"/>
      <c r="E14" s="1"/>
      <c r="F14" s="1"/>
      <c r="G14" s="1"/>
      <c r="H14" s="1"/>
      <c r="I14" s="1"/>
    </row>
    <row r="15" spans="1:9" x14ac:dyDescent="0.25">
      <c r="A15" s="1"/>
      <c r="B15" s="109" t="s">
        <v>56</v>
      </c>
      <c r="C15" s="110"/>
      <c r="D15" s="110"/>
      <c r="E15" s="110"/>
      <c r="F15" s="110"/>
      <c r="G15" s="110"/>
      <c r="H15" s="111"/>
      <c r="I15" s="1"/>
    </row>
    <row r="16" spans="1:9" x14ac:dyDescent="0.25">
      <c r="A16" s="1"/>
      <c r="B16" s="103" t="s">
        <v>57</v>
      </c>
      <c r="C16" s="104"/>
      <c r="D16" s="104"/>
      <c r="E16" s="104"/>
      <c r="F16" s="105"/>
      <c r="G16" s="22">
        <f>(G10+G11-G12)*(1+'Fane 13. Nøgletal'!C11)</f>
        <v>49720533.43488171</v>
      </c>
      <c r="H16" s="14" t="s">
        <v>3</v>
      </c>
      <c r="I16" s="1"/>
    </row>
    <row r="17" spans="1:9" x14ac:dyDescent="0.25">
      <c r="A17" s="1"/>
      <c r="B17" s="103" t="s">
        <v>101</v>
      </c>
      <c r="C17" s="104"/>
      <c r="D17" s="104"/>
      <c r="E17" s="104"/>
      <c r="F17" s="105"/>
      <c r="G17" s="47">
        <v>-690723.493835876</v>
      </c>
      <c r="H17" s="14" t="s">
        <v>3</v>
      </c>
      <c r="I17" s="1"/>
    </row>
    <row r="18" spans="1:9" x14ac:dyDescent="0.25">
      <c r="A18" s="1"/>
      <c r="B18" s="106" t="s">
        <v>58</v>
      </c>
      <c r="C18" s="107"/>
      <c r="D18" s="107"/>
      <c r="E18" s="107"/>
      <c r="F18" s="108"/>
      <c r="G18" s="47">
        <v>96676.663678899975</v>
      </c>
      <c r="H18" s="14" t="s">
        <v>3</v>
      </c>
      <c r="I18" s="1"/>
    </row>
    <row r="19" spans="1:9" x14ac:dyDescent="0.25">
      <c r="A19" s="1"/>
      <c r="B19" s="103" t="s">
        <v>59</v>
      </c>
      <c r="C19" s="104"/>
      <c r="D19" s="104"/>
      <c r="E19" s="104"/>
      <c r="F19" s="105"/>
      <c r="G19" s="22">
        <f>(G16+G17+G18)*'Fane 13. Nøgletal'!C23</f>
        <v>427400.43346110516</v>
      </c>
      <c r="H19" s="14" t="s">
        <v>3</v>
      </c>
      <c r="I19" s="1"/>
    </row>
    <row r="20" spans="1:9" x14ac:dyDescent="0.25">
      <c r="A20" s="1"/>
      <c r="B20" s="53"/>
      <c r="C20" s="54"/>
      <c r="D20" s="54"/>
      <c r="E20" s="54"/>
      <c r="F20" s="54"/>
      <c r="G20" s="54"/>
      <c r="H20" s="19"/>
      <c r="I20" s="1"/>
    </row>
    <row r="21" spans="1:9" x14ac:dyDescent="0.25">
      <c r="A21" s="1"/>
      <c r="B21" s="1"/>
      <c r="C21" s="1"/>
      <c r="D21" s="1"/>
      <c r="E21" s="1"/>
      <c r="F21" s="1"/>
      <c r="G21" s="1"/>
      <c r="H21" s="1"/>
      <c r="I21" s="1"/>
    </row>
    <row r="22" spans="1:9" x14ac:dyDescent="0.25">
      <c r="A22" s="1"/>
      <c r="B22" s="109" t="s">
        <v>60</v>
      </c>
      <c r="C22" s="110"/>
      <c r="D22" s="110"/>
      <c r="E22" s="110"/>
      <c r="F22" s="110"/>
      <c r="G22" s="110"/>
      <c r="H22" s="111"/>
      <c r="I22" s="1"/>
    </row>
    <row r="23" spans="1:9" x14ac:dyDescent="0.25">
      <c r="A23" s="1"/>
      <c r="B23" s="103" t="s">
        <v>61</v>
      </c>
      <c r="C23" s="104"/>
      <c r="D23" s="104"/>
      <c r="E23" s="104"/>
      <c r="F23" s="105"/>
      <c r="G23" s="22">
        <f>(SUM(G16:G18)-G19)*(1+'Fane 13. Nøgletal'!C11)</f>
        <v>49522100.72755798</v>
      </c>
      <c r="H23" s="14" t="s">
        <v>3</v>
      </c>
      <c r="I23" s="1"/>
    </row>
    <row r="24" spans="1:9" x14ac:dyDescent="0.25">
      <c r="A24" s="1"/>
      <c r="B24" s="106" t="s">
        <v>62</v>
      </c>
      <c r="C24" s="107"/>
      <c r="D24" s="107"/>
      <c r="E24" s="107"/>
      <c r="F24" s="108"/>
      <c r="G24" s="47">
        <v>46755.111254940006</v>
      </c>
      <c r="H24" s="14" t="s">
        <v>3</v>
      </c>
      <c r="I24" s="1"/>
    </row>
    <row r="25" spans="1:9" x14ac:dyDescent="0.25">
      <c r="A25" s="1"/>
      <c r="B25" s="103" t="s">
        <v>63</v>
      </c>
      <c r="C25" s="104"/>
      <c r="D25" s="104"/>
      <c r="E25" s="104"/>
      <c r="F25" s="105"/>
      <c r="G25" s="22">
        <f>G23*'Fane 13. Nøgletal'!C23+G24*'Fane 13. Nøgletal'!C24</f>
        <v>432170.12148939469</v>
      </c>
      <c r="H25" s="14" t="s">
        <v>3</v>
      </c>
      <c r="I25" s="1"/>
    </row>
    <row r="26" spans="1:9" x14ac:dyDescent="0.25">
      <c r="A26" s="1"/>
      <c r="B26" s="53"/>
      <c r="C26" s="54"/>
      <c r="D26" s="54"/>
      <c r="E26" s="54"/>
      <c r="F26" s="54"/>
      <c r="G26" s="54"/>
      <c r="H26" s="19"/>
      <c r="I26" s="1"/>
    </row>
    <row r="27" spans="1:9" x14ac:dyDescent="0.25">
      <c r="A27" s="1"/>
      <c r="B27" s="1"/>
      <c r="C27" s="1"/>
      <c r="D27" s="1"/>
      <c r="E27" s="1"/>
      <c r="F27" s="1"/>
      <c r="G27" s="1"/>
      <c r="H27" s="1"/>
      <c r="I27" s="1"/>
    </row>
    <row r="28" spans="1:9" x14ac:dyDescent="0.25">
      <c r="A28" s="1"/>
      <c r="B28" s="109" t="s">
        <v>119</v>
      </c>
      <c r="C28" s="110"/>
      <c r="D28" s="110"/>
      <c r="E28" s="110"/>
      <c r="F28" s="110"/>
      <c r="G28" s="110"/>
      <c r="H28" s="111"/>
      <c r="I28" s="1"/>
    </row>
    <row r="29" spans="1:9" x14ac:dyDescent="0.25">
      <c r="A29" s="1"/>
      <c r="B29" s="103" t="s">
        <v>64</v>
      </c>
      <c r="C29" s="104"/>
      <c r="D29" s="104"/>
      <c r="E29" s="104"/>
      <c r="F29" s="105"/>
      <c r="G29" s="22">
        <f>(G23+G24-G25)*(1+'Fane 13. Nøgletal'!C13)</f>
        <v>49736153.283074863</v>
      </c>
      <c r="H29" s="14" t="s">
        <v>3</v>
      </c>
      <c r="I29" s="1"/>
    </row>
    <row r="30" spans="1:9" x14ac:dyDescent="0.25">
      <c r="A30" s="1"/>
      <c r="B30" s="103" t="s">
        <v>113</v>
      </c>
      <c r="C30" s="104"/>
      <c r="D30" s="104"/>
      <c r="E30" s="104"/>
      <c r="F30" s="105"/>
      <c r="G30" s="47">
        <v>71281.960994160007</v>
      </c>
      <c r="H30" s="14" t="s">
        <v>3</v>
      </c>
      <c r="I30" s="1"/>
    </row>
    <row r="31" spans="1:9" x14ac:dyDescent="0.25">
      <c r="A31" s="1"/>
      <c r="B31" s="103" t="s">
        <v>120</v>
      </c>
      <c r="C31" s="104"/>
      <c r="D31" s="104"/>
      <c r="E31" s="104"/>
      <c r="F31" s="105"/>
      <c r="G31" s="22">
        <f>(G29+G30)*'Fane 13. Nøgletal'!C25</f>
        <v>1369704.4692118983</v>
      </c>
      <c r="H31" s="14" t="s">
        <v>3</v>
      </c>
      <c r="I31" s="1"/>
    </row>
    <row r="32" spans="1:9" x14ac:dyDescent="0.25">
      <c r="A32" s="1"/>
      <c r="B32" s="53"/>
      <c r="C32" s="54"/>
      <c r="D32" s="54"/>
      <c r="E32" s="54"/>
      <c r="F32" s="54"/>
      <c r="G32" s="54"/>
      <c r="H32" s="19"/>
      <c r="I32" s="1"/>
    </row>
    <row r="33" spans="1:9" x14ac:dyDescent="0.25">
      <c r="A33" s="1"/>
      <c r="B33" s="1"/>
      <c r="C33" s="1"/>
      <c r="D33" s="1"/>
      <c r="E33" s="1"/>
      <c r="F33" s="1"/>
      <c r="G33" s="1"/>
      <c r="H33" s="1"/>
      <c r="I33" s="1"/>
    </row>
    <row r="34" spans="1:9" x14ac:dyDescent="0.25">
      <c r="A34" s="1"/>
      <c r="B34" s="109" t="s">
        <v>124</v>
      </c>
      <c r="C34" s="110"/>
      <c r="D34" s="110"/>
      <c r="E34" s="110"/>
      <c r="F34" s="110"/>
      <c r="G34" s="110"/>
      <c r="H34" s="111"/>
      <c r="I34" s="1"/>
    </row>
    <row r="35" spans="1:9" x14ac:dyDescent="0.25">
      <c r="A35" s="1"/>
      <c r="B35" s="103" t="s">
        <v>67</v>
      </c>
      <c r="C35" s="104"/>
      <c r="D35" s="104"/>
      <c r="E35" s="104"/>
      <c r="F35" s="105"/>
      <c r="G35" s="22">
        <f>(G29+G30-G31)*(1+'Fane 13. Nøgletal'!C13)</f>
        <v>49028671.09031038</v>
      </c>
      <c r="H35" s="14" t="s">
        <v>3</v>
      </c>
      <c r="I35" s="1"/>
    </row>
    <row r="36" spans="1:9" x14ac:dyDescent="0.25">
      <c r="A36" s="1"/>
      <c r="B36" s="103" t="s">
        <v>129</v>
      </c>
      <c r="C36" s="104"/>
      <c r="D36" s="104"/>
      <c r="E36" s="104"/>
      <c r="F36" s="105"/>
      <c r="G36" s="47">
        <v>578588.86685221014</v>
      </c>
      <c r="H36" s="14" t="s">
        <v>3</v>
      </c>
      <c r="I36" s="1"/>
    </row>
    <row r="37" spans="1:9" x14ac:dyDescent="0.25">
      <c r="A37" s="1"/>
      <c r="B37" s="103" t="s">
        <v>125</v>
      </c>
      <c r="C37" s="104"/>
      <c r="D37" s="104"/>
      <c r="E37" s="104"/>
      <c r="F37" s="105"/>
      <c r="G37" s="22">
        <f>G35*'Fane 13. Nøgletal'!C25+G36*'Fane 13. Nøgletal'!C26</f>
        <v>1356851.5702129481</v>
      </c>
      <c r="H37" s="14" t="s">
        <v>3</v>
      </c>
      <c r="I37" s="1"/>
    </row>
    <row r="38" spans="1:9" x14ac:dyDescent="0.25">
      <c r="A38" s="1"/>
      <c r="B38" s="53"/>
      <c r="C38" s="54"/>
      <c r="D38" s="54"/>
      <c r="E38" s="54"/>
      <c r="F38" s="54"/>
      <c r="G38" s="54"/>
      <c r="H38" s="19"/>
      <c r="I38" s="1"/>
    </row>
    <row r="39" spans="1:9" x14ac:dyDescent="0.25">
      <c r="A39" s="1"/>
      <c r="B39" s="1"/>
      <c r="C39" s="1"/>
      <c r="D39" s="1"/>
      <c r="E39" s="1"/>
      <c r="F39" s="1"/>
      <c r="G39" s="1"/>
      <c r="H39" s="1"/>
      <c r="I39" s="1"/>
    </row>
    <row r="40" spans="1:9" x14ac:dyDescent="0.25">
      <c r="A40" s="1"/>
      <c r="B40" s="109" t="s">
        <v>159</v>
      </c>
      <c r="C40" s="110"/>
      <c r="D40" s="110"/>
      <c r="E40" s="110"/>
      <c r="F40" s="110"/>
      <c r="G40" s="110"/>
      <c r="H40" s="111"/>
      <c r="I40" s="1"/>
    </row>
    <row r="41" spans="1:9" x14ac:dyDescent="0.25">
      <c r="A41" s="1"/>
      <c r="B41" s="103" t="s">
        <v>66</v>
      </c>
      <c r="C41" s="104"/>
      <c r="D41" s="104"/>
      <c r="E41" s="104"/>
      <c r="F41" s="105"/>
      <c r="G41" s="22">
        <f>(G35+G36-G37)*(1+'Fane 13. Nøgletal'!C15)</f>
        <v>49968122.925525054</v>
      </c>
      <c r="H41" s="14" t="s">
        <v>3</v>
      </c>
      <c r="I41" s="1"/>
    </row>
    <row r="42" spans="1:9" x14ac:dyDescent="0.25">
      <c r="A42" s="1"/>
      <c r="B42" s="103" t="s">
        <v>169</v>
      </c>
      <c r="C42" s="104"/>
      <c r="D42" s="104"/>
      <c r="E42" s="104"/>
      <c r="F42" s="105"/>
      <c r="G42" s="9">
        <v>2665428.8690246404</v>
      </c>
      <c r="H42" s="14" t="s">
        <v>3</v>
      </c>
      <c r="I42" s="1"/>
    </row>
    <row r="43" spans="1:9" x14ac:dyDescent="0.25">
      <c r="A43" s="1"/>
      <c r="B43" s="103" t="s">
        <v>65</v>
      </c>
      <c r="C43" s="104"/>
      <c r="D43" s="104"/>
      <c r="E43" s="104"/>
      <c r="F43" s="105"/>
      <c r="G43" s="57">
        <f>(G41+G42)*'Fane 13. Nøgletal'!C27</f>
        <v>0</v>
      </c>
      <c r="H43" s="14" t="s">
        <v>3</v>
      </c>
      <c r="I43" s="1"/>
    </row>
    <row r="44" spans="1:9" x14ac:dyDescent="0.25">
      <c r="A44" s="1"/>
      <c r="B44" s="53"/>
      <c r="C44" s="54"/>
      <c r="D44" s="54"/>
      <c r="E44" s="54"/>
      <c r="F44" s="54"/>
      <c r="G44" s="54"/>
      <c r="H44" s="19"/>
      <c r="I44" s="1"/>
    </row>
    <row r="45" spans="1:9" ht="12" customHeight="1" x14ac:dyDescent="0.25">
      <c r="A45" s="1"/>
      <c r="B45" s="1"/>
      <c r="C45" s="1"/>
      <c r="D45" s="1"/>
      <c r="E45" s="1"/>
      <c r="F45" s="1"/>
      <c r="G45" s="1"/>
      <c r="H45" s="1"/>
      <c r="I45" s="1"/>
    </row>
    <row r="46" spans="1:9" x14ac:dyDescent="0.25">
      <c r="A46" s="1"/>
      <c r="B46" s="109" t="s">
        <v>160</v>
      </c>
      <c r="C46" s="110"/>
      <c r="D46" s="110"/>
      <c r="E46" s="110"/>
      <c r="F46" s="110"/>
      <c r="G46" s="110"/>
      <c r="H46" s="111"/>
      <c r="I46" s="1"/>
    </row>
    <row r="47" spans="1:9" x14ac:dyDescent="0.25">
      <c r="A47" s="1"/>
      <c r="B47" s="103" t="s">
        <v>114</v>
      </c>
      <c r="C47" s="104"/>
      <c r="D47" s="104"/>
      <c r="E47" s="104"/>
      <c r="F47" s="105"/>
      <c r="G47" s="22">
        <f>(G41+G42-G43)*(1+'Fane 13. Nøgletal'!C15)</f>
        <v>54507306.238435671</v>
      </c>
      <c r="H47" s="14" t="s">
        <v>3</v>
      </c>
      <c r="I47" s="1"/>
    </row>
    <row r="48" spans="1:9" x14ac:dyDescent="0.25">
      <c r="A48" s="1"/>
      <c r="B48" s="103" t="s">
        <v>210</v>
      </c>
      <c r="C48" s="104"/>
      <c r="D48" s="104"/>
      <c r="E48" s="104"/>
      <c r="F48" s="105"/>
      <c r="G48" s="22">
        <f>('Fane 2.1. Økonomisk ramme 2024'!C10+'Fane 2.1. Økonomisk ramme 2024'!C12+'Fane 2.1. Økonomisk ramme 2024'!C14)*(1+'Fane 13. Nøgletal'!C16)</f>
        <v>332241.48404607998</v>
      </c>
      <c r="H48" s="14" t="s">
        <v>3</v>
      </c>
      <c r="I48" s="1"/>
    </row>
    <row r="49" spans="1:9" x14ac:dyDescent="0.25">
      <c r="A49" s="1"/>
      <c r="B49" s="103" t="s">
        <v>211</v>
      </c>
      <c r="C49" s="104"/>
      <c r="D49" s="104"/>
      <c r="E49" s="104"/>
      <c r="F49" s="105"/>
      <c r="G49" s="57">
        <f>(G47)*'Fane 13. Nøgletal'!C27+G48*'Fane 13. Nøgletal'!C28</f>
        <v>0</v>
      </c>
      <c r="H49" s="14" t="s">
        <v>3</v>
      </c>
      <c r="I49" s="1"/>
    </row>
    <row r="50" spans="1:9" x14ac:dyDescent="0.25">
      <c r="A50" s="1"/>
      <c r="B50" s="53"/>
      <c r="C50" s="54"/>
      <c r="D50" s="54"/>
      <c r="E50" s="54"/>
      <c r="F50" s="54"/>
      <c r="G50" s="54"/>
      <c r="H50" s="19"/>
      <c r="I50" s="1"/>
    </row>
    <row r="51" spans="1:9" x14ac:dyDescent="0.25">
      <c r="A51" s="1"/>
      <c r="B51" s="1"/>
      <c r="C51" s="1"/>
      <c r="D51" s="1"/>
      <c r="E51" s="1"/>
      <c r="F51" s="1"/>
      <c r="G51" s="1"/>
      <c r="H51" s="1"/>
      <c r="I51" s="1"/>
    </row>
    <row r="52" spans="1:9" x14ac:dyDescent="0.25">
      <c r="A52" s="1"/>
      <c r="B52" s="109" t="s">
        <v>130</v>
      </c>
      <c r="C52" s="110"/>
      <c r="D52" s="110"/>
      <c r="E52" s="110"/>
      <c r="F52" s="110"/>
      <c r="G52" s="110"/>
      <c r="H52" s="111"/>
      <c r="I52" s="1"/>
    </row>
    <row r="53" spans="1:9" x14ac:dyDescent="0.25">
      <c r="A53" s="1"/>
      <c r="B53" s="103" t="s">
        <v>131</v>
      </c>
      <c r="C53" s="104"/>
      <c r="D53" s="104"/>
      <c r="E53" s="104"/>
      <c r="F53" s="105"/>
      <c r="G53" s="22">
        <f>(G47+G48-G49)*(1+'Fane 13. Nøgletal'!C16)</f>
        <v>59270583.178458273</v>
      </c>
      <c r="H53" s="14" t="s">
        <v>3</v>
      </c>
      <c r="I53" s="1"/>
    </row>
    <row r="54" spans="1:9" x14ac:dyDescent="0.25">
      <c r="A54" s="1"/>
      <c r="B54" s="103" t="s">
        <v>132</v>
      </c>
      <c r="C54" s="104"/>
      <c r="D54" s="104"/>
      <c r="E54" s="104"/>
      <c r="F54" s="105"/>
      <c r="G54" s="57">
        <f>(G53)*'Fane 13. Nøgletal'!C28</f>
        <v>0</v>
      </c>
      <c r="H54" s="14" t="s">
        <v>3</v>
      </c>
      <c r="I54" s="1"/>
    </row>
    <row r="55" spans="1:9" x14ac:dyDescent="0.25">
      <c r="A55" s="1"/>
      <c r="B55" s="53"/>
      <c r="C55" s="54"/>
      <c r="D55" s="54"/>
      <c r="E55" s="54"/>
      <c r="F55" s="54"/>
      <c r="G55" s="54"/>
      <c r="H55" s="19"/>
      <c r="I55" s="1"/>
    </row>
    <row r="56" spans="1:9" x14ac:dyDescent="0.25">
      <c r="A56" s="1"/>
      <c r="B56" s="1"/>
      <c r="C56" s="1"/>
      <c r="D56" s="1"/>
      <c r="E56" s="1"/>
      <c r="F56" s="1"/>
      <c r="G56" s="1"/>
      <c r="H56" s="1"/>
      <c r="I56" s="1"/>
    </row>
    <row r="57" spans="1:9" x14ac:dyDescent="0.25">
      <c r="A57" s="1"/>
      <c r="B57" s="109" t="s">
        <v>147</v>
      </c>
      <c r="C57" s="110"/>
      <c r="D57" s="110"/>
      <c r="E57" s="110"/>
      <c r="F57" s="110"/>
      <c r="G57" s="110"/>
      <c r="H57" s="111"/>
      <c r="I57" s="1"/>
    </row>
    <row r="58" spans="1:9" x14ac:dyDescent="0.25">
      <c r="A58" s="1"/>
      <c r="B58" s="103" t="s">
        <v>148</v>
      </c>
      <c r="C58" s="104"/>
      <c r="D58" s="104"/>
      <c r="E58" s="104"/>
      <c r="F58" s="105"/>
      <c r="G58" s="22">
        <f>(G53-G54)*(1+'Fane 13. Nøgletal'!C16)</f>
        <v>64059646.2992777</v>
      </c>
      <c r="H58" s="14" t="s">
        <v>3</v>
      </c>
      <c r="I58" s="1"/>
    </row>
    <row r="59" spans="1:9" x14ac:dyDescent="0.25">
      <c r="A59" s="1"/>
      <c r="B59" s="103" t="s">
        <v>149</v>
      </c>
      <c r="C59" s="104"/>
      <c r="D59" s="104"/>
      <c r="E59" s="104"/>
      <c r="F59" s="105"/>
      <c r="G59" s="57">
        <f>(G58)*'Fane 13. Nøgletal'!C28</f>
        <v>0</v>
      </c>
      <c r="H59" s="14" t="s">
        <v>3</v>
      </c>
      <c r="I59" s="1"/>
    </row>
    <row r="60" spans="1:9" x14ac:dyDescent="0.25">
      <c r="A60" s="1"/>
      <c r="B60" s="53"/>
      <c r="C60" s="54"/>
      <c r="D60" s="54"/>
      <c r="E60" s="54"/>
      <c r="F60" s="54"/>
      <c r="G60" s="54"/>
      <c r="H60" s="19"/>
      <c r="I60" s="1"/>
    </row>
    <row r="61" spans="1:9" x14ac:dyDescent="0.25">
      <c r="A61" s="1"/>
      <c r="B61" s="1"/>
      <c r="C61" s="1"/>
      <c r="D61" s="1"/>
      <c r="E61" s="1"/>
      <c r="F61" s="1"/>
      <c r="G61" s="1"/>
      <c r="H61" s="1"/>
      <c r="I61" s="1"/>
    </row>
    <row r="62" spans="1:9" x14ac:dyDescent="0.25">
      <c r="A62" s="1"/>
      <c r="B62" s="109" t="s">
        <v>223</v>
      </c>
      <c r="C62" s="110"/>
      <c r="D62" s="110"/>
      <c r="E62" s="110"/>
      <c r="F62" s="110"/>
      <c r="G62" s="110"/>
      <c r="H62" s="111"/>
      <c r="I62" s="1"/>
    </row>
    <row r="63" spans="1:9" x14ac:dyDescent="0.25">
      <c r="A63" s="1"/>
      <c r="B63" s="103" t="s">
        <v>224</v>
      </c>
      <c r="C63" s="104"/>
      <c r="D63" s="104"/>
      <c r="E63" s="104"/>
      <c r="F63" s="105"/>
      <c r="G63" s="22">
        <f>(G58-G59)*(1+'Fane 13. Nøgletal'!C16)</f>
        <v>69235665.720259339</v>
      </c>
      <c r="H63" s="14" t="s">
        <v>3</v>
      </c>
      <c r="I63" s="1"/>
    </row>
    <row r="64" spans="1:9" x14ac:dyDescent="0.25">
      <c r="A64" s="1"/>
      <c r="B64" s="103" t="s">
        <v>225</v>
      </c>
      <c r="C64" s="104"/>
      <c r="D64" s="104"/>
      <c r="E64" s="104"/>
      <c r="F64" s="105"/>
      <c r="G64" s="57">
        <f>(G63)*'Fane 13. Nøgletal'!C28</f>
        <v>0</v>
      </c>
      <c r="H64" s="14" t="s">
        <v>3</v>
      </c>
      <c r="I64" s="1"/>
    </row>
    <row r="65" spans="1:9" x14ac:dyDescent="0.25">
      <c r="A65" s="1"/>
      <c r="B65" s="53"/>
      <c r="C65" s="54"/>
      <c r="D65" s="54"/>
      <c r="E65" s="54"/>
      <c r="F65" s="54"/>
      <c r="G65" s="54"/>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Pxb6+eAnicgmP8qA+ntPNGDi636IZRqPMs5lJy+81S07rVEvBVCpsJnE8+MEGHgM1RXh0FRMkgZmuNYXcH4zzw==" saltValue="Ga9eX/zFkIhBW2mO8Gwn2A==" spinCount="100000" sheet="1" objects="1" scenarios="1"/>
  <mergeCells count="42">
    <mergeCell ref="B62:H62"/>
    <mergeCell ref="B63:F63"/>
    <mergeCell ref="B64:F64"/>
    <mergeCell ref="B57:H57"/>
    <mergeCell ref="B58:F58"/>
    <mergeCell ref="B59:F59"/>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9:F49"/>
    <mergeCell ref="B36:F36"/>
    <mergeCell ref="B42:F42"/>
    <mergeCell ref="B41:F41"/>
    <mergeCell ref="B40:H40"/>
    <mergeCell ref="B37:F37"/>
    <mergeCell ref="B46:H46"/>
    <mergeCell ref="B48:F48"/>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70" zoomScaleNormal="100" zoomScalePageLayoutView="7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9" t="s">
        <v>77</v>
      </c>
      <c r="C3" s="99"/>
      <c r="D3" s="99"/>
      <c r="E3" s="99"/>
      <c r="F3" s="99"/>
      <c r="G3" s="99"/>
      <c r="H3" s="1"/>
    </row>
    <row r="4" spans="1:8" ht="15" customHeight="1" x14ac:dyDescent="0.25">
      <c r="A4" s="1"/>
      <c r="B4" s="99"/>
      <c r="C4" s="99"/>
      <c r="D4" s="99"/>
      <c r="E4" s="99"/>
      <c r="F4" s="99"/>
      <c r="G4" s="99"/>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9" t="s">
        <v>9</v>
      </c>
      <c r="C8" s="110"/>
      <c r="D8" s="110"/>
      <c r="E8" s="110"/>
      <c r="F8" s="110"/>
      <c r="G8" s="111"/>
      <c r="H8" s="1"/>
    </row>
    <row r="9" spans="1:8" x14ac:dyDescent="0.25">
      <c r="A9" s="1"/>
      <c r="B9" s="70" t="s">
        <v>150</v>
      </c>
      <c r="C9" s="71"/>
      <c r="D9" s="71"/>
      <c r="E9" s="71"/>
      <c r="F9" s="72"/>
      <c r="G9" s="52">
        <v>5.8043598949012619E-3</v>
      </c>
      <c r="H9" s="1"/>
    </row>
    <row r="10" spans="1:8" x14ac:dyDescent="0.25">
      <c r="A10" s="1"/>
      <c r="B10" s="53"/>
      <c r="C10" s="54"/>
      <c r="D10" s="54"/>
      <c r="E10" s="54"/>
      <c r="F10" s="54"/>
      <c r="G10" s="19"/>
      <c r="H10" s="1"/>
    </row>
    <row r="11" spans="1:8" ht="15" customHeight="1" x14ac:dyDescent="0.25">
      <c r="A11" s="1"/>
      <c r="B11" s="115" t="s">
        <v>236</v>
      </c>
      <c r="C11" s="116"/>
      <c r="D11" s="116"/>
      <c r="E11" s="116"/>
      <c r="F11" s="116"/>
      <c r="G11" s="117"/>
      <c r="H11" s="1"/>
    </row>
    <row r="12" spans="1:8" ht="13.5" customHeight="1" x14ac:dyDescent="0.25">
      <c r="A12" s="1"/>
      <c r="B12" s="118"/>
      <c r="C12" s="119"/>
      <c r="D12" s="119"/>
      <c r="E12" s="119"/>
      <c r="F12" s="119"/>
      <c r="G12" s="120"/>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ufiF0BESVCPSa24kJ63OUMB6NsYOVURg1WnOL8pbiKo7LNiyC6PcXniX8Jh1kp9w7vj71EihzIbCmdofgH+nYA==" saltValue="3Dhq+gY5np62Zsjb9/HPZw=="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2023-11-28T14:53:39Z</dcterms:modified>
</cp:coreProperties>
</file>