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Mariagerfjord Vand AS (V132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3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E38" i="39"/>
  <c r="C20" i="23" s="1"/>
  <c r="E14" i="39"/>
  <c r="C27" i="2" s="1"/>
  <c r="E22" i="39"/>
  <c r="C21" i="15" s="1"/>
  <c r="C19" i="23"/>
  <c r="C19" i="22"/>
  <c r="C20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1" i="37" s="1"/>
  <c r="C12" i="37" s="1"/>
  <c r="C12" i="2" s="1"/>
  <c r="E11" i="21"/>
  <c r="E12" i="21" s="1"/>
  <c r="C11" i="21"/>
  <c r="C12" i="21" s="1"/>
  <c r="E11" i="29"/>
  <c r="E12" i="29" s="1"/>
  <c r="C14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1" i="37" s="1"/>
  <c r="E12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<sst xmlns="http://schemas.openxmlformats.org/spreadsheetml/2006/main" count="615" uniqueCount="252">
  <si>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</si>
  <si>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</si>
  <si>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</si>
  <si>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</si>
  <si>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</si>
  <si>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</si>
  <si>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</si>
  <si>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</si>
  <si>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</si>
  <si>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</si>
  <si>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</si>
  <si>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</si>
  <si>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</si>
  <si>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</si>
  <si>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</si>
  <si>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</si>
  <si>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</si>
  <si>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</si>
  <si>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</si>
  <si>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</si>
  <si>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</si>
  <si>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</si>
  <si>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</si>
  <si>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</si>
  <si>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</si>
  <si>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</si>
  <si>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</si>
  <si>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</si>
  <si>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</si>
  <si>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</si>
  <si>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</si>
  <si>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</si>
  <si>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</si>
  <si>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</si>
  <si>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</si>
  <si>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</si>
  <si>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</si>
  <si>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</si>
  <si>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</si>
  <si>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</si>
  <si>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</si>
  <si>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</si>
  <si>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</si>
  <si>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</si>
  <si>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</si>
  <si>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</si>
  <si>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</si>
  <si>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</si>
  <si>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</si>
  <si>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</si>
  <si>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</si>
  <si>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</si>
  <si>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</si>
  <si>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</si>
  <si>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</si>
  <si>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</si>
  <si>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</si>
  <si>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</si>
  <si>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</si>
  <si>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</si>
  <si>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</si>
  <si>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</si>
  <si>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</si>
  <si>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</si>
  <si>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</si>
  <si>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</si>
  <si>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</si>
  <si>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</si>
  <si>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</si>
  <si>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</si>
  <si>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</si>
  <si>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</si>
  <si>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</si>
  <si>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</si>
  <si>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</si>
  <si>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</si>
  <si>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</si>
  <si>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</si>
  <si>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</si>
  <si>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</si>
  <si>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</si>
  <si>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</si>
  <si>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</si>
  <si>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</si>
  <si>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</si>
  <si>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</si>
  <si>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</si>
  <si>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</si>
  <si>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</si>
  <si>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</si>
  <si>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</si>
  <si>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</si>
  <si>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</si>
  <si>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</si>
  <si>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</si>
  <si>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</si>
  <si>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</si>
  <si>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</si>
  <si>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</si>
  <si>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</si>
  <si>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</si>
  <si>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</si>
  <si>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</si>
  <si>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</si>
  <si>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</si>
  <si>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</si>
  <si>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</si>
  <si>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</si>
  <si>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</si>
  <si>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</si>
  <si>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</si>
  <si>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</si>
  <si>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</si>
  <si>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</si>
  <si>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</si>
  <si>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</si>
  <si>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</si>
  <si>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</si>
  <si>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</si>
  <si>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</si>
  <si>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</si>
  <si>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</si>
  <si>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</si>
  <si>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</si>
  <si>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</si>
  <si>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</si>
  <si>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</si>
  <si>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</si>
  <si>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</si>
  <si>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</si>
  <si>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</si>
  <si>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</si>
  <si>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</si>
  <si>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</si>
  <si>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</si>
  <si>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</si>
  <si>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</si>
  <si>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</si>
  <si>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</si>
  <si>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</si>
  <si>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</si>
  <si>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</si>
  <si>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</si>
  <si>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</si>
  <si>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</si>
  <si>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</si>
  <si>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</si>
  <si>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</si>
  <si>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</si>
  <si>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</si>
  <si>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</si>
  <si>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</si>
  <si>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</si>
  <si>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</si>
  <si>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</si>
  <si>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</si>
  <si>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</si>
  <si>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</si>
  <si>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</si>
  <si>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</si>
  <si>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</si>
  <si>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</si>
  <si>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</si>
  <si>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</si>
  <si>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</si>
  <si>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</si>
  <si>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</si>
  <si>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</si>
  <si>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</si>
  <si>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</si>
  <si>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</si>
  <si>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</si>
  <si>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</si>
  <si>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</si>
  <si>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</si>
  <si>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</si>
  <si>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</si>
  <si>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</si>
  <si>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</si>
  <si>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</si>
  <si>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</si>
  <si>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</si>
  <si>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</si>
  <si>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</si>
  <si>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</si>
  <si>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</si>
  <si>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</si>
  <si>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</si>
  <si>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</si>
  <si>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</si>
  <si>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</si>
  <si>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</si>
  <si>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</si>
  <si>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</si>
  <si>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</si>
  <si>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</si>
  <si>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</si>
  <si>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</si>
  <si>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</si>
  <si>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</si>
  <si>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</si>
  <si>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</si>
  <si>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</si>
  <si>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</si>
  <si>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</si>
  <si>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</si>
  <si>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</si>
  <si>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</si>
  <si>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</si>
  <si>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</si>
  <si>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</si>
  <si>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</si>
  <si>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</si>
  <si>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</si>
  <si>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</si>
  <si>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</si>
  <si>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</si>
  <si>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</si>
  <si>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</si>
  <si>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</si>
  <si>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</si>
  <si>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</si>
  <si>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</si>
  <si>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</si>
  <si>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</si>
  <si>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</si>
  <si>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</si>
  <si>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</si>
  <si>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</si>
  <si>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Ejendomsskat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</si>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</sst>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251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163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15</v>
      </c>
      <c r="D14" s="71" t="s">
        <v>83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35</v>
      </c>
      <c r="D15" s="71" t="s">
        <v>128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36</v>
      </c>
      <c r="D16" s="71" t="s">
        <v>180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127</v>
      </c>
      <c r="D17" s="71" t="s">
        <v>181</v>
      </c>
      <c r="E17" s="72"/>
      <c r="F17" s="72"/>
      <c r="G17" s="73"/>
      <c r="H17" s="1"/>
      <c r="I17" s="1"/>
    </row>
    <row r="18" spans="1:9" x14ac:dyDescent="0.25">
      <c r="A18" s="1"/>
      <c r="B18" s="1"/>
      <c r="C18" s="32" t="s">
        <v>111</v>
      </c>
      <c r="D18" s="80" t="s">
        <v>100</v>
      </c>
      <c r="E18" s="81"/>
      <c r="F18" s="81"/>
      <c r="G18" s="82"/>
      <c r="H18" s="1"/>
      <c r="I18" s="1"/>
    </row>
    <row r="19" spans="1:9" x14ac:dyDescent="0.25">
      <c r="A19" s="1"/>
      <c r="B19" s="1"/>
      <c r="C19" s="32" t="s">
        <v>112</v>
      </c>
      <c r="D19" s="80" t="s">
        <v>101</v>
      </c>
      <c r="E19" s="81"/>
      <c r="F19" s="81"/>
      <c r="G19" s="82"/>
      <c r="H19" s="1"/>
      <c r="I19" s="1"/>
    </row>
    <row r="20" spans="1:9" x14ac:dyDescent="0.25">
      <c r="A20" s="1"/>
      <c r="B20" s="1"/>
      <c r="C20" s="32" t="s">
        <v>7</v>
      </c>
      <c r="D20" s="80" t="s">
        <v>9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113</v>
      </c>
      <c r="D21" s="86" t="s">
        <v>12</v>
      </c>
      <c r="E21" s="87"/>
      <c r="F21" s="87"/>
      <c r="G21" s="88"/>
      <c r="H21" s="1"/>
      <c r="I21" s="1"/>
    </row>
    <row r="22" spans="1:9" x14ac:dyDescent="0.25">
      <c r="A22" s="1"/>
      <c r="B22" s="1"/>
      <c r="C22" s="6" t="s">
        <v>87</v>
      </c>
      <c r="D22" s="75" t="s">
        <v>182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37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170</v>
      </c>
      <c r="D24" s="75" t="s">
        <v>88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171</v>
      </c>
      <c r="D25" s="75" t="s">
        <v>89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172</v>
      </c>
      <c r="D26" s="75" t="s">
        <v>129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114</v>
      </c>
      <c r="D27" s="75" t="s">
        <v>38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108</v>
      </c>
      <c r="D28" s="83" t="s">
        <v>109</v>
      </c>
      <c r="E28" s="84"/>
      <c r="F28" s="84"/>
      <c r="G28" s="8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9RO8/uKRjph4lWwP2UXOLLSPzh/w0HfQ7lSFhfmfNAf5M0FUDMPMIdQABEhtafhmzEeoArGTOBDQipQTObVNA==" saltValue="7xMp4KNc7CCNommj+J/i6g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202</v>
      </c>
      <c r="C8" s="116"/>
      <c r="D8" s="117"/>
      <c r="E8" s="1"/>
      <c r="F8" s="1"/>
    </row>
    <row r="9" spans="1:6" ht="15" customHeight="1" x14ac:dyDescent="0.25">
      <c r="A9" s="1"/>
      <c r="B9" s="52" t="s">
        <v>33</v>
      </c>
      <c r="C9" s="11" t="s">
        <v>203</v>
      </c>
      <c r="D9" s="11"/>
      <c r="E9" s="1"/>
      <c r="F9" s="1"/>
    </row>
    <row r="10" spans="1:6" x14ac:dyDescent="0.25">
      <c r="A10" s="1"/>
      <c r="B10" s="63" t="s">
        <v>227</v>
      </c>
      <c r="C10" s="9">
        <v>8610533</v>
      </c>
      <c r="D10" s="14" t="s">
        <v>3</v>
      </c>
      <c r="E10" s="1"/>
      <c r="F10" s="1"/>
    </row>
    <row r="11" spans="1:6" x14ac:dyDescent="0.25">
      <c r="A11" s="1"/>
      <c r="B11" s="63" t="s">
        <v>228</v>
      </c>
      <c r="C11" s="9">
        <v>16635</v>
      </c>
      <c r="D11" s="14" t="s">
        <v>3</v>
      </c>
      <c r="E11" s="1"/>
      <c r="F11" s="1"/>
    </row>
    <row r="12" spans="1:6" x14ac:dyDescent="0.25">
      <c r="A12" s="1"/>
      <c r="B12" s="63" t="s">
        <v>229</v>
      </c>
      <c r="C12" s="9">
        <v>28455</v>
      </c>
      <c r="D12" s="14" t="s">
        <v>3</v>
      </c>
      <c r="E12" s="1"/>
      <c r="F12" s="1"/>
    </row>
    <row r="13" spans="1:6" x14ac:dyDescent="0.25">
      <c r="A13" s="1"/>
      <c r="B13" s="55" t="s">
        <v>204</v>
      </c>
      <c r="C13" s="12">
        <f>SUM(C10:C12)</f>
        <v>8655623</v>
      </c>
      <c r="D13" s="13" t="s">
        <v>3</v>
      </c>
      <c r="E13" s="1"/>
      <c r="F13" s="1"/>
    </row>
    <row r="14" spans="1:6" x14ac:dyDescent="0.25">
      <c r="A14" s="1"/>
      <c r="B14" s="55" t="s">
        <v>205</v>
      </c>
      <c r="C14" s="12">
        <f>C13*(1+'Fane 12. Nøgletal'!C14)^2</f>
        <v>8712844.3715344705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s0Lp4va2vF3mIfGL3TdLVN6G06oe5KBEoKfAFMnsReX1FBHBfnMwCCsKoA6ERL5yBilA5c/LnZpG1rTO/p4PZg==" saltValue="uIFantIvNKQIH2mM2dCSz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8" t="s">
        <v>220</v>
      </c>
      <c r="C3" s="108"/>
      <c r="D3" s="108"/>
      <c r="E3" s="108"/>
      <c r="F3" s="108"/>
      <c r="G3" s="1"/>
    </row>
    <row r="4" spans="1:7" ht="15" customHeight="1" x14ac:dyDescent="0.25">
      <c r="A4" s="1"/>
      <c r="B4" s="108"/>
      <c r="C4" s="108"/>
      <c r="D4" s="108"/>
      <c r="E4" s="108"/>
      <c r="F4" s="108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231</v>
      </c>
      <c r="C8" s="116"/>
      <c r="D8" s="116"/>
      <c r="E8" s="116"/>
      <c r="F8" s="117"/>
      <c r="G8" s="1"/>
    </row>
    <row r="9" spans="1:7" x14ac:dyDescent="0.25">
      <c r="A9" s="1"/>
      <c r="B9" s="112" t="s">
        <v>232</v>
      </c>
      <c r="C9" s="113"/>
      <c r="D9" s="114"/>
      <c r="E9" s="9">
        <v>7239871.3500547372</v>
      </c>
      <c r="F9" s="14" t="s">
        <v>3</v>
      </c>
      <c r="G9" s="1"/>
    </row>
    <row r="10" spans="1:7" x14ac:dyDescent="0.25">
      <c r="A10" s="1"/>
      <c r="B10" s="112" t="s">
        <v>233</v>
      </c>
      <c r="C10" s="113"/>
      <c r="D10" s="114"/>
      <c r="E10" s="9">
        <v>2671133.4641104601</v>
      </c>
      <c r="F10" s="14" t="s">
        <v>3</v>
      </c>
      <c r="G10" s="1"/>
    </row>
    <row r="11" spans="1:7" x14ac:dyDescent="0.25">
      <c r="A11" s="1"/>
      <c r="B11" s="112" t="s">
        <v>234</v>
      </c>
      <c r="C11" s="113"/>
      <c r="D11" s="114"/>
      <c r="E11" s="9">
        <v>2359773.1936659887</v>
      </c>
      <c r="F11" s="14" t="s">
        <v>3</v>
      </c>
      <c r="G11" s="1"/>
    </row>
    <row r="12" spans="1:7" x14ac:dyDescent="0.25">
      <c r="A12" s="1"/>
      <c r="B12" s="112" t="s">
        <v>235</v>
      </c>
      <c r="C12" s="113"/>
      <c r="D12" s="114"/>
      <c r="E12" s="9">
        <f>IF(OR(AND(E10&gt;0,E11&lt;0),AND(E11&lt;0,E34&gt;0)),E17+E18,E11)</f>
        <v>2359773.1936659887</v>
      </c>
      <c r="F12" s="14" t="s">
        <v>3</v>
      </c>
      <c r="G12" s="1"/>
    </row>
    <row r="13" spans="1:7" x14ac:dyDescent="0.25">
      <c r="A13" s="1"/>
      <c r="B13" s="55"/>
      <c r="C13" s="56"/>
      <c r="D13" s="56"/>
      <c r="E13" s="56"/>
      <c r="F13" s="20"/>
      <c r="G13" s="1"/>
    </row>
    <row r="14" spans="1:7" ht="54.75" customHeight="1" x14ac:dyDescent="0.25">
      <c r="A14" s="1"/>
      <c r="B14" s="91" t="s">
        <v>236</v>
      </c>
      <c r="C14" s="92"/>
      <c r="D14" s="92"/>
      <c r="E14" s="92"/>
      <c r="F14" s="9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237</v>
      </c>
      <c r="C16" s="116"/>
      <c r="D16" s="116"/>
      <c r="E16" s="116"/>
      <c r="F16" s="117"/>
      <c r="G16" s="1"/>
    </row>
    <row r="17" spans="1:7" x14ac:dyDescent="0.25">
      <c r="A17" s="1"/>
      <c r="B17" s="112" t="s">
        <v>238</v>
      </c>
      <c r="C17" s="113"/>
      <c r="D17" s="114"/>
      <c r="E17" s="9">
        <v>0</v>
      </c>
      <c r="F17" s="14" t="s">
        <v>3</v>
      </c>
      <c r="G17" s="1"/>
    </row>
    <row r="18" spans="1:7" x14ac:dyDescent="0.25">
      <c r="A18" s="1"/>
      <c r="B18" s="112" t="s">
        <v>239</v>
      </c>
      <c r="C18" s="113"/>
      <c r="D18" s="114"/>
      <c r="E18" s="9">
        <v>0</v>
      </c>
      <c r="F18" s="14" t="s">
        <v>3</v>
      </c>
      <c r="G18" s="1"/>
    </row>
    <row r="19" spans="1:7" x14ac:dyDescent="0.25">
      <c r="A19" s="1"/>
      <c r="B19" s="55"/>
      <c r="C19" s="56"/>
      <c r="D19" s="56"/>
      <c r="E19" s="56"/>
      <c r="F19" s="20"/>
      <c r="G19" s="1"/>
    </row>
    <row r="20" spans="1:7" ht="30" customHeight="1" x14ac:dyDescent="0.25">
      <c r="A20" s="1"/>
      <c r="B20" s="91" t="s">
        <v>240</v>
      </c>
      <c r="C20" s="92"/>
      <c r="D20" s="92"/>
      <c r="E20" s="92"/>
      <c r="F20" s="9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7" t="s">
        <v>206</v>
      </c>
      <c r="C22" s="58"/>
      <c r="D22" s="58"/>
      <c r="E22" s="58"/>
      <c r="F22" s="59"/>
      <c r="G22" s="1"/>
    </row>
    <row r="23" spans="1:7" x14ac:dyDescent="0.25">
      <c r="A23" s="1"/>
      <c r="B23" s="60" t="s">
        <v>207</v>
      </c>
      <c r="C23" s="61"/>
      <c r="D23" s="62"/>
      <c r="E23" s="9">
        <v>21890116.792183395</v>
      </c>
      <c r="F23" s="14" t="s">
        <v>3</v>
      </c>
      <c r="G23" s="1"/>
    </row>
    <row r="24" spans="1:7" x14ac:dyDescent="0.25">
      <c r="A24" s="1"/>
      <c r="B24" s="60" t="s">
        <v>208</v>
      </c>
      <c r="C24" s="61"/>
      <c r="D24" s="62"/>
      <c r="E24" s="9">
        <v>20515349</v>
      </c>
      <c r="F24" s="14" t="s">
        <v>3</v>
      </c>
      <c r="G24" s="1"/>
    </row>
    <row r="25" spans="1:7" x14ac:dyDescent="0.25">
      <c r="A25" s="1"/>
      <c r="B25" s="60" t="s">
        <v>34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64" t="s">
        <v>248</v>
      </c>
      <c r="C26" s="65"/>
      <c r="D26" s="66"/>
      <c r="E26" s="45">
        <f>E23-(E24-E25)</f>
        <v>1374767.7921833955</v>
      </c>
      <c r="F26" s="17" t="s">
        <v>3</v>
      </c>
      <c r="G26" s="1"/>
    </row>
    <row r="27" spans="1:7" x14ac:dyDescent="0.25">
      <c r="A27" s="1"/>
      <c r="B27" s="55"/>
      <c r="C27" s="56"/>
      <c r="D27" s="56"/>
      <c r="E27" s="56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241</v>
      </c>
      <c r="C29" s="116"/>
      <c r="D29" s="116"/>
      <c r="E29" s="116"/>
      <c r="F29" s="117"/>
      <c r="G29" s="1"/>
    </row>
    <row r="30" spans="1:7" x14ac:dyDescent="0.25">
      <c r="A30" s="1"/>
      <c r="B30" s="136" t="s">
        <v>242</v>
      </c>
      <c r="C30" s="137"/>
      <c r="D30" s="138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5"/>
      <c r="C31" s="116"/>
      <c r="D31" s="116"/>
      <c r="E31" s="116"/>
      <c r="F31" s="117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243</v>
      </c>
      <c r="C33" s="116"/>
      <c r="D33" s="116"/>
      <c r="E33" s="116"/>
      <c r="F33" s="117"/>
      <c r="G33" s="1"/>
    </row>
    <row r="34" spans="1:7" x14ac:dyDescent="0.25">
      <c r="A34" s="1"/>
      <c r="B34" s="130" t="s">
        <v>249</v>
      </c>
      <c r="C34" s="131"/>
      <c r="D34" s="132"/>
      <c r="E34" s="9">
        <v>3</v>
      </c>
      <c r="F34" s="14"/>
      <c r="G34" s="1"/>
    </row>
    <row r="35" spans="1:7" x14ac:dyDescent="0.25">
      <c r="A35" s="1"/>
      <c r="B35" s="130" t="s">
        <v>161</v>
      </c>
      <c r="C35" s="131"/>
      <c r="D35" s="132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0" t="s">
        <v>110</v>
      </c>
      <c r="C36" s="131"/>
      <c r="D36" s="132"/>
      <c r="E36" s="9">
        <v>4</v>
      </c>
      <c r="F36" s="14" t="s">
        <v>19</v>
      </c>
      <c r="G36" s="1"/>
    </row>
    <row r="37" spans="1:7" x14ac:dyDescent="0.25">
      <c r="A37" s="1"/>
      <c r="B37" s="139" t="s">
        <v>160</v>
      </c>
      <c r="C37" s="139"/>
      <c r="D37" s="139"/>
      <c r="E37" s="10">
        <f>E35/E36</f>
        <v>0</v>
      </c>
      <c r="F37" s="17" t="s">
        <v>3</v>
      </c>
      <c r="G37" s="1"/>
    </row>
    <row r="38" spans="1:7" x14ac:dyDescent="0.25">
      <c r="A38" s="1"/>
      <c r="B38" s="133"/>
      <c r="C38" s="134"/>
      <c r="D38" s="134"/>
      <c r="E38" s="134"/>
      <c r="F38" s="135"/>
      <c r="G38" s="1"/>
    </row>
    <row r="39" spans="1:7" ht="75" customHeight="1" x14ac:dyDescent="0.25">
      <c r="A39" s="1"/>
      <c r="B39" s="91" t="s">
        <v>247</v>
      </c>
      <c r="C39" s="92"/>
      <c r="D39" s="92"/>
      <c r="E39" s="92"/>
      <c r="F39" s="9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Wu2uwV3uyqBZfEGEjnwoJ0BrgV2P9OaYsJbpKzbZTxxa0EPGmkGoFDjUIfCISQVB9+3QX2UwcIKERckZSYLa8Q==" saltValue="/QXVRpQ8Ym+YPJl0NNueVg==" spinCount="100000" sheet="1" objects="1" scenarios="1"/>
  <mergeCells count="21"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9"/>
      <c r="I9" s="1"/>
    </row>
    <row r="10" spans="1:9" x14ac:dyDescent="0.25">
      <c r="A10" s="1"/>
      <c r="B10" s="68" t="s">
        <v>250</v>
      </c>
      <c r="C10" s="6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5" t="s">
        <v>158</v>
      </c>
      <c r="C11" s="116"/>
      <c r="D11" s="11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hGx4oS3fAiFJ92fAjKV5Sxe5jezyhNU92j5eT8Z6FmoJGdJFHPxKa5GLOZnRJmesYb0S8bwAzlqDAtyK4qnltA==" saltValue="5zgH4LW2+VdPqot3IJOkd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84</v>
      </c>
      <c r="C8" s="56"/>
      <c r="D8" s="56"/>
      <c r="E8" s="56"/>
      <c r="F8" s="20"/>
      <c r="G8" s="1"/>
    </row>
    <row r="9" spans="1:7" ht="17.25" customHeight="1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55" t="s">
        <v>136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209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QnV5mtchfobdYzDOwN6ezqN7D0h+64FdqSWKaVq0K6RN65MhUPYVgSxACkdhx50Qog5A0AEXdg/gaT1GS3q8A==" saltValue="VYxADHaNRNfbYsSIh1olL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246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5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53" t="s">
        <v>16</v>
      </c>
      <c r="C17" s="53" t="s">
        <v>11</v>
      </c>
      <c r="D17" s="54"/>
      <c r="E17" s="53" t="s">
        <v>32</v>
      </c>
      <c r="F17" s="49"/>
      <c r="G17" s="1"/>
    </row>
    <row r="18" spans="1:7" x14ac:dyDescent="0.25">
      <c r="A18" s="1"/>
      <c r="B18" s="25" t="s">
        <v>246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5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5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53" t="s">
        <v>16</v>
      </c>
      <c r="C25" s="53" t="s">
        <v>11</v>
      </c>
      <c r="D25" s="54"/>
      <c r="E25" s="53" t="s">
        <v>32</v>
      </c>
      <c r="F25" s="49"/>
      <c r="G25" s="1"/>
    </row>
    <row r="26" spans="1:7" x14ac:dyDescent="0.25">
      <c r="A26" s="1"/>
      <c r="B26" s="25" t="s">
        <v>246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5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5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211</v>
      </c>
      <c r="C32" s="116"/>
      <c r="D32" s="116"/>
      <c r="E32" s="116"/>
      <c r="F32" s="117"/>
      <c r="G32" s="1"/>
    </row>
    <row r="33" spans="1:7" x14ac:dyDescent="0.25">
      <c r="A33" s="1"/>
      <c r="B33" s="53" t="s">
        <v>16</v>
      </c>
      <c r="C33" s="53" t="s">
        <v>11</v>
      </c>
      <c r="D33" s="54"/>
      <c r="E33" s="53" t="s">
        <v>32</v>
      </c>
      <c r="F33" s="49"/>
      <c r="G33" s="1"/>
    </row>
    <row r="34" spans="1:7" x14ac:dyDescent="0.25">
      <c r="A34" s="1"/>
      <c r="B34" s="25" t="s">
        <v>246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5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5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ISxPcO3S3978BK8Tu0rjjw7tzWIholbYQ/Brn4iqA3+PIInCSfQOrqqaMgR0AWuDsALied5K33FCpvGX8902gA==" saltValue="1tAkD+bzg7wuEI6J+zBMg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166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131</v>
      </c>
      <c r="C9" s="100" t="s">
        <v>11</v>
      </c>
      <c r="D9" s="102"/>
      <c r="E9" s="100" t="s">
        <v>32</v>
      </c>
      <c r="F9" s="102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bdEklRNVmVy+oXBx5t1XNGrCQmE7zv+ZyF4nrH026MCk3jUBZSe8mCH34E5wCpfdJFGOoG2LawC+WpQixfScLw==" saltValue="Or/d55xAEdkbnhwQvgXV3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165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17</v>
      </c>
      <c r="C9" s="48" t="s">
        <v>11</v>
      </c>
      <c r="D9" s="49"/>
      <c r="E9" s="48" t="s">
        <v>32</v>
      </c>
      <c r="F9" s="49"/>
      <c r="G9" s="1"/>
    </row>
    <row r="10" spans="1:7" x14ac:dyDescent="0.25">
      <c r="A10" s="1"/>
      <c r="B10" s="25" t="s">
        <v>230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48" t="s">
        <v>17</v>
      </c>
      <c r="C16" s="48" t="s">
        <v>11</v>
      </c>
      <c r="D16" s="49"/>
      <c r="E16" s="48" t="s">
        <v>32</v>
      </c>
      <c r="F16" s="49"/>
      <c r="G16" s="1"/>
    </row>
    <row r="17" spans="1:7" x14ac:dyDescent="0.25">
      <c r="A17" s="1"/>
      <c r="B17" s="25" t="s">
        <v>230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5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5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48" t="s">
        <v>17</v>
      </c>
      <c r="C23" s="48" t="s">
        <v>11</v>
      </c>
      <c r="D23" s="49"/>
      <c r="E23" s="48" t="s">
        <v>32</v>
      </c>
      <c r="F23" s="49"/>
      <c r="G23" s="1"/>
    </row>
    <row r="24" spans="1:7" x14ac:dyDescent="0.25">
      <c r="A24" s="1"/>
      <c r="B24" s="25" t="s">
        <v>230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5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5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214</v>
      </c>
      <c r="C29" s="116"/>
      <c r="D29" s="116"/>
      <c r="E29" s="116"/>
      <c r="F29" s="117"/>
      <c r="G29" s="1"/>
    </row>
    <row r="30" spans="1:7" ht="26.25" x14ac:dyDescent="0.25">
      <c r="A30" s="1"/>
      <c r="B30" s="48" t="s">
        <v>17</v>
      </c>
      <c r="C30" s="48" t="s">
        <v>11</v>
      </c>
      <c r="D30" s="49"/>
      <c r="E30" s="48" t="s">
        <v>32</v>
      </c>
      <c r="F30" s="49"/>
      <c r="G30" s="1"/>
    </row>
    <row r="31" spans="1:7" x14ac:dyDescent="0.25">
      <c r="A31" s="1"/>
      <c r="B31" s="25" t="s">
        <v>230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5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5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W6SlrpFwBKYDF5A9tk2UBjcE7S4ZpJ/y2zgNCmYvARmeA5u/DWdURed/zqld2dumzgU090a/1peYFuZjMC9aSw==" saltValue="ArLNFR/+b1u69wnMsi9td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8" t="s">
        <v>164</v>
      </c>
      <c r="C3" s="108"/>
      <c r="D3" s="1"/>
    </row>
    <row r="4" spans="1:4" ht="25.5" customHeight="1" x14ac:dyDescent="0.25">
      <c r="A4" s="1"/>
      <c r="B4" s="108"/>
      <c r="C4" s="10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5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70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5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217</v>
      </c>
      <c r="C24" s="35">
        <v>1.4800000000000001E-2</v>
      </c>
      <c r="D24" s="1"/>
    </row>
    <row r="25" spans="1:4" x14ac:dyDescent="0.25">
      <c r="A25" s="1"/>
      <c r="B25" s="5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5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EzA6ACmSIzanNiQCurJEyBQdfD/T3Z9wATO2VLq/g4ADfcJf1qDWdE5xCVm1IRfT9YotW8J1AEZhc883m8XdXQ==" saltValue="feLJcet3vuRSgmJphGMXRQ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183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x14ac:dyDescent="0.25">
      <c r="A9" s="1"/>
      <c r="B9" s="51" t="s">
        <v>24</v>
      </c>
      <c r="C9" s="7">
        <f>'Fane 3. Omkostninger i ØR2021'!E20</f>
        <v>12700550.734762715</v>
      </c>
      <c r="D9" s="8" t="s">
        <v>3</v>
      </c>
      <c r="E9" s="1"/>
    </row>
    <row r="10" spans="1:5" x14ac:dyDescent="0.25">
      <c r="A10" s="1"/>
      <c r="B10" s="47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47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0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tillæg'!C12</f>
        <v>0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tillæg'!E12</f>
        <v>0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154946.71896410512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-112996.3122776088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-130380.76376962548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-198140.09551202229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12413980.282167563</v>
      </c>
      <c r="D22" s="11" t="s">
        <v>3</v>
      </c>
      <c r="E22" s="1"/>
    </row>
    <row r="23" spans="1:5" ht="15" customHeight="1" x14ac:dyDescent="0.25">
      <c r="A23" s="1"/>
      <c r="B23" s="55" t="s">
        <v>12</v>
      </c>
      <c r="C23" s="56"/>
      <c r="D23" s="20"/>
      <c r="E23" s="1"/>
    </row>
    <row r="24" spans="1:5" ht="15" customHeight="1" x14ac:dyDescent="0.25">
      <c r="A24" s="1"/>
      <c r="B24" s="48" t="s">
        <v>12</v>
      </c>
      <c r="C24" s="10">
        <f>'Fane 6. Ikke-påvirkelige omk.'!C14</f>
        <v>8712844.3715344705</v>
      </c>
      <c r="D24" s="11" t="s">
        <v>3</v>
      </c>
      <c r="E24" s="1"/>
    </row>
    <row r="25" spans="1:5" ht="15" customHeight="1" x14ac:dyDescent="0.25">
      <c r="A25" s="1"/>
      <c r="B25" s="55" t="s">
        <v>89</v>
      </c>
      <c r="C25" s="56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6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224</v>
      </c>
      <c r="C31" s="56"/>
      <c r="D31" s="20"/>
      <c r="E31" s="1"/>
    </row>
    <row r="32" spans="1:5" x14ac:dyDescent="0.25">
      <c r="A32" s="1"/>
      <c r="B32" s="67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5" t="s">
        <v>30</v>
      </c>
      <c r="C33" s="31">
        <f>SUM(C22,C24,C28,C30,C32)</f>
        <v>21126824.653702036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UHUSSrks+sQlVSC7GpRcCtuZuu8NaDWvul7TSbFn01QZkZyB8Ok/0Odb0FSWyVmjMSqMvLEawQa2mactNj601g==" saltValue="Tvnhhbshk+ZNSDW2r43m1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ht="15" customHeight="1" x14ac:dyDescent="0.25">
      <c r="A9" s="1"/>
      <c r="B9" s="51" t="s">
        <v>134</v>
      </c>
      <c r="C9" s="7">
        <f>'Fane 2.1. Økonomisk ramme 2022'!C22</f>
        <v>12413980.282167563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7" t="s">
        <v>18</v>
      </c>
      <c r="C12" s="9">
        <f>SUM(C9:C11)*'Fane 12. Nøgletal'!C14</f>
        <v>40966.134931152956</v>
      </c>
      <c r="D12" s="8" t="s">
        <v>3</v>
      </c>
      <c r="E12" s="1"/>
    </row>
    <row r="13" spans="1:5" ht="15" customHeight="1" x14ac:dyDescent="0.25">
      <c r="A13" s="1"/>
      <c r="B13" s="47" t="s">
        <v>9</v>
      </c>
      <c r="C13" s="9">
        <f>-SUM(C9:C12)*'Fane 5. Individuelt eff. krav'!G10</f>
        <v>-109475.57804069071</v>
      </c>
      <c r="D13" s="8" t="s">
        <v>3</v>
      </c>
      <c r="E13" s="1"/>
    </row>
    <row r="14" spans="1:5" ht="15" customHeight="1" x14ac:dyDescent="0.25">
      <c r="A14" s="1"/>
      <c r="B14" s="47" t="s">
        <v>25</v>
      </c>
      <c r="C14" s="9">
        <f>-'Fane 4.1. Gen. krav - drift'!G44</f>
        <v>-128194.79988426395</v>
      </c>
      <c r="D14" s="8" t="s">
        <v>3</v>
      </c>
      <c r="E14" s="1"/>
    </row>
    <row r="15" spans="1:5" ht="15" customHeight="1" x14ac:dyDescent="0.25">
      <c r="A15" s="1"/>
      <c r="B15" s="47" t="s">
        <v>26</v>
      </c>
      <c r="C15" s="9">
        <f>-'Fane 4.2. Gen. krav - anlæg'!G44</f>
        <v>-104045.1430911659</v>
      </c>
      <c r="D15" s="8" t="s">
        <v>3</v>
      </c>
      <c r="E15" s="1"/>
    </row>
    <row r="16" spans="1:5" ht="15" customHeight="1" x14ac:dyDescent="0.25">
      <c r="A16" s="1"/>
      <c r="B16" s="52" t="s">
        <v>20</v>
      </c>
      <c r="C16" s="10">
        <f>SUM(C9:C15)</f>
        <v>12113230.896082595</v>
      </c>
      <c r="D16" s="11" t="s">
        <v>3</v>
      </c>
      <c r="E16" s="1"/>
    </row>
    <row r="17" spans="1:5" x14ac:dyDescent="0.25">
      <c r="A17" s="1"/>
      <c r="B17" s="55" t="s">
        <v>12</v>
      </c>
      <c r="C17" s="56"/>
      <c r="D17" s="20"/>
      <c r="E17" s="1"/>
    </row>
    <row r="18" spans="1:5" ht="15" customHeight="1" x14ac:dyDescent="0.25">
      <c r="A18" s="1"/>
      <c r="B18" s="48" t="s">
        <v>12</v>
      </c>
      <c r="C18" s="10">
        <f>'Fane 6. Ikke-påvirkelige omk.'!C14*(1+'Fane 12. Nøgletal'!C14)</f>
        <v>8741596.7579605356</v>
      </c>
      <c r="D18" s="11" t="s">
        <v>3</v>
      </c>
      <c r="E18" s="1"/>
    </row>
    <row r="19" spans="1:5" ht="15" customHeight="1" x14ac:dyDescent="0.25">
      <c r="A19" s="1"/>
      <c r="B19" s="55" t="s">
        <v>89</v>
      </c>
      <c r="C19" s="56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4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6"/>
      <c r="D23" s="20"/>
      <c r="E23" s="1"/>
    </row>
    <row r="24" spans="1:5" ht="15" customHeight="1" x14ac:dyDescent="0.25">
      <c r="A24" s="1"/>
      <c r="B24" s="67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224</v>
      </c>
      <c r="C25" s="56"/>
      <c r="D25" s="20"/>
      <c r="E25" s="1"/>
    </row>
    <row r="26" spans="1:5" x14ac:dyDescent="0.25">
      <c r="A26" s="1"/>
      <c r="B26" s="67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55" t="s">
        <v>97</v>
      </c>
      <c r="C27" s="12">
        <f>SUM(C16,C18,C22,C24,C26)</f>
        <v>20854827.654043131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Eg2dHQ9kYW2Bp3L/aMHAPUDBuZG6WTB9PJ7bHERoqpCwye0VD7kCIe7BGgQsWxpTamYsL8cbnO+yX1iKXz5t2A==" saltValue="VWGKDNN2UHz4UAzYJI87N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135</v>
      </c>
      <c r="C8" s="7">
        <f>'Fane 2.2. Økonomisk ramme 2023'!C16</f>
        <v>12113230.896082595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39973.66195707256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-106823.3494936283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-126045.48586940438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anlæg'!G50</f>
        <v>-102843.54238082893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11817492.180295806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omk.'!C14*(1+'Fane 12. Nøgletal'!C14)^2</f>
        <v>8770444.0272618048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6"/>
      <c r="D24" s="20"/>
      <c r="E24" s="1"/>
    </row>
    <row r="25" spans="1:5" ht="15" customHeight="1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186</v>
      </c>
      <c r="C26" s="12">
        <f>SUM(C15,C17,C21,C23,C25)</f>
        <v>20587936.207557611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mxRwivuYfpLniri+ZlNd7aCurx3LdYpaP1QPQSMLDglcKy8kSkFscY/niUtgn8fYNgGVvb8GcS1rgXPCre7hw==" saltValue="EokO7a1pYmiJ+gqMV4Hd1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187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188</v>
      </c>
      <c r="C8" s="7">
        <f>'Fane 2.3. Økonomisk ramme 2024'!C15</f>
        <v>11817492.180295806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38997.724194976159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-104215.30871026425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-123932.20725331796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anlæg'!G56</f>
        <v>-101655.81876483954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11526686.56976236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omk.'!C14*(1+'Fane 12. Nøgletal'!C14)^3</f>
        <v>8799386.4925517701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6"/>
      <c r="D24" s="20"/>
      <c r="E24" s="1"/>
    </row>
    <row r="25" spans="1:5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189</v>
      </c>
      <c r="C26" s="12">
        <f>SUM(C15,C17,C21,C23,C25)</f>
        <v>20326073.06231413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/2PBsFUBeWzy9wEJbYrz1YteGYw4w6u3QSTsgZiPwbTPeqyOUJ4umRo5xMO1aA/9YZ2S7gCCOD46donB1AhAw==" saltValue="PisVVP4eRFDIhvpCZ0g5s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190</v>
      </c>
      <c r="C3" s="108"/>
      <c r="D3" s="108"/>
      <c r="E3" s="108"/>
      <c r="F3" s="108"/>
      <c r="G3" s="1"/>
    </row>
    <row r="4" spans="1:7" ht="29.2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223</v>
      </c>
      <c r="C8" s="56"/>
      <c r="D8" s="56"/>
      <c r="E8" s="56"/>
      <c r="F8" s="20"/>
      <c r="G8" s="1"/>
    </row>
    <row r="9" spans="1:7" x14ac:dyDescent="0.25">
      <c r="A9" s="1"/>
      <c r="B9" s="109" t="s">
        <v>23</v>
      </c>
      <c r="C9" s="110"/>
      <c r="D9" s="111"/>
      <c r="E9" s="7">
        <v>12990368.424035124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0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0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158482.49477322854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-115574.80913215579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v>-131438.0514555338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v>-201287.32345794907</v>
      </c>
      <c r="F19" s="8" t="s">
        <v>3</v>
      </c>
      <c r="G19" s="1"/>
    </row>
    <row r="20" spans="1:7" x14ac:dyDescent="0.25">
      <c r="A20" s="1"/>
      <c r="B20" s="97" t="s">
        <v>20</v>
      </c>
      <c r="C20" s="98"/>
      <c r="D20" s="99"/>
      <c r="E20" s="10">
        <f>SUM(E9:E19)</f>
        <v>12700550.734762715</v>
      </c>
      <c r="F20" s="11" t="s">
        <v>3</v>
      </c>
      <c r="G20" s="1"/>
    </row>
    <row r="21" spans="1:7" x14ac:dyDescent="0.25">
      <c r="A21" s="1"/>
      <c r="B21" s="55" t="s">
        <v>12</v>
      </c>
      <c r="C21" s="56"/>
      <c r="D21" s="56"/>
      <c r="E21" s="56"/>
      <c r="F21" s="20"/>
      <c r="G21" s="1"/>
    </row>
    <row r="22" spans="1:7" x14ac:dyDescent="0.25">
      <c r="A22" s="1"/>
      <c r="B22" s="105" t="s">
        <v>12</v>
      </c>
      <c r="C22" s="106"/>
      <c r="D22" s="107"/>
      <c r="E22" s="10">
        <v>9329393.3681491725</v>
      </c>
      <c r="F22" s="11" t="s">
        <v>3</v>
      </c>
      <c r="G22" s="1"/>
    </row>
    <row r="23" spans="1:7" ht="15" customHeight="1" x14ac:dyDescent="0.25">
      <c r="A23" s="1"/>
      <c r="B23" s="103" t="s">
        <v>89</v>
      </c>
      <c r="C23" s="104"/>
      <c r="D23" s="104"/>
      <c r="E23" s="56"/>
      <c r="F23" s="56"/>
      <c r="G23" s="1"/>
    </row>
    <row r="24" spans="1:7" ht="14.25" customHeight="1" x14ac:dyDescent="0.25">
      <c r="A24" s="1"/>
      <c r="B24" s="91" t="s">
        <v>85</v>
      </c>
      <c r="C24" s="92"/>
      <c r="D24" s="93"/>
      <c r="E24" s="9">
        <v>0</v>
      </c>
      <c r="F24" s="8" t="s">
        <v>3</v>
      </c>
      <c r="G24" s="1"/>
    </row>
    <row r="25" spans="1:7" ht="14.25" customHeight="1" x14ac:dyDescent="0.25">
      <c r="A25" s="1"/>
      <c r="B25" s="91" t="s">
        <v>86</v>
      </c>
      <c r="C25" s="92"/>
      <c r="D25" s="93"/>
      <c r="E25" s="9">
        <v>0</v>
      </c>
      <c r="F25" s="8" t="s">
        <v>3</v>
      </c>
      <c r="G25" s="1"/>
    </row>
    <row r="26" spans="1:7" x14ac:dyDescent="0.25">
      <c r="A26" s="1"/>
      <c r="B26" s="100" t="s">
        <v>90</v>
      </c>
      <c r="C26" s="101"/>
      <c r="D26" s="101"/>
      <c r="E26" s="10">
        <v>0</v>
      </c>
      <c r="F26" s="11" t="s">
        <v>3</v>
      </c>
      <c r="G26" s="1"/>
    </row>
    <row r="27" spans="1:7" x14ac:dyDescent="0.25">
      <c r="A27" s="1"/>
      <c r="B27" s="55" t="s">
        <v>161</v>
      </c>
      <c r="C27" s="56"/>
      <c r="D27" s="56"/>
      <c r="E27" s="56"/>
      <c r="F27" s="20"/>
      <c r="G27" s="1"/>
    </row>
    <row r="28" spans="1:7" ht="15" customHeight="1" x14ac:dyDescent="0.25">
      <c r="A28" s="1"/>
      <c r="B28" s="100" t="s">
        <v>162</v>
      </c>
      <c r="C28" s="101"/>
      <c r="D28" s="102"/>
      <c r="E28" s="10">
        <v>0</v>
      </c>
      <c r="F28" s="11" t="s">
        <v>3</v>
      </c>
      <c r="G28" s="1"/>
    </row>
    <row r="29" spans="1:7" x14ac:dyDescent="0.25">
      <c r="A29" s="1"/>
      <c r="B29" s="55" t="s">
        <v>244</v>
      </c>
      <c r="C29" s="56"/>
      <c r="D29" s="56"/>
      <c r="E29" s="56"/>
      <c r="F29" s="20"/>
      <c r="G29" s="1"/>
    </row>
    <row r="30" spans="1:7" ht="15.6" customHeight="1" x14ac:dyDescent="0.25">
      <c r="A30" s="1"/>
      <c r="B30" s="105" t="s">
        <v>245</v>
      </c>
      <c r="C30" s="106"/>
      <c r="D30" s="107"/>
      <c r="E30" s="10">
        <v>812.57824526885815</v>
      </c>
      <c r="F30" s="11" t="s">
        <v>3</v>
      </c>
      <c r="G30" s="1"/>
    </row>
    <row r="31" spans="1:7" x14ac:dyDescent="0.25">
      <c r="A31" s="1"/>
      <c r="B31" s="55" t="s">
        <v>29</v>
      </c>
      <c r="C31" s="56"/>
      <c r="D31" s="56"/>
      <c r="E31" s="12">
        <f>E20+E22+E26+E28+E30</f>
        <v>22030756.681157157</v>
      </c>
      <c r="F31" s="13" t="s">
        <v>3</v>
      </c>
      <c r="G31" s="1"/>
    </row>
    <row r="32" spans="1:7" ht="27.75" customHeight="1" x14ac:dyDescent="0.25">
      <c r="A32" s="1"/>
      <c r="B32" s="91" t="s">
        <v>191</v>
      </c>
      <c r="C32" s="92"/>
      <c r="D32" s="92"/>
      <c r="E32" s="92"/>
      <c r="F32" s="9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9/zK6kKzz3edtEbv5JBkg880YsK4DGg/w8xfxEMF9/2kIIltn9a61iS9WuWWihpepl3e3Y3Wn2/zZ8U7ShKVPQ==" saltValue="sgVpjtLZrve04hwBx6I6Dw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8" t="s">
        <v>115</v>
      </c>
      <c r="C1" s="108"/>
      <c r="D1" s="108"/>
      <c r="E1" s="108"/>
      <c r="F1" s="108"/>
      <c r="G1" s="108"/>
      <c r="H1" s="108"/>
      <c r="I1" s="1"/>
    </row>
    <row r="2" spans="1:9" ht="15" customHeight="1" x14ac:dyDescent="0.25">
      <c r="A2" s="1"/>
      <c r="B2" s="108"/>
      <c r="C2" s="108"/>
      <c r="D2" s="108"/>
      <c r="E2" s="108"/>
      <c r="F2" s="108"/>
      <c r="G2" s="108"/>
      <c r="H2" s="108"/>
      <c r="I2" s="1"/>
    </row>
    <row r="3" spans="1:9" ht="1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43</v>
      </c>
      <c r="C5" s="113"/>
      <c r="D5" s="113"/>
      <c r="E5" s="113"/>
      <c r="F5" s="114"/>
      <c r="G5" s="24">
        <v>6721762.6951087052</v>
      </c>
      <c r="H5" s="14" t="s">
        <v>3</v>
      </c>
      <c r="I5" s="1"/>
    </row>
    <row r="6" spans="1:9" x14ac:dyDescent="0.25">
      <c r="A6" s="1"/>
      <c r="B6" s="112" t="s">
        <v>44</v>
      </c>
      <c r="C6" s="113"/>
      <c r="D6" s="113"/>
      <c r="E6" s="113"/>
      <c r="F6" s="114"/>
      <c r="G6" s="24">
        <f>G5*'Fane 12. Nøgletal'!C29</f>
        <v>134435.2539021741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45</v>
      </c>
      <c r="C10" s="113"/>
      <c r="D10" s="113"/>
      <c r="E10" s="113"/>
      <c r="F10" s="114"/>
      <c r="G10" s="24">
        <f>(G5-G6)*(1+'Fane 12. Nøgletal'!C9)</f>
        <v>6670986.499709853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42">
        <v>0</v>
      </c>
      <c r="H11" s="14" t="s">
        <v>3</v>
      </c>
      <c r="I11" s="1"/>
    </row>
    <row r="12" spans="1:9" x14ac:dyDescent="0.25">
      <c r="A12" s="1"/>
      <c r="B12" s="112" t="s">
        <v>47</v>
      </c>
      <c r="C12" s="113"/>
      <c r="D12" s="113"/>
      <c r="E12" s="113"/>
      <c r="F12" s="114"/>
      <c r="G12" s="24">
        <f>(G10+G11)*'Fane 12. Nøgletal'!C29</f>
        <v>133419.72999419706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48</v>
      </c>
      <c r="C16" s="113"/>
      <c r="D16" s="113"/>
      <c r="E16" s="113"/>
      <c r="F16" s="114"/>
      <c r="G16" s="24">
        <f>(G10+G11-G12)*(1+'Fane 12. Nøgletal'!C11)</f>
        <v>6648051.6481238492</v>
      </c>
      <c r="H16" s="14" t="s">
        <v>3</v>
      </c>
      <c r="I16" s="1"/>
    </row>
    <row r="17" spans="1:9" x14ac:dyDescent="0.25">
      <c r="A17" s="1"/>
      <c r="B17" s="112" t="s">
        <v>125</v>
      </c>
      <c r="C17" s="113"/>
      <c r="D17" s="113"/>
      <c r="E17" s="113"/>
      <c r="F17" s="114"/>
      <c r="G17" s="42">
        <v>0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42">
        <v>0</v>
      </c>
      <c r="H18" s="14" t="s">
        <v>3</v>
      </c>
      <c r="I18" s="1"/>
    </row>
    <row r="19" spans="1:9" x14ac:dyDescent="0.25">
      <c r="A19" s="1"/>
      <c r="B19" s="112" t="s">
        <v>50</v>
      </c>
      <c r="C19" s="113"/>
      <c r="D19" s="113"/>
      <c r="E19" s="113"/>
      <c r="F19" s="114"/>
      <c r="G19" s="24">
        <f>SUM(G16:G18)*'Fane 12. Nøgletal'!C29</f>
        <v>132961.03296247698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51</v>
      </c>
      <c r="C23" s="113"/>
      <c r="D23" s="113"/>
      <c r="E23" s="113"/>
      <c r="F23" s="114"/>
      <c r="G23" s="24">
        <f>(SUM(G16:G18)-G19)*(1+'Fane 12. Nøgletal'!C11)</f>
        <v>6625195.6465575993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42">
        <v>0</v>
      </c>
      <c r="H24" s="14" t="s">
        <v>3</v>
      </c>
      <c r="I24" s="1"/>
    </row>
    <row r="25" spans="1:9" x14ac:dyDescent="0.25">
      <c r="A25" s="1"/>
      <c r="B25" s="112" t="s">
        <v>53</v>
      </c>
      <c r="C25" s="113"/>
      <c r="D25" s="113"/>
      <c r="E25" s="113"/>
      <c r="F25" s="114"/>
      <c r="G25" s="24">
        <f>(G23+G24)*'Fane 12. Nøgletal'!C29</f>
        <v>132503.91293115198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60</v>
      </c>
      <c r="C29" s="113"/>
      <c r="D29" s="113"/>
      <c r="E29" s="113"/>
      <c r="F29" s="114"/>
      <c r="G29" s="24">
        <f>(G23+G24-G25)*(1+'Fane 12. Nøgletal'!C13)</f>
        <v>6571902.5727766901</v>
      </c>
      <c r="H29" s="14" t="s">
        <v>3</v>
      </c>
      <c r="I29" s="1"/>
    </row>
    <row r="30" spans="1:9" x14ac:dyDescent="0.25">
      <c r="A30" s="1"/>
      <c r="B30" s="112" t="s">
        <v>147</v>
      </c>
      <c r="C30" s="113"/>
      <c r="D30" s="113"/>
      <c r="E30" s="113"/>
      <c r="F30" s="114"/>
      <c r="G30" s="42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2" t="s">
        <v>159</v>
      </c>
      <c r="C31" s="113"/>
      <c r="D31" s="113"/>
      <c r="E31" s="113"/>
      <c r="F31" s="114"/>
      <c r="G31" s="24">
        <f>(G29+G30)*'Fane 12. Nøgletal'!C29</f>
        <v>131438.0514555338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80</v>
      </c>
      <c r="C35" s="113"/>
      <c r="D35" s="113"/>
      <c r="E35" s="113"/>
      <c r="F35" s="114"/>
      <c r="G35" s="24">
        <f>(G29+G30-G31)*(1+'Fane 12. Nøgletal'!C13)</f>
        <v>6519038.1884812741</v>
      </c>
      <c r="H35" s="14" t="s">
        <v>3</v>
      </c>
      <c r="I35" s="1"/>
    </row>
    <row r="36" spans="1:9" x14ac:dyDescent="0.25">
      <c r="A36" s="1"/>
      <c r="B36" s="37" t="s">
        <v>192</v>
      </c>
      <c r="C36" s="61"/>
      <c r="D36" s="61"/>
      <c r="E36" s="61"/>
      <c r="F36" s="62"/>
      <c r="G36" s="42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2" t="s">
        <v>221</v>
      </c>
      <c r="C37" s="113"/>
      <c r="D37" s="113"/>
      <c r="E37" s="113"/>
      <c r="F37" s="114"/>
      <c r="G37" s="42">
        <f>SUM('Fane 2.1. Økonomisk ramme 2022'!C12,'Fane 2.1. Økonomisk ramme 2022'!C14,'Fane 2.1. Økonomisk ramme 2022'!C16)*(1+'Fane 12. Nøgletal'!C14)</f>
        <v>0</v>
      </c>
      <c r="H37" s="14" t="s">
        <v>3</v>
      </c>
      <c r="I37" s="1"/>
    </row>
    <row r="38" spans="1:9" x14ac:dyDescent="0.25">
      <c r="A38" s="1"/>
      <c r="B38" s="112" t="s">
        <v>177</v>
      </c>
      <c r="C38" s="113"/>
      <c r="D38" s="113"/>
      <c r="E38" s="113"/>
      <c r="F38" s="114"/>
      <c r="G38" s="24">
        <f>(G35+G37)*'Fane 12. Nøgletal'!C29</f>
        <v>130380.76376962548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79</v>
      </c>
      <c r="C42" s="113"/>
      <c r="D42" s="113"/>
      <c r="E42" s="113"/>
      <c r="F42" s="114"/>
      <c r="G42" s="24">
        <f>(G35+G37-G38)*(1+'Fane 12. Nøgletal'!C14)</f>
        <v>6409739.9942131974</v>
      </c>
      <c r="H42" s="14" t="s">
        <v>3</v>
      </c>
      <c r="I42" s="1"/>
    </row>
    <row r="43" spans="1:9" x14ac:dyDescent="0.25">
      <c r="A43" s="1"/>
      <c r="B43" s="112" t="s">
        <v>92</v>
      </c>
      <c r="C43" s="113"/>
      <c r="D43" s="113"/>
      <c r="E43" s="113"/>
      <c r="F43" s="114"/>
      <c r="G43" s="42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2" t="s">
        <v>61</v>
      </c>
      <c r="C44" s="113"/>
      <c r="D44" s="113"/>
      <c r="E44" s="113"/>
      <c r="F44" s="114"/>
      <c r="G44" s="24">
        <f>(G42+G43)*'Fane 12. Nøgletal'!C29</f>
        <v>128194.79988426395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149</v>
      </c>
      <c r="C48" s="113"/>
      <c r="D48" s="113"/>
      <c r="E48" s="113"/>
      <c r="F48" s="114"/>
      <c r="G48" s="24">
        <f>(G42+G43-G44)*(1+'Fane 12. Nøgletal'!C14)</f>
        <v>6302274.2934702188</v>
      </c>
      <c r="H48" s="14" t="s">
        <v>3</v>
      </c>
      <c r="I48" s="1"/>
    </row>
    <row r="49" spans="1:9" x14ac:dyDescent="0.25">
      <c r="A49" s="1"/>
      <c r="B49" s="112" t="s">
        <v>150</v>
      </c>
      <c r="C49" s="113"/>
      <c r="D49" s="113"/>
      <c r="E49" s="113"/>
      <c r="F49" s="114"/>
      <c r="G49" s="42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2" t="s">
        <v>151</v>
      </c>
      <c r="C50" s="113"/>
      <c r="D50" s="113"/>
      <c r="E50" s="113"/>
      <c r="F50" s="114"/>
      <c r="G50" s="24">
        <f>(G48+G49)*'Fane 12. Nøgletal'!C29</f>
        <v>126045.48586940438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198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199</v>
      </c>
      <c r="C54" s="113"/>
      <c r="D54" s="113"/>
      <c r="E54" s="113"/>
      <c r="F54" s="114"/>
      <c r="G54" s="24">
        <f>(G48+G49-G50)*(1+'Fane 12. Nøgletal'!C14)</f>
        <v>6196610.3626658982</v>
      </c>
      <c r="H54" s="14" t="s">
        <v>3</v>
      </c>
      <c r="I54" s="1"/>
    </row>
    <row r="55" spans="1:9" x14ac:dyDescent="0.25">
      <c r="A55" s="1"/>
      <c r="B55" s="112" t="s">
        <v>200</v>
      </c>
      <c r="C55" s="113"/>
      <c r="D55" s="113"/>
      <c r="E55" s="113"/>
      <c r="F55" s="114"/>
      <c r="G55" s="42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2" t="s">
        <v>201</v>
      </c>
      <c r="C56" s="113"/>
      <c r="D56" s="113"/>
      <c r="E56" s="113"/>
      <c r="F56" s="114"/>
      <c r="G56" s="24">
        <f>(G54+G55)*'Fane 12. Nøgletal'!C29</f>
        <v>123932.20725331796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vtI3BDoHuOqNGtoFAvWSDREFSpCL/MTp7Z8EPAb6BoQ1cEIzWjBVr3Da1PMelgJ976yAQ4H8WkOZuW2b/geZ5w==" saltValue="vwyD8ptYy6lK3iSg2nlMqA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62</v>
      </c>
      <c r="C5" s="113"/>
      <c r="D5" s="113"/>
      <c r="E5" s="113"/>
      <c r="F5" s="114"/>
      <c r="G5" s="24">
        <v>6631757.7974003879</v>
      </c>
      <c r="H5" s="14" t="s">
        <v>3</v>
      </c>
      <c r="I5" s="1"/>
    </row>
    <row r="6" spans="1:9" x14ac:dyDescent="0.25">
      <c r="A6" s="1"/>
      <c r="B6" s="112" t="s">
        <v>59</v>
      </c>
      <c r="C6" s="113"/>
      <c r="D6" s="113"/>
      <c r="E6" s="113"/>
      <c r="F6" s="114"/>
      <c r="G6" s="24">
        <f>G5*'Fane 12. Nøgletal'!C19</f>
        <v>60348.995956343533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64</v>
      </c>
      <c r="C10" s="113"/>
      <c r="D10" s="113"/>
      <c r="E10" s="113"/>
      <c r="F10" s="114"/>
      <c r="G10" s="24">
        <f>(G5-G6)*(1+'Fane 12. Nøgletal'!C9)</f>
        <v>6654865.693222383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42">
        <v>0</v>
      </c>
      <c r="H11" s="14" t="s">
        <v>3</v>
      </c>
      <c r="I11" s="1"/>
    </row>
    <row r="12" spans="1:9" x14ac:dyDescent="0.25">
      <c r="A12" s="1"/>
      <c r="B12" s="112" t="s">
        <v>66</v>
      </c>
      <c r="C12" s="113"/>
      <c r="D12" s="113"/>
      <c r="E12" s="113"/>
      <c r="F12" s="114"/>
      <c r="G12" s="24">
        <f>G10*'Fane 12. Nøgletal'!C19+G11*'Fane 12. Nøgletal'!C20</f>
        <v>60559.277808323692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68</v>
      </c>
      <c r="C16" s="113"/>
      <c r="D16" s="113"/>
      <c r="E16" s="113"/>
      <c r="F16" s="114"/>
      <c r="G16" s="24">
        <f>(G10+G11-G12)*(1+'Fane 12. Nøgletal'!C11)</f>
        <v>6705750.1938345563</v>
      </c>
      <c r="H16" s="14" t="s">
        <v>3</v>
      </c>
      <c r="I16" s="1"/>
    </row>
    <row r="17" spans="1:9" x14ac:dyDescent="0.25">
      <c r="A17" s="1"/>
      <c r="B17" s="112" t="s">
        <v>126</v>
      </c>
      <c r="C17" s="113"/>
      <c r="D17" s="113"/>
      <c r="E17" s="113"/>
      <c r="F17" s="114"/>
      <c r="G17" s="24">
        <v>386562.07475093572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144193.93154400997</v>
      </c>
      <c r="H18" s="14" t="s">
        <v>3</v>
      </c>
      <c r="I18" s="1"/>
    </row>
    <row r="19" spans="1:9" x14ac:dyDescent="0.25">
      <c r="A19" s="1"/>
      <c r="B19" s="112" t="s">
        <v>70</v>
      </c>
      <c r="C19" s="113"/>
      <c r="D19" s="113"/>
      <c r="E19" s="113"/>
      <c r="F19" s="114"/>
      <c r="G19" s="24">
        <f>(G16+G17+G18)*'Fane 12. Nøgletal'!C21</f>
        <v>62957.603941126661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72</v>
      </c>
      <c r="C23" s="113"/>
      <c r="D23" s="113"/>
      <c r="E23" s="113"/>
      <c r="F23" s="114"/>
      <c r="G23" s="24">
        <f>(SUM(G16:G18)-G19)*(1+'Fane 12. Nøgletal'!C11)</f>
        <v>7294781.5674639577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42">
        <v>0</v>
      </c>
      <c r="H24" s="14" t="s">
        <v>3</v>
      </c>
      <c r="I24" s="1"/>
    </row>
    <row r="25" spans="1:9" x14ac:dyDescent="0.25">
      <c r="A25" s="1"/>
      <c r="B25" s="112" t="s">
        <v>74</v>
      </c>
      <c r="C25" s="113"/>
      <c r="D25" s="113"/>
      <c r="E25" s="113"/>
      <c r="F25" s="114"/>
      <c r="G25" s="24">
        <f>G23*'Fane 12. Nøgletal'!C21+G24*'Fane 12. Nøgletal'!C22</f>
        <v>63464.599636936429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75</v>
      </c>
      <c r="C29" s="113"/>
      <c r="D29" s="113"/>
      <c r="E29" s="113"/>
      <c r="F29" s="114"/>
      <c r="G29" s="24">
        <f>(G23+G24-G25)*(1+'Fane 12. Nøgletal'!C13)</f>
        <v>7319539.0348345106</v>
      </c>
      <c r="H29" s="14" t="s">
        <v>3</v>
      </c>
      <c r="I29" s="1"/>
    </row>
    <row r="30" spans="1:9" x14ac:dyDescent="0.25">
      <c r="A30" s="1"/>
      <c r="B30" s="112" t="s">
        <v>152</v>
      </c>
      <c r="C30" s="113"/>
      <c r="D30" s="113"/>
      <c r="E30" s="113"/>
      <c r="F30" s="114"/>
      <c r="G30" s="42">
        <v>0</v>
      </c>
      <c r="H30" s="14" t="s">
        <v>3</v>
      </c>
      <c r="I30" s="1"/>
    </row>
    <row r="31" spans="1:9" x14ac:dyDescent="0.25">
      <c r="A31" s="1"/>
      <c r="B31" s="112" t="s">
        <v>174</v>
      </c>
      <c r="C31" s="113"/>
      <c r="D31" s="113"/>
      <c r="E31" s="113"/>
      <c r="F31" s="114"/>
      <c r="G31" s="24">
        <f>(G29+G30)*'Fane 12. Nøgletal'!C23</f>
        <v>201287.32345794904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78</v>
      </c>
      <c r="C35" s="113"/>
      <c r="D35" s="113"/>
      <c r="E35" s="113"/>
      <c r="F35" s="114"/>
      <c r="G35" s="24">
        <f>(G29+G30-G31)*(1+'Fane 12. Nøgletal'!C13)</f>
        <v>7205094.3822553558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0</v>
      </c>
      <c r="H36" s="14" t="s">
        <v>3</v>
      </c>
      <c r="I36" s="38"/>
    </row>
    <row r="37" spans="1:9" x14ac:dyDescent="0.25">
      <c r="A37" s="1"/>
      <c r="B37" s="112" t="s">
        <v>193</v>
      </c>
      <c r="C37" s="113"/>
      <c r="D37" s="113"/>
      <c r="E37" s="113"/>
      <c r="F37" s="114"/>
      <c r="G37" s="42">
        <f>SUM('Fane 2.1. Økonomisk ramme 2022'!C13,'Fane 2.1. Økonomisk ramme 2022'!C15,'Fane 2.1. Økonomisk ramme 2022'!C17)*(1+'Fane 12. Nøgletal'!C14)</f>
        <v>0</v>
      </c>
      <c r="H37" s="14" t="s">
        <v>3</v>
      </c>
      <c r="I37" s="1"/>
    </row>
    <row r="38" spans="1:9" x14ac:dyDescent="0.25">
      <c r="A38" s="1"/>
      <c r="B38" s="112" t="s">
        <v>179</v>
      </c>
      <c r="C38" s="113"/>
      <c r="D38" s="113"/>
      <c r="E38" s="113"/>
      <c r="F38" s="114"/>
      <c r="G38" s="24">
        <f>G35*'Fane 12. Nøgletal'!C23+G37*'Fane 12. Nøgletal'!C24</f>
        <v>198140.09551202229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77</v>
      </c>
      <c r="C42" s="113"/>
      <c r="D42" s="113"/>
      <c r="E42" s="113"/>
      <c r="F42" s="114"/>
      <c r="G42" s="24">
        <f>(G35+G37-G38)*(1+'Fane 12. Nøgletal'!C14)</f>
        <v>7030077.2358895876</v>
      </c>
      <c r="H42" s="14" t="s">
        <v>3</v>
      </c>
      <c r="I42" s="1"/>
    </row>
    <row r="43" spans="1:9" x14ac:dyDescent="0.25">
      <c r="A43" s="1"/>
      <c r="B43" s="112" t="s">
        <v>96</v>
      </c>
      <c r="C43" s="113"/>
      <c r="D43" s="113"/>
      <c r="E43" s="113"/>
      <c r="F43" s="114"/>
      <c r="G43" s="42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2" t="s">
        <v>76</v>
      </c>
      <c r="C44" s="113"/>
      <c r="D44" s="113"/>
      <c r="E44" s="113"/>
      <c r="F44" s="114"/>
      <c r="G44" s="24">
        <f>(G42+G43)*'Fane 12. Nøgletal'!C24</f>
        <v>104045.1430911659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153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154</v>
      </c>
      <c r="C48" s="113"/>
      <c r="D48" s="113"/>
      <c r="E48" s="113"/>
      <c r="F48" s="114"/>
      <c r="G48" s="24">
        <f>(G42+G43-G44)*(1+'Fane 12. Nøgletal'!C14)</f>
        <v>6948887.9987046579</v>
      </c>
      <c r="H48" s="14" t="s">
        <v>3</v>
      </c>
      <c r="I48" s="1"/>
    </row>
    <row r="49" spans="1:9" x14ac:dyDescent="0.25">
      <c r="A49" s="1"/>
      <c r="B49" s="112" t="s">
        <v>155</v>
      </c>
      <c r="C49" s="113"/>
      <c r="D49" s="113"/>
      <c r="E49" s="113"/>
      <c r="F49" s="114"/>
      <c r="G49" s="42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2" t="s">
        <v>156</v>
      </c>
      <c r="C50" s="113"/>
      <c r="D50" s="113"/>
      <c r="E50" s="113"/>
      <c r="F50" s="114"/>
      <c r="G50" s="24">
        <f>(G48+G49)*'Fane 12. Nøgletal'!C24</f>
        <v>102843.54238082893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194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195</v>
      </c>
      <c r="C54" s="113"/>
      <c r="D54" s="113"/>
      <c r="E54" s="113"/>
      <c r="F54" s="114"/>
      <c r="G54" s="24">
        <f>(G48+G49-G50)*(1+'Fane 12. Nøgletal'!C14)</f>
        <v>6868636.4030296979</v>
      </c>
      <c r="H54" s="14" t="s">
        <v>3</v>
      </c>
      <c r="I54" s="1"/>
    </row>
    <row r="55" spans="1:9" x14ac:dyDescent="0.25">
      <c r="A55" s="1"/>
      <c r="B55" s="112" t="s">
        <v>196</v>
      </c>
      <c r="C55" s="113"/>
      <c r="D55" s="113"/>
      <c r="E55" s="113"/>
      <c r="F55" s="114"/>
      <c r="G55" s="42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2" t="s">
        <v>197</v>
      </c>
      <c r="C56" s="113"/>
      <c r="D56" s="113"/>
      <c r="E56" s="113"/>
      <c r="F56" s="114"/>
      <c r="G56" s="24">
        <f>(G54+G55)*'Fane 12. Nøgletal'!C24</f>
        <v>101655.81876483954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hdLQyYo2BqlfOBRA5Q/QDYqJuloc1xkQCs6G3gzrWELdCDpDw2zPBgDRjF9sBPsBSiEJ2usN4xNhsDhTA94VUw==" saltValue="lW447FZPs1RbacxBElDK1A==" spinCount="100000" sheet="1" objects="1" scenarios="1"/>
  <mergeCells count="37"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53:H53"/>
    <mergeCell ref="B54:F54"/>
    <mergeCell ref="B55:F55"/>
    <mergeCell ref="B56:F56"/>
    <mergeCell ref="B35:F35"/>
    <mergeCell ref="B44:F44"/>
    <mergeCell ref="B31:F31"/>
    <mergeCell ref="B34:H34"/>
    <mergeCell ref="B22:H22"/>
    <mergeCell ref="B23:F23"/>
    <mergeCell ref="B24:F24"/>
    <mergeCell ref="B25:F25"/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2" t="s">
        <v>105</v>
      </c>
      <c r="C9" s="113"/>
      <c r="D9" s="113"/>
      <c r="E9" s="113"/>
      <c r="F9" s="114"/>
      <c r="G9" s="44">
        <v>1.050489806551958E-2</v>
      </c>
      <c r="H9" s="14"/>
      <c r="I9" s="1"/>
    </row>
    <row r="10" spans="1:9" x14ac:dyDescent="0.25">
      <c r="A10" s="1"/>
      <c r="B10" s="112" t="s">
        <v>141</v>
      </c>
      <c r="C10" s="113"/>
      <c r="D10" s="113"/>
      <c r="E10" s="113"/>
      <c r="F10" s="114"/>
      <c r="G10" s="44">
        <v>8.7897269385597415E-3</v>
      </c>
      <c r="H10" s="14"/>
      <c r="I10" s="1"/>
    </row>
    <row r="11" spans="1:9" x14ac:dyDescent="0.25">
      <c r="A11" s="1"/>
      <c r="B11" s="55"/>
      <c r="C11" s="56"/>
      <c r="D11" s="56"/>
      <c r="E11" s="56"/>
      <c r="F11" s="56"/>
      <c r="G11" s="56"/>
      <c r="H11" s="20"/>
      <c r="I11" s="1"/>
    </row>
    <row r="12" spans="1:9" ht="14.25" customHeight="1" x14ac:dyDescent="0.25">
      <c r="A12" s="1"/>
      <c r="B12" s="124" t="s">
        <v>191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0hn5WeUfEOSAMhXWqk+ZkYgmJvigC5W2U4lTULetKVExc6OnJduNoJHDvKQQoWv2MeZCSngdCFYbrSZaucrK/Q==" saltValue="BiTGzHC4a37f3XCER/qxd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2021-09-07T12:21:40Z</dcterms:modified>
</cp:coreProperties>
</file>