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Egedal AS (V04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2" i="7"/>
  <c r="C13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3" i="10" s="1"/>
  <c r="C14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3" i="10" s="1"/>
  <c r="E14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<sst xmlns="http://schemas.openxmlformats.org/spreadsheetml/2006/main" count="407" uniqueCount="154">
  <si>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</si>
  <si>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</si>
  <si>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</si>
  <si>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</si>
  <si>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</si>
  <si>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</si>
  <si>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</si>
  <si>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</si>
  <si>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</si>
  <si>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</si>
  <si>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</si>
  <si>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</si>
  <si>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</si>
  <si>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</si>
  <si>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</si>
  <si>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</si>
  <si>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</si>
  <si>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</si>
  <si>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</si>
  <si>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</si>
  <si>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</si>
  <si>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</si>
  <si>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</si>
  <si>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</si>
  <si>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</si>
  <si>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</si>
  <si>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</si>
  <si>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</si>
  <si>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</si>
  <si>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</si>
  <si>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</si>
  <si>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</si>
  <si>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</si>
  <si>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</si>
  <si>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</si>
  <si>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</si>
  <si>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</si>
  <si>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</si>
  <si>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</si>
  <si>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</si>
  <si>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</si>
  <si>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</si>
  <si>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</si>
  <si>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</si>
  <si>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</si>
  <si>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</si>
  <si>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</si>
  <si>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</si>
  <si>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</si>
  <si>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</si>
  <si>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</si>
  <si>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</si>
  <si>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</si>
  <si>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</si>
  <si>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</si>
  <si>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</si>
  <si>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</si>
  <si>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</si>
  <si>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</si>
  <si>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</si>
  <si>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</si>
  <si>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</si>
  <si>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</si>
  <si>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</si>
  <si>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</si>
  <si>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</si>
  <si>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</si>
  <si>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</si>
  <si>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</si>
  <si>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</si>
  <si>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</si>
  <si>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</si>
  <si>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</si>
  <si>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</si>
  <si>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</si>
  <si>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</si>
  <si>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</si>
  <si>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</si>
  <si>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</si>
  <si>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</si>
  <si>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</si>
  <si>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</si>
  <si>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</si>
  <si>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</si>
  <si>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</si>
  <si>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</si>
  <si>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</si>
  <si>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</si>
  <si>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</si>
  <si>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</si>
  <si>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</si>
  <si>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</si>
  <si>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</si>
  <si>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</si>
  <si>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</si>
  <si>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</si>
  <si>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</si>
  <si>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</si>
  <si>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</si>
  <si>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</si>
  <si>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</si>
  <si>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</si>
  <si>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</si>
  <si>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</si>
  <si>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</si>
  <si>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</si>
  <si>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</si>
  <si>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</si>
  <si>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</si>
  <si>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</si>
  <si>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</si>
  <si>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</si>
  <si>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</si>
  <si>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</si>
  <si>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</si>
  <si>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</si>
  <si>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</si>
  <si>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</si>
  <si>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</si>
  <si>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</si>
  <si>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</si>
  <si>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</si>
  <si>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</si>
  <si>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</si>
  <si>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</si>
  <si>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</si>
  <si>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</si>
  <si>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</si>
  <si>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</si>
  <si>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Fjernaflæste målere, pesticider og DMS</t>
  </si>
  <si>
    <t>Udvidelse af forsyningsområdet</t>
  </si>
  <si>
    <t>Ingen tilknyttet virksomhed</t>
  </si>
  <si>
    <t>Ingen engangstillæg</t>
  </si>
  <si>
    <t>Afgift til ledningsført vand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</si>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</sst>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0" fillId="0" borderId="0" xfId="0" applyBorder="1" applyProtection="1"/>
    <xf numFmtId="0" fontId="0" fillId="2" borderId="0" xfId="0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4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5">
      <c r="A8" s="1"/>
      <c r="B8" s="1"/>
      <c r="C8" s="4"/>
      <c r="D8" s="75" t="s">
        <v>94</v>
      </c>
      <c r="E8" s="75"/>
      <c r="F8" s="75"/>
      <c r="G8" s="75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4" t="s">
        <v>5</v>
      </c>
      <c r="E11" s="74"/>
      <c r="F11" s="74"/>
      <c r="G11" s="74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0" t="s">
        <v>87</v>
      </c>
      <c r="E13" s="71"/>
      <c r="F13" s="71"/>
      <c r="G13" s="72"/>
      <c r="H13" s="1"/>
      <c r="I13" s="1"/>
    </row>
    <row r="14" spans="1:9" x14ac:dyDescent="0.45">
      <c r="A14" s="1"/>
      <c r="B14" s="1"/>
      <c r="C14" s="6" t="s">
        <v>15</v>
      </c>
      <c r="D14" s="70" t="s">
        <v>37</v>
      </c>
      <c r="E14" s="71"/>
      <c r="F14" s="71"/>
      <c r="G14" s="72"/>
      <c r="H14" s="1"/>
      <c r="I14" s="1"/>
    </row>
    <row r="15" spans="1:9" x14ac:dyDescent="0.45">
      <c r="A15" s="1"/>
      <c r="B15" s="1"/>
      <c r="C15" s="6" t="s">
        <v>32</v>
      </c>
      <c r="D15" s="70" t="s">
        <v>63</v>
      </c>
      <c r="E15" s="71"/>
      <c r="F15" s="71"/>
      <c r="G15" s="72"/>
      <c r="H15" s="1"/>
      <c r="I15" s="1"/>
    </row>
    <row r="16" spans="1:9" x14ac:dyDescent="0.45">
      <c r="A16" s="1"/>
      <c r="B16" s="1"/>
      <c r="C16" s="6" t="s">
        <v>33</v>
      </c>
      <c r="D16" s="70" t="s">
        <v>95</v>
      </c>
      <c r="E16" s="71"/>
      <c r="F16" s="71"/>
      <c r="G16" s="72"/>
      <c r="H16" s="1"/>
      <c r="I16" s="1"/>
    </row>
    <row r="17" spans="1:9" x14ac:dyDescent="0.45">
      <c r="A17" s="1"/>
      <c r="B17" s="1"/>
      <c r="C17" s="6" t="s">
        <v>59</v>
      </c>
      <c r="D17" s="70" t="s">
        <v>96</v>
      </c>
      <c r="E17" s="71"/>
      <c r="F17" s="71"/>
      <c r="G17" s="72"/>
      <c r="H17" s="1"/>
      <c r="I17" s="1"/>
    </row>
    <row r="18" spans="1:9" x14ac:dyDescent="0.45">
      <c r="A18" s="1"/>
      <c r="B18" s="1"/>
      <c r="C18" s="6" t="s">
        <v>7</v>
      </c>
      <c r="D18" s="67" t="s">
        <v>12</v>
      </c>
      <c r="E18" s="68"/>
      <c r="F18" s="68"/>
      <c r="G18" s="69"/>
      <c r="H18" s="1"/>
      <c r="I18" s="1"/>
    </row>
    <row r="19" spans="1:9" x14ac:dyDescent="0.45">
      <c r="A19" s="1"/>
      <c r="B19" s="1"/>
      <c r="C19" s="6" t="s">
        <v>8</v>
      </c>
      <c r="D19" s="61" t="s">
        <v>97</v>
      </c>
      <c r="E19" s="62"/>
      <c r="F19" s="62"/>
      <c r="G19" s="63"/>
      <c r="H19" s="1"/>
      <c r="I19" s="1"/>
    </row>
    <row r="20" spans="1:9" x14ac:dyDescent="0.45">
      <c r="A20" s="1"/>
      <c r="B20" s="1"/>
      <c r="C20" s="6" t="s">
        <v>56</v>
      </c>
      <c r="D20" s="61" t="s">
        <v>34</v>
      </c>
      <c r="E20" s="62"/>
      <c r="F20" s="62"/>
      <c r="G20" s="63"/>
      <c r="H20" s="1"/>
      <c r="I20" s="1"/>
    </row>
    <row r="21" spans="1:9" x14ac:dyDescent="0.45">
      <c r="A21" s="1"/>
      <c r="B21" s="1"/>
      <c r="C21" s="6" t="s">
        <v>82</v>
      </c>
      <c r="D21" s="61" t="s">
        <v>41</v>
      </c>
      <c r="E21" s="62"/>
      <c r="F21" s="62"/>
      <c r="G21" s="63"/>
      <c r="H21" s="1"/>
      <c r="I21" s="1"/>
    </row>
    <row r="22" spans="1:9" x14ac:dyDescent="0.45">
      <c r="A22" s="1"/>
      <c r="B22" s="1"/>
      <c r="C22" s="6" t="s">
        <v>83</v>
      </c>
      <c r="D22" s="61" t="s">
        <v>42</v>
      </c>
      <c r="E22" s="62"/>
      <c r="F22" s="62"/>
      <c r="G22" s="63"/>
      <c r="H22" s="1"/>
      <c r="I22" s="1"/>
    </row>
    <row r="23" spans="1:9" x14ac:dyDescent="0.45">
      <c r="A23" s="1"/>
      <c r="B23" s="1"/>
      <c r="C23" s="6" t="s">
        <v>84</v>
      </c>
      <c r="D23" s="61" t="s">
        <v>64</v>
      </c>
      <c r="E23" s="62"/>
      <c r="F23" s="62"/>
      <c r="G23" s="63"/>
      <c r="H23" s="1"/>
      <c r="I23" s="1"/>
    </row>
    <row r="24" spans="1:9" x14ac:dyDescent="0.45">
      <c r="A24" s="1"/>
      <c r="B24" s="1"/>
      <c r="C24" s="6" t="s">
        <v>9</v>
      </c>
      <c r="D24" s="61" t="s">
        <v>35</v>
      </c>
      <c r="E24" s="62"/>
      <c r="F24" s="62"/>
      <c r="G24" s="63"/>
      <c r="H24" s="1"/>
      <c r="I24" s="1"/>
    </row>
    <row r="25" spans="1:9" x14ac:dyDescent="0.45">
      <c r="A25" s="1"/>
      <c r="B25" s="1"/>
      <c r="C25" s="6" t="s">
        <v>50</v>
      </c>
      <c r="D25" s="64" t="s">
        <v>57</v>
      </c>
      <c r="E25" s="65"/>
      <c r="F25" s="65"/>
      <c r="G25" s="66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qzrb5kQxxrk3H3tMx1F0VEu6jHTJ2HyzOUJG4ZG17AOUfXj7bgGdtYrbuMd3r8MRMfLUqMr/B97Q0DVnAFZMA==" saltValue="HnWVSXNfd6qu8JPIdxgTRA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89</v>
      </c>
      <c r="C3" s="76"/>
      <c r="D3" s="76"/>
      <c r="E3" s="76"/>
      <c r="F3" s="76"/>
      <c r="G3" s="1"/>
    </row>
    <row r="4" spans="1:7" ht="1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7" t="s">
        <v>38</v>
      </c>
      <c r="C8" s="22"/>
      <c r="D8" s="22"/>
      <c r="E8" s="22"/>
      <c r="F8" s="58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6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37" t="s">
        <v>129</v>
      </c>
      <c r="C11" s="19">
        <v>101738</v>
      </c>
      <c r="D11" s="12" t="s">
        <v>3</v>
      </c>
      <c r="E11" s="8">
        <v>35246</v>
      </c>
      <c r="F11" s="12" t="s">
        <v>3</v>
      </c>
      <c r="G11" s="1"/>
    </row>
    <row r="12" spans="1:7" x14ac:dyDescent="0.45">
      <c r="A12" s="1"/>
      <c r="B12" s="20" t="s">
        <v>130</v>
      </c>
      <c r="C12" s="19">
        <v>47358</v>
      </c>
      <c r="D12" s="12" t="s">
        <v>3</v>
      </c>
      <c r="E12" s="8">
        <v>2803</v>
      </c>
      <c r="F12" s="12" t="s">
        <v>3</v>
      </c>
      <c r="G12" s="1"/>
    </row>
    <row r="13" spans="1:7" x14ac:dyDescent="0.45">
      <c r="A13" s="1"/>
      <c r="B13" s="57" t="s">
        <v>69</v>
      </c>
      <c r="C13" s="10">
        <f>SUM(C10:C12)</f>
        <v>149096</v>
      </c>
      <c r="D13" s="11" t="s">
        <v>3</v>
      </c>
      <c r="E13" s="10">
        <f>SUM(E10:E12)</f>
        <v>38049</v>
      </c>
      <c r="F13" s="11" t="s">
        <v>3</v>
      </c>
      <c r="G13" s="1"/>
    </row>
    <row r="14" spans="1:7" x14ac:dyDescent="0.45">
      <c r="A14" s="1"/>
      <c r="B14" s="57" t="s">
        <v>110</v>
      </c>
      <c r="C14" s="10">
        <f>C13*(1+'Fane 10. Nøgletal'!C14)</f>
        <v>149588.01680000001</v>
      </c>
      <c r="D14" s="11" t="s">
        <v>3</v>
      </c>
      <c r="E14" s="10">
        <f>E13*(1+'Fane 10. Nøgletal'!C14)</f>
        <v>38174.561700000006</v>
      </c>
      <c r="F14" s="11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T8OcB89D20Qi6xSyfyXou22NYODColWV5Y55E5l4NlSZVSUwcWA4Hmf74RNN1TFdaCou94JzvpzR5KjDHL1wdQ==" saltValue="A7IHTekBezE28P5WkDC5jQ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90</v>
      </c>
      <c r="C3" s="76"/>
      <c r="D3" s="76"/>
      <c r="E3" s="76"/>
      <c r="F3" s="76"/>
      <c r="G3" s="1"/>
    </row>
    <row r="4" spans="1:7" ht="1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1" t="s">
        <v>51</v>
      </c>
      <c r="C8" s="92"/>
      <c r="D8" s="92"/>
      <c r="E8" s="92"/>
      <c r="F8" s="93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6"/>
      <c r="G9" s="1"/>
    </row>
    <row r="10" spans="1:7" x14ac:dyDescent="0.45">
      <c r="A10" s="1"/>
      <c r="B10" s="20" t="s">
        <v>132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7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7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1" t="s">
        <v>52</v>
      </c>
      <c r="C15" s="92"/>
      <c r="D15" s="92"/>
      <c r="E15" s="92"/>
      <c r="F15" s="93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6"/>
      <c r="G16" s="1"/>
    </row>
    <row r="17" spans="1:7" x14ac:dyDescent="0.45">
      <c r="A17" s="1"/>
      <c r="B17" s="20" t="s">
        <v>132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7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7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1" t="s">
        <v>77</v>
      </c>
      <c r="C22" s="92"/>
      <c r="D22" s="92"/>
      <c r="E22" s="92"/>
      <c r="F22" s="93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6"/>
      <c r="G23" s="1"/>
    </row>
    <row r="24" spans="1:7" x14ac:dyDescent="0.45">
      <c r="A24" s="1"/>
      <c r="B24" s="20" t="s">
        <v>132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7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7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1" t="s">
        <v>112</v>
      </c>
      <c r="C29" s="92"/>
      <c r="D29" s="92"/>
      <c r="E29" s="92"/>
      <c r="F29" s="93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6"/>
      <c r="G30" s="1"/>
    </row>
    <row r="31" spans="1:7" x14ac:dyDescent="0.45">
      <c r="A31" s="1"/>
      <c r="B31" s="20" t="s">
        <v>132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7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7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C3bXGD7th05DSANKYPjMsj+3S1OQOL1/FRD/KF6FSCnlBEh+9sxlsMlmFifrLfNjwUAk/axAmFn8Y5xt3KXPdQ==" saltValue="U2EWt3SCpGXjs8lc2uLg8A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91</v>
      </c>
      <c r="C3" s="78"/>
      <c r="D3" s="78"/>
      <c r="E3" s="78"/>
      <c r="F3" s="78"/>
      <c r="G3" s="1"/>
    </row>
    <row r="4" spans="1:7" ht="25.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1" t="s">
        <v>71</v>
      </c>
      <c r="C8" s="92"/>
      <c r="D8" s="92"/>
      <c r="E8" s="92"/>
      <c r="F8" s="93"/>
      <c r="G8" s="1"/>
    </row>
    <row r="9" spans="1:7" ht="15" customHeight="1" x14ac:dyDescent="0.45">
      <c r="A9" s="1"/>
      <c r="B9" s="55" t="s">
        <v>78</v>
      </c>
      <c r="C9" s="107" t="s">
        <v>11</v>
      </c>
      <c r="D9" s="108"/>
      <c r="E9" s="107" t="s">
        <v>28</v>
      </c>
      <c r="F9" s="108"/>
      <c r="G9" s="1"/>
    </row>
    <row r="10" spans="1:7" x14ac:dyDescent="0.45">
      <c r="A10" s="1"/>
      <c r="B10" s="20" t="s">
        <v>131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aDFJ3nIGqNbt2Q+7RNFCrne/stzEFVxDZyznvqC8X3/jhKm2++Nbb6EMpyR/nitqSWC6dnerqYy4uamV7UfFfw==" saltValue="kGxfneQS2ts23GuDw1FyYw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92</v>
      </c>
      <c r="C3" s="78"/>
      <c r="D3" s="78"/>
      <c r="E3" s="78"/>
      <c r="F3" s="78"/>
      <c r="G3" s="1"/>
    </row>
    <row r="4" spans="1:7" ht="25.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1" t="s">
        <v>48</v>
      </c>
      <c r="C8" s="92"/>
      <c r="D8" s="92"/>
      <c r="E8" s="92"/>
      <c r="F8" s="93"/>
      <c r="G8" s="1"/>
    </row>
    <row r="9" spans="1:7" ht="15" customHeight="1" x14ac:dyDescent="0.45">
      <c r="A9" s="1"/>
      <c r="B9" s="55" t="s">
        <v>17</v>
      </c>
      <c r="C9" s="55" t="s">
        <v>11</v>
      </c>
      <c r="D9" s="56"/>
      <c r="E9" s="55" t="s">
        <v>28</v>
      </c>
      <c r="F9" s="56"/>
      <c r="G9" s="1"/>
    </row>
    <row r="10" spans="1:7" x14ac:dyDescent="0.45">
      <c r="A10" s="1"/>
      <c r="B10" s="20" t="s">
        <v>135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7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7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1" t="s">
        <v>49</v>
      </c>
      <c r="C14" s="92"/>
      <c r="D14" s="92"/>
      <c r="E14" s="92"/>
      <c r="F14" s="93"/>
      <c r="G14" s="1"/>
    </row>
    <row r="15" spans="1:7" x14ac:dyDescent="0.45">
      <c r="A15" s="1"/>
      <c r="B15" s="55" t="s">
        <v>17</v>
      </c>
      <c r="C15" s="55" t="s">
        <v>11</v>
      </c>
      <c r="D15" s="56"/>
      <c r="E15" s="55" t="s">
        <v>28</v>
      </c>
      <c r="F15" s="56"/>
      <c r="G15" s="1"/>
    </row>
    <row r="16" spans="1:7" x14ac:dyDescent="0.45">
      <c r="A16" s="1"/>
      <c r="B16" s="20" t="s">
        <v>135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7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7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1" t="s">
        <v>73</v>
      </c>
      <c r="C20" s="92"/>
      <c r="D20" s="92"/>
      <c r="E20" s="92"/>
      <c r="F20" s="93"/>
      <c r="G20" s="1"/>
    </row>
    <row r="21" spans="1:7" x14ac:dyDescent="0.45">
      <c r="A21" s="1"/>
      <c r="B21" s="55" t="s">
        <v>17</v>
      </c>
      <c r="C21" s="55" t="s">
        <v>11</v>
      </c>
      <c r="D21" s="56"/>
      <c r="E21" s="55" t="s">
        <v>28</v>
      </c>
      <c r="F21" s="56"/>
      <c r="G21" s="1"/>
    </row>
    <row r="22" spans="1:7" x14ac:dyDescent="0.45">
      <c r="A22" s="1"/>
      <c r="B22" s="20" t="s">
        <v>135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7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7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1" t="s">
        <v>116</v>
      </c>
      <c r="C26" s="92"/>
      <c r="D26" s="92"/>
      <c r="E26" s="92"/>
      <c r="F26" s="93"/>
      <c r="G26" s="1"/>
    </row>
    <row r="27" spans="1:7" x14ac:dyDescent="0.45">
      <c r="A27" s="1"/>
      <c r="B27" s="55" t="s">
        <v>17</v>
      </c>
      <c r="C27" s="55" t="s">
        <v>11</v>
      </c>
      <c r="D27" s="56"/>
      <c r="E27" s="55" t="s">
        <v>28</v>
      </c>
      <c r="F27" s="56"/>
      <c r="G27" s="1"/>
    </row>
    <row r="28" spans="1:7" x14ac:dyDescent="0.45">
      <c r="A28" s="1"/>
      <c r="B28" s="20" t="s">
        <v>135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7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7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S5ij34ealC3HqVX4wHIDGGoQhPxFPQdFDVtV/NI6xcP9TRbTWMAcanz4KucFcWZDTbp6/Y3QNZwe0SYZx+TtLw==" saltValue="SlUQTfgQGBD5OhjqG/6JC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8" t="s">
        <v>93</v>
      </c>
      <c r="C3" s="78"/>
      <c r="D3" s="1"/>
    </row>
    <row r="4" spans="1:4" ht="25.5" customHeight="1" x14ac:dyDescent="0.45">
      <c r="A4" s="1"/>
      <c r="B4" s="78"/>
      <c r="C4" s="78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7" t="s">
        <v>14</v>
      </c>
      <c r="C8" s="58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7"/>
      <c r="C15" s="58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7" t="s">
        <v>54</v>
      </c>
      <c r="C18" s="58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9"/>
      <c r="C20" s="110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Lg4qh2q8suQLGNq66Uper+zTxJNRw7vSxSOAGBhpmjswfDSkkKOeIEppJiy5QC8aLIY63XiKyt0dOPMAz9F3BA==" saltValue="96kbjBVbiBTNOyUxdzDb/A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98</v>
      </c>
      <c r="C3" s="76"/>
      <c r="D3" s="76"/>
      <c r="E3" s="76"/>
      <c r="F3" s="76"/>
      <c r="G3" s="1"/>
    </row>
    <row r="4" spans="1:7" ht="1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13</v>
      </c>
      <c r="C8" s="43"/>
      <c r="D8" s="43"/>
      <c r="E8" s="43"/>
      <c r="F8" s="43"/>
      <c r="G8" s="1"/>
    </row>
    <row r="9" spans="1:7" x14ac:dyDescent="0.45">
      <c r="A9" s="1"/>
      <c r="B9" s="40" t="s">
        <v>24</v>
      </c>
      <c r="C9" s="40"/>
      <c r="D9" s="40"/>
      <c r="E9" s="7">
        <f>'Fane 3. Omkostninger i ØR2021'!E16</f>
        <v>8971345.050995769</v>
      </c>
      <c r="F9" s="40" t="s">
        <v>3</v>
      </c>
      <c r="G9" s="1"/>
    </row>
    <row r="10" spans="1:7" ht="17.100000000000001" customHeight="1" x14ac:dyDescent="0.45">
      <c r="A10" s="1"/>
      <c r="B10" s="33" t="s">
        <v>121</v>
      </c>
      <c r="C10" s="40"/>
      <c r="D10" s="40"/>
      <c r="E10" s="7">
        <f>'Fane 3. Omkostninger i ØR2021'!E13*(1-'Fane 10. Nøgletal'!C19)*(1+'Fane 10. Nøgletal'!C13)</f>
        <v>0</v>
      </c>
      <c r="F10" s="40" t="s">
        <v>3</v>
      </c>
      <c r="G10" s="1"/>
    </row>
    <row r="11" spans="1:7" ht="17.100000000000001" customHeight="1" x14ac:dyDescent="0.45">
      <c r="A11" s="1"/>
      <c r="B11" s="29" t="s">
        <v>60</v>
      </c>
      <c r="C11" s="40"/>
      <c r="D11" s="40"/>
      <c r="E11" s="7">
        <f>'Fane 7.1. Varige tillæg'!C14+'Fane 7.1. Varige tillæg'!E14</f>
        <v>187762.5785</v>
      </c>
      <c r="F11" s="40" t="s">
        <v>3</v>
      </c>
      <c r="G11" s="1"/>
    </row>
    <row r="12" spans="1:7" ht="17.100000000000001" customHeight="1" x14ac:dyDescent="0.45">
      <c r="A12" s="1"/>
      <c r="B12" s="29" t="s">
        <v>62</v>
      </c>
      <c r="C12" s="40"/>
      <c r="D12" s="40"/>
      <c r="E12" s="8">
        <f>-('Fane 9. Bortfald'!C12+'Fane 9. Bortfald'!E12)</f>
        <v>0</v>
      </c>
      <c r="F12" s="40" t="s">
        <v>3</v>
      </c>
      <c r="G12" s="1"/>
    </row>
    <row r="13" spans="1:7" ht="17.100000000000001" customHeight="1" x14ac:dyDescent="0.45">
      <c r="A13" s="1"/>
      <c r="B13" s="29" t="s">
        <v>65</v>
      </c>
      <c r="C13" s="40"/>
      <c r="D13" s="40"/>
      <c r="E13" s="8">
        <f>'Fane 8. Tilknyttet virksomhed'!C12+'Fane 8. Tilknyttet virksomhed'!E12</f>
        <v>0</v>
      </c>
      <c r="F13" s="40" t="s">
        <v>3</v>
      </c>
      <c r="G13" s="1"/>
    </row>
    <row r="14" spans="1:7" ht="17.100000000000001" customHeight="1" x14ac:dyDescent="0.45">
      <c r="A14" s="1"/>
      <c r="B14" s="29" t="s">
        <v>18</v>
      </c>
      <c r="C14" s="40"/>
      <c r="D14" s="40"/>
      <c r="E14" s="8">
        <f>E9*'Fane 10. Nøgletal'!C13+SUM(E11:E13)*'Fane 10. Nøgletal'!C14</f>
        <v>110070.02613119839</v>
      </c>
      <c r="F14" s="40" t="s">
        <v>3</v>
      </c>
      <c r="G14" s="1"/>
    </row>
    <row r="15" spans="1:7" ht="17.100000000000001" customHeight="1" x14ac:dyDescent="0.45">
      <c r="A15" s="1"/>
      <c r="B15" s="29" t="s">
        <v>54</v>
      </c>
      <c r="C15" s="40"/>
      <c r="D15" s="40"/>
      <c r="E15" s="8">
        <f>-SUM(E9,E11:E14)*'Fane 10. Nøgletal'!C19</f>
        <v>-157576.02014565846</v>
      </c>
      <c r="F15" s="40" t="s">
        <v>3</v>
      </c>
      <c r="G15" s="1"/>
    </row>
    <row r="16" spans="1:7" ht="15" customHeight="1" x14ac:dyDescent="0.45">
      <c r="A16" s="1"/>
      <c r="B16" s="54" t="s">
        <v>20</v>
      </c>
      <c r="C16" s="42"/>
      <c r="D16" s="42"/>
      <c r="E16" s="9">
        <f>SUM(E9,E11:E15)</f>
        <v>9111601.6354813091</v>
      </c>
      <c r="F16" s="44" t="s">
        <v>3</v>
      </c>
      <c r="G16" s="1"/>
    </row>
    <row r="17" spans="1:7" ht="15" customHeight="1" x14ac:dyDescent="0.45">
      <c r="A17" s="1"/>
      <c r="B17" s="43" t="s">
        <v>12</v>
      </c>
      <c r="C17" s="43"/>
      <c r="D17" s="43"/>
      <c r="E17" s="43"/>
      <c r="F17" s="43"/>
      <c r="G17" s="1"/>
    </row>
    <row r="18" spans="1:7" ht="15" customHeight="1" x14ac:dyDescent="0.45">
      <c r="A18" s="1"/>
      <c r="B18" s="44" t="s">
        <v>12</v>
      </c>
      <c r="C18" s="44"/>
      <c r="D18" s="44"/>
      <c r="E18" s="9">
        <f>'Fane 4. Ikke-påvirkelige omk.'!C13</f>
        <v>3799537.3596197604</v>
      </c>
      <c r="F18" s="44" t="s">
        <v>3</v>
      </c>
      <c r="G18" s="1"/>
    </row>
    <row r="19" spans="1:7" ht="15" customHeight="1" x14ac:dyDescent="0.45">
      <c r="A19" s="1"/>
      <c r="B19" s="43" t="s">
        <v>42</v>
      </c>
      <c r="C19" s="43"/>
      <c r="D19" s="43"/>
      <c r="E19" s="43"/>
      <c r="F19" s="43"/>
      <c r="G19" s="1"/>
    </row>
    <row r="20" spans="1:7" ht="15" customHeight="1" x14ac:dyDescent="0.45">
      <c r="A20" s="1"/>
      <c r="B20" s="29" t="s">
        <v>39</v>
      </c>
      <c r="C20" s="40"/>
      <c r="D20" s="40"/>
      <c r="E20" s="8">
        <f>'Fane 7.2. Engangstillæg'!C13</f>
        <v>0</v>
      </c>
      <c r="F20" s="40" t="s">
        <v>3</v>
      </c>
      <c r="G20" s="1"/>
    </row>
    <row r="21" spans="1:7" x14ac:dyDescent="0.45">
      <c r="A21" s="1"/>
      <c r="B21" s="29" t="s">
        <v>40</v>
      </c>
      <c r="C21" s="40"/>
      <c r="D21" s="40"/>
      <c r="E21" s="8">
        <f>'Fane 7.2. Engangstillæg'!E13</f>
        <v>0</v>
      </c>
      <c r="F21" s="40" t="s">
        <v>3</v>
      </c>
      <c r="G21" s="1"/>
    </row>
    <row r="22" spans="1:7" ht="15" customHeight="1" x14ac:dyDescent="0.45">
      <c r="A22" s="1"/>
      <c r="B22" s="54" t="s">
        <v>43</v>
      </c>
      <c r="C22" s="42"/>
      <c r="D22" s="42"/>
      <c r="E22" s="9">
        <f>SUM(E20:E21)</f>
        <v>0</v>
      </c>
      <c r="F22" s="44" t="s">
        <v>3</v>
      </c>
      <c r="G22" s="1"/>
    </row>
    <row r="23" spans="1:7" x14ac:dyDescent="0.45">
      <c r="A23" s="1"/>
      <c r="B23" s="43" t="s">
        <v>85</v>
      </c>
      <c r="C23" s="43"/>
      <c r="D23" s="43"/>
      <c r="E23" s="43"/>
      <c r="F23" s="43"/>
      <c r="G23" s="1"/>
    </row>
    <row r="24" spans="1:7" x14ac:dyDescent="0.45">
      <c r="A24" s="1"/>
      <c r="B24" s="54" t="s">
        <v>31</v>
      </c>
      <c r="C24" s="42"/>
      <c r="D24" s="42"/>
      <c r="E24" s="9">
        <v>-92916.761270209769</v>
      </c>
      <c r="F24" s="44" t="s">
        <v>3</v>
      </c>
      <c r="G24" s="1"/>
    </row>
    <row r="25" spans="1:7" x14ac:dyDescent="0.45">
      <c r="A25" s="1"/>
      <c r="B25" s="54" t="s">
        <v>86</v>
      </c>
      <c r="C25" s="42"/>
      <c r="D25" s="42"/>
      <c r="E25" s="9">
        <f>'Fane 5. Kontrol af ØR2020'!E29</f>
        <v>0</v>
      </c>
      <c r="F25" s="44" t="s">
        <v>3</v>
      </c>
      <c r="G25" s="1"/>
    </row>
    <row r="26" spans="1:7" x14ac:dyDescent="0.45">
      <c r="A26" s="1"/>
      <c r="B26" s="43" t="s">
        <v>149</v>
      </c>
      <c r="C26" s="43"/>
      <c r="D26" s="43"/>
      <c r="E26" s="43"/>
      <c r="F26" s="43"/>
      <c r="G26" s="1"/>
    </row>
    <row r="27" spans="1:7" x14ac:dyDescent="0.45">
      <c r="A27" s="1"/>
      <c r="B27" s="44" t="s">
        <v>150</v>
      </c>
      <c r="C27" s="44"/>
      <c r="D27" s="44"/>
      <c r="E27" s="9">
        <v>0</v>
      </c>
      <c r="F27" s="44" t="s">
        <v>3</v>
      </c>
      <c r="G27" s="1"/>
    </row>
    <row r="28" spans="1:7" x14ac:dyDescent="0.45">
      <c r="A28" s="1"/>
      <c r="B28" s="43" t="s">
        <v>26</v>
      </c>
      <c r="C28" s="43"/>
      <c r="D28" s="43"/>
      <c r="E28" s="10">
        <f>SUM(E16,E18,E22,E24,E25,E27)</f>
        <v>12818222.23383086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JTL7y1wT6yIqIs//1E5sCcmS2Lm82uJxurt+je48lNWLRPaag88An6s2qZR60B7OmWRb3o2/ll1+SnhVBJuC0Q==" saltValue="kL2rP6NDLNm8lI7lQsWEX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99</v>
      </c>
      <c r="C3" s="76"/>
      <c r="D3" s="76"/>
      <c r="E3" s="76"/>
      <c r="F3" s="76"/>
      <c r="G3" s="1"/>
    </row>
    <row r="4" spans="1:7" ht="1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77" t="s">
        <v>101</v>
      </c>
      <c r="C5" s="77"/>
      <c r="D5" s="77"/>
      <c r="E5" s="77"/>
      <c r="F5" s="77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13</v>
      </c>
      <c r="C8" s="43"/>
      <c r="D8" s="43"/>
      <c r="E8" s="43"/>
      <c r="F8" s="43"/>
      <c r="G8" s="1"/>
    </row>
    <row r="9" spans="1:7" ht="15" customHeight="1" x14ac:dyDescent="0.45">
      <c r="A9" s="1"/>
      <c r="B9" s="40" t="s">
        <v>66</v>
      </c>
      <c r="C9" s="40"/>
      <c r="D9" s="40"/>
      <c r="E9" s="7">
        <f>'Fane 2.1. Økonomisk ramme 2022'!E16</f>
        <v>9111601.6354813091</v>
      </c>
      <c r="F9" s="40" t="s">
        <v>3</v>
      </c>
      <c r="G9" s="1"/>
    </row>
    <row r="10" spans="1:7" ht="15" customHeight="1" x14ac:dyDescent="0.45">
      <c r="A10" s="1"/>
      <c r="B10" s="29" t="s">
        <v>62</v>
      </c>
      <c r="C10" s="40"/>
      <c r="D10" s="40"/>
      <c r="E10" s="7">
        <f>-('Fane 9. Bortfald'!C18+'Fane 9. Bortfald'!E18)</f>
        <v>0</v>
      </c>
      <c r="F10" s="40" t="s">
        <v>3</v>
      </c>
      <c r="G10" s="1"/>
    </row>
    <row r="11" spans="1:7" ht="15" customHeight="1" x14ac:dyDescent="0.45">
      <c r="A11" s="1"/>
      <c r="B11" s="41" t="s">
        <v>18</v>
      </c>
      <c r="C11" s="40"/>
      <c r="D11" s="40"/>
      <c r="E11" s="8">
        <f>SUM(E9:E10)*'Fane 10. Nøgletal'!C14</f>
        <v>30068.285397088319</v>
      </c>
      <c r="F11" s="40" t="s">
        <v>3</v>
      </c>
      <c r="G11" s="1"/>
    </row>
    <row r="12" spans="1:7" ht="15" customHeight="1" x14ac:dyDescent="0.45">
      <c r="A12" s="1"/>
      <c r="B12" s="41" t="s">
        <v>54</v>
      </c>
      <c r="C12" s="40"/>
      <c r="D12" s="40"/>
      <c r="E12" s="8">
        <f>-SUM(E9:E11)*'Fane 10. Nøgletal'!C19</f>
        <v>-155408.38865493276</v>
      </c>
      <c r="F12" s="40" t="s">
        <v>3</v>
      </c>
      <c r="G12" s="1"/>
    </row>
    <row r="13" spans="1:7" ht="15" customHeight="1" x14ac:dyDescent="0.45">
      <c r="A13" s="1"/>
      <c r="B13" s="42" t="s">
        <v>20</v>
      </c>
      <c r="C13" s="42"/>
      <c r="D13" s="42"/>
      <c r="E13" s="9">
        <f>SUM(E9:E12)</f>
        <v>8986261.5322234649</v>
      </c>
      <c r="F13" s="44" t="s">
        <v>3</v>
      </c>
      <c r="G13" s="1"/>
    </row>
    <row r="14" spans="1:7" x14ac:dyDescent="0.45">
      <c r="A14" s="1"/>
      <c r="B14" s="43" t="s">
        <v>12</v>
      </c>
      <c r="C14" s="43"/>
      <c r="D14" s="43"/>
      <c r="E14" s="43"/>
      <c r="F14" s="43"/>
      <c r="G14" s="1"/>
    </row>
    <row r="15" spans="1:7" ht="15" customHeight="1" x14ac:dyDescent="0.45">
      <c r="A15" s="1"/>
      <c r="B15" s="44" t="s">
        <v>12</v>
      </c>
      <c r="C15" s="44"/>
      <c r="D15" s="44"/>
      <c r="E15" s="9">
        <f>'Fane 4. Ikke-påvirkelige omk.'!C13*(1+'Fane 10. Nøgletal'!C14)</f>
        <v>3812075.832906506</v>
      </c>
      <c r="F15" s="44" t="s">
        <v>3</v>
      </c>
      <c r="G15" s="1"/>
    </row>
    <row r="16" spans="1:7" ht="15" customHeight="1" x14ac:dyDescent="0.45">
      <c r="A16" s="1"/>
      <c r="B16" s="43" t="s">
        <v>42</v>
      </c>
      <c r="C16" s="43"/>
      <c r="D16" s="43"/>
      <c r="E16" s="43"/>
      <c r="F16" s="43"/>
      <c r="G16" s="1"/>
    </row>
    <row r="17" spans="1:7" ht="15" customHeight="1" x14ac:dyDescent="0.45">
      <c r="A17" s="1"/>
      <c r="B17" s="29" t="s">
        <v>39</v>
      </c>
      <c r="C17" s="40"/>
      <c r="D17" s="40"/>
      <c r="E17" s="8">
        <f>'Fane 7.2. Engangstillæg'!C20</f>
        <v>0</v>
      </c>
      <c r="F17" s="40" t="s">
        <v>3</v>
      </c>
      <c r="G17" s="1"/>
    </row>
    <row r="18" spans="1:7" ht="15" customHeight="1" x14ac:dyDescent="0.45">
      <c r="A18" s="1"/>
      <c r="B18" s="29" t="s">
        <v>40</v>
      </c>
      <c r="C18" s="40"/>
      <c r="D18" s="40"/>
      <c r="E18" s="8">
        <f>'Fane 7.2. Engangstillæg'!E20</f>
        <v>0</v>
      </c>
      <c r="F18" s="40" t="s">
        <v>3</v>
      </c>
      <c r="G18" s="1"/>
    </row>
    <row r="19" spans="1:7" ht="15" customHeight="1" x14ac:dyDescent="0.45">
      <c r="A19" s="1"/>
      <c r="B19" s="54" t="s">
        <v>43</v>
      </c>
      <c r="C19" s="42"/>
      <c r="D19" s="42"/>
      <c r="E19" s="9">
        <f>SUM(E17:E18)</f>
        <v>0</v>
      </c>
      <c r="F19" s="44" t="s">
        <v>3</v>
      </c>
      <c r="G19" s="1"/>
    </row>
    <row r="20" spans="1:7" x14ac:dyDescent="0.45">
      <c r="A20" s="1"/>
      <c r="B20" s="43" t="s">
        <v>85</v>
      </c>
      <c r="C20" s="43"/>
      <c r="D20" s="43"/>
      <c r="E20" s="43"/>
      <c r="F20" s="43"/>
      <c r="G20" s="1"/>
    </row>
    <row r="21" spans="1:7" x14ac:dyDescent="0.45">
      <c r="A21" s="1"/>
      <c r="B21" s="44" t="s">
        <v>151</v>
      </c>
      <c r="C21" s="44"/>
      <c r="D21" s="44"/>
      <c r="E21" s="9">
        <f>'Fane 5. Kontrol af ØR2020'!E35</f>
        <v>-29236.839014517143</v>
      </c>
      <c r="F21" s="44" t="s">
        <v>3</v>
      </c>
      <c r="G21" s="1"/>
    </row>
    <row r="22" spans="1:7" x14ac:dyDescent="0.45">
      <c r="A22" s="1"/>
      <c r="B22" s="43" t="s">
        <v>47</v>
      </c>
      <c r="C22" s="43"/>
      <c r="D22" s="43"/>
      <c r="E22" s="10">
        <f>SUM(E13,E15,E19,E21)</f>
        <v>12769100.526115453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Fz042QY4LM6VWVJ6T0qzihYPmeEMbyIdNI2oL2Q8+eXVvVe9UYABx195FnhZN286Ahx8cqHanUrybZ4z4pHIVA==" saltValue="RyW5Kpig6O94Igbs9Y3xG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100</v>
      </c>
      <c r="C3" s="76"/>
      <c r="D3" s="76"/>
      <c r="E3" s="76"/>
      <c r="F3" s="76"/>
      <c r="G3" s="1"/>
    </row>
    <row r="4" spans="1:7" ht="1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77" t="s">
        <v>21</v>
      </c>
      <c r="C5" s="77"/>
      <c r="D5" s="77"/>
      <c r="E5" s="77"/>
      <c r="F5" s="77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3" t="s">
        <v>13</v>
      </c>
      <c r="C7" s="43"/>
      <c r="D7" s="43"/>
      <c r="E7" s="43"/>
      <c r="F7" s="43"/>
      <c r="G7" s="1"/>
    </row>
    <row r="8" spans="1:7" ht="15" customHeight="1" x14ac:dyDescent="0.45">
      <c r="A8" s="1"/>
      <c r="B8" s="40" t="s">
        <v>67</v>
      </c>
      <c r="C8" s="40"/>
      <c r="D8" s="40"/>
      <c r="E8" s="7">
        <f>'Fane 2.2. Økonomisk ramme 2023'!E13</f>
        <v>8986261.5322234649</v>
      </c>
      <c r="F8" s="40" t="s">
        <v>3</v>
      </c>
      <c r="G8" s="1"/>
    </row>
    <row r="9" spans="1:7" ht="15" customHeight="1" x14ac:dyDescent="0.45">
      <c r="A9" s="1"/>
      <c r="B9" s="40" t="s">
        <v>62</v>
      </c>
      <c r="C9" s="40"/>
      <c r="D9" s="40"/>
      <c r="E9" s="7">
        <f>-('Fane 9. Bortfald'!C24+'Fane 9. Bortfald'!E24)</f>
        <v>0</v>
      </c>
      <c r="F9" s="40" t="s">
        <v>3</v>
      </c>
      <c r="G9" s="1"/>
    </row>
    <row r="10" spans="1:7" ht="15" customHeight="1" x14ac:dyDescent="0.45">
      <c r="A10" s="1"/>
      <c r="B10" s="41" t="s">
        <v>18</v>
      </c>
      <c r="C10" s="40"/>
      <c r="D10" s="40"/>
      <c r="E10" s="8">
        <f>SUM(E8:E9)*'Fane 10. Nøgletal'!C14</f>
        <v>29654.663056337435</v>
      </c>
      <c r="F10" s="40" t="s">
        <v>3</v>
      </c>
      <c r="G10" s="1"/>
    </row>
    <row r="11" spans="1:7" ht="15" customHeight="1" x14ac:dyDescent="0.45">
      <c r="A11" s="1"/>
      <c r="B11" s="41" t="s">
        <v>54</v>
      </c>
      <c r="C11" s="40"/>
      <c r="D11" s="40"/>
      <c r="E11" s="8">
        <f>-SUM(E8:E10)*'Fane 10. Nøgletal'!C19</f>
        <v>-153270.57531975667</v>
      </c>
      <c r="F11" s="40" t="s">
        <v>3</v>
      </c>
      <c r="G11" s="1"/>
    </row>
    <row r="12" spans="1:7" x14ac:dyDescent="0.45">
      <c r="A12" s="1"/>
      <c r="B12" s="42" t="s">
        <v>20</v>
      </c>
      <c r="C12" s="42"/>
      <c r="D12" s="42"/>
      <c r="E12" s="9">
        <f>SUM(E8:E11)</f>
        <v>8862645.6199600473</v>
      </c>
      <c r="F12" s="44" t="s">
        <v>3</v>
      </c>
      <c r="G12" s="1"/>
    </row>
    <row r="13" spans="1:7" x14ac:dyDescent="0.45">
      <c r="A13" s="1"/>
      <c r="B13" s="43" t="s">
        <v>12</v>
      </c>
      <c r="C13" s="43"/>
      <c r="D13" s="43"/>
      <c r="E13" s="43"/>
      <c r="F13" s="43"/>
      <c r="G13" s="1"/>
    </row>
    <row r="14" spans="1:7" ht="15" customHeight="1" x14ac:dyDescent="0.45">
      <c r="A14" s="1"/>
      <c r="B14" s="44" t="s">
        <v>12</v>
      </c>
      <c r="C14" s="44"/>
      <c r="D14" s="44"/>
      <c r="E14" s="9">
        <f>'Fane 4. Ikke-påvirkelige omk.'!C13*(1+'Fane 10. Nøgletal'!C14)^2</f>
        <v>3824655.6831550975</v>
      </c>
      <c r="F14" s="44" t="s">
        <v>3</v>
      </c>
      <c r="G14" s="1"/>
    </row>
    <row r="15" spans="1:7" ht="15" customHeight="1" x14ac:dyDescent="0.45">
      <c r="A15" s="1"/>
      <c r="B15" s="43" t="s">
        <v>42</v>
      </c>
      <c r="C15" s="43"/>
      <c r="D15" s="43"/>
      <c r="E15" s="43"/>
      <c r="F15" s="43"/>
      <c r="G15" s="1"/>
    </row>
    <row r="16" spans="1:7" ht="15" customHeight="1" x14ac:dyDescent="0.45">
      <c r="A16" s="1"/>
      <c r="B16" s="29" t="s">
        <v>39</v>
      </c>
      <c r="C16" s="40"/>
      <c r="D16" s="40"/>
      <c r="E16" s="8">
        <f>'Fane 7.2. Engangstillæg'!C27</f>
        <v>0</v>
      </c>
      <c r="F16" s="40" t="s">
        <v>3</v>
      </c>
      <c r="G16" s="1"/>
    </row>
    <row r="17" spans="1:7" ht="15" customHeight="1" x14ac:dyDescent="0.45">
      <c r="A17" s="1"/>
      <c r="B17" s="29" t="s">
        <v>40</v>
      </c>
      <c r="C17" s="40"/>
      <c r="D17" s="40"/>
      <c r="E17" s="8">
        <f>'Fane 7.2. Engangstillæg'!E27</f>
        <v>0</v>
      </c>
      <c r="F17" s="40" t="s">
        <v>3</v>
      </c>
      <c r="G17" s="1"/>
    </row>
    <row r="18" spans="1:7" ht="15" customHeight="1" x14ac:dyDescent="0.45">
      <c r="A18" s="1"/>
      <c r="B18" s="54" t="s">
        <v>43</v>
      </c>
      <c r="C18" s="42"/>
      <c r="D18" s="42"/>
      <c r="E18" s="9">
        <f>SUM(E16:E17)</f>
        <v>0</v>
      </c>
      <c r="F18" s="44" t="s">
        <v>3</v>
      </c>
      <c r="G18" s="1"/>
    </row>
    <row r="19" spans="1:7" ht="15" customHeight="1" x14ac:dyDescent="0.45">
      <c r="A19" s="1"/>
      <c r="B19" s="43" t="s">
        <v>85</v>
      </c>
      <c r="C19" s="43"/>
      <c r="D19" s="43"/>
      <c r="E19" s="43"/>
      <c r="F19" s="43"/>
      <c r="G19" s="1"/>
    </row>
    <row r="20" spans="1:7" ht="15" customHeight="1" x14ac:dyDescent="0.45">
      <c r="A20" s="1"/>
      <c r="B20" s="44" t="s">
        <v>86</v>
      </c>
      <c r="C20" s="44"/>
      <c r="D20" s="44"/>
      <c r="E20" s="9">
        <f>'Fane 5. Kontrol af ØR2020'!E35</f>
        <v>-29236.839014517143</v>
      </c>
      <c r="F20" s="44" t="s">
        <v>3</v>
      </c>
      <c r="G20" s="1"/>
    </row>
    <row r="21" spans="1:7" x14ac:dyDescent="0.45">
      <c r="A21" s="1"/>
      <c r="B21" s="43" t="s">
        <v>68</v>
      </c>
      <c r="C21" s="43"/>
      <c r="D21" s="43"/>
      <c r="E21" s="10">
        <f>SUM(E12,E14,E18,E20)</f>
        <v>12658064.464100627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+Wo7BcwYlougbqoYwCJIQNtSiCh6vZgU2bKpwIUiev+fmL15yf0JiLM81kF7SmCRn7N7dL5r+kCgIPoMeebJZw==" saltValue="PVQMl9SOvhYhtjJZuzv+q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102</v>
      </c>
      <c r="C3" s="76"/>
      <c r="D3" s="76"/>
      <c r="E3" s="76"/>
      <c r="F3" s="76"/>
      <c r="G3" s="1"/>
    </row>
    <row r="4" spans="1:7" ht="1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77" t="s">
        <v>21</v>
      </c>
      <c r="C5" s="77"/>
      <c r="D5" s="77"/>
      <c r="E5" s="77"/>
      <c r="F5" s="77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3" t="s">
        <v>13</v>
      </c>
      <c r="C7" s="43"/>
      <c r="D7" s="43"/>
      <c r="E7" s="43"/>
      <c r="F7" s="43"/>
      <c r="G7" s="1"/>
    </row>
    <row r="8" spans="1:7" ht="15" customHeight="1" x14ac:dyDescent="0.45">
      <c r="A8" s="1"/>
      <c r="B8" s="40" t="s">
        <v>103</v>
      </c>
      <c r="C8" s="40"/>
      <c r="D8" s="40"/>
      <c r="E8" s="7">
        <f>'Fane 2.3. Økonomisk ramme 2024'!E12</f>
        <v>8862645.6199600473</v>
      </c>
      <c r="F8" s="40" t="s">
        <v>3</v>
      </c>
      <c r="G8" s="1"/>
    </row>
    <row r="9" spans="1:7" ht="15" customHeight="1" x14ac:dyDescent="0.45">
      <c r="A9" s="1"/>
      <c r="B9" s="40" t="s">
        <v>62</v>
      </c>
      <c r="C9" s="40"/>
      <c r="D9" s="40"/>
      <c r="E9" s="7">
        <f>-('Fane 9. Bortfald'!C30+'Fane 9. Bortfald'!E30)</f>
        <v>0</v>
      </c>
      <c r="F9" s="40" t="s">
        <v>3</v>
      </c>
      <c r="G9" s="1"/>
    </row>
    <row r="10" spans="1:7" ht="15" customHeight="1" x14ac:dyDescent="0.45">
      <c r="A10" s="1"/>
      <c r="B10" s="41" t="s">
        <v>18</v>
      </c>
      <c r="C10" s="40"/>
      <c r="D10" s="40"/>
      <c r="E10" s="8">
        <f>SUM(E8:E9)*'Fane 10. Nøgletal'!C14</f>
        <v>29246.730545868155</v>
      </c>
      <c r="F10" s="40" t="s">
        <v>3</v>
      </c>
      <c r="G10" s="1"/>
    </row>
    <row r="11" spans="1:7" ht="15" customHeight="1" x14ac:dyDescent="0.45">
      <c r="A11" s="1"/>
      <c r="B11" s="41" t="s">
        <v>54</v>
      </c>
      <c r="C11" s="40"/>
      <c r="D11" s="40"/>
      <c r="E11" s="8">
        <f>-SUM(E8:E10)*'Fane 10. Nøgletal'!C19</f>
        <v>-151162.16995860057</v>
      </c>
      <c r="F11" s="40" t="s">
        <v>3</v>
      </c>
      <c r="G11" s="1"/>
    </row>
    <row r="12" spans="1:7" x14ac:dyDescent="0.45">
      <c r="A12" s="1"/>
      <c r="B12" s="42" t="s">
        <v>20</v>
      </c>
      <c r="C12" s="42"/>
      <c r="D12" s="42"/>
      <c r="E12" s="9">
        <f>SUM(E8:E11)</f>
        <v>8740730.1805473138</v>
      </c>
      <c r="F12" s="44" t="s">
        <v>3</v>
      </c>
      <c r="G12" s="1"/>
    </row>
    <row r="13" spans="1:7" x14ac:dyDescent="0.45">
      <c r="A13" s="1"/>
      <c r="B13" s="43" t="s">
        <v>12</v>
      </c>
      <c r="C13" s="43"/>
      <c r="D13" s="43"/>
      <c r="E13" s="43"/>
      <c r="F13" s="43"/>
      <c r="G13" s="1"/>
    </row>
    <row r="14" spans="1:7" ht="15" customHeight="1" x14ac:dyDescent="0.45">
      <c r="A14" s="1"/>
      <c r="B14" s="44" t="s">
        <v>12</v>
      </c>
      <c r="C14" s="44"/>
      <c r="D14" s="44"/>
      <c r="E14" s="9">
        <f>'Fane 4. Ikke-påvirkelige omk.'!C13*(1+'Fane 10. Nøgletal'!C14)^3</f>
        <v>3837277.0469095097</v>
      </c>
      <c r="F14" s="44" t="s">
        <v>3</v>
      </c>
      <c r="G14" s="1"/>
    </row>
    <row r="15" spans="1:7" ht="15" customHeight="1" x14ac:dyDescent="0.45">
      <c r="A15" s="1"/>
      <c r="B15" s="43" t="s">
        <v>42</v>
      </c>
      <c r="C15" s="43"/>
      <c r="D15" s="43"/>
      <c r="E15" s="43"/>
      <c r="F15" s="43"/>
      <c r="G15" s="1"/>
    </row>
    <row r="16" spans="1:7" ht="15" customHeight="1" x14ac:dyDescent="0.45">
      <c r="A16" s="1"/>
      <c r="B16" s="29" t="s">
        <v>39</v>
      </c>
      <c r="C16" s="40"/>
      <c r="D16" s="40"/>
      <c r="E16" s="8">
        <f>'Fane 7.2. Engangstillæg'!C34</f>
        <v>0</v>
      </c>
      <c r="F16" s="40" t="s">
        <v>3</v>
      </c>
      <c r="G16" s="1"/>
    </row>
    <row r="17" spans="1:7" ht="15" customHeight="1" x14ac:dyDescent="0.45">
      <c r="A17" s="1"/>
      <c r="B17" s="29" t="s">
        <v>40</v>
      </c>
      <c r="C17" s="40"/>
      <c r="D17" s="40"/>
      <c r="E17" s="8">
        <f>'Fane 7.2. Engangstillæg'!E34</f>
        <v>0</v>
      </c>
      <c r="F17" s="40" t="s">
        <v>3</v>
      </c>
      <c r="G17" s="1"/>
    </row>
    <row r="18" spans="1:7" ht="15" customHeight="1" x14ac:dyDescent="0.45">
      <c r="A18" s="1"/>
      <c r="B18" s="54" t="s">
        <v>43</v>
      </c>
      <c r="C18" s="42"/>
      <c r="D18" s="42"/>
      <c r="E18" s="9">
        <f>SUM(E16:E17)</f>
        <v>0</v>
      </c>
      <c r="F18" s="44" t="s">
        <v>3</v>
      </c>
      <c r="G18" s="1"/>
    </row>
    <row r="19" spans="1:7" ht="15" customHeight="1" x14ac:dyDescent="0.45">
      <c r="A19" s="1"/>
      <c r="B19" s="43" t="s">
        <v>85</v>
      </c>
      <c r="C19" s="43"/>
      <c r="D19" s="43"/>
      <c r="E19" s="43"/>
      <c r="F19" s="43"/>
      <c r="G19" s="1"/>
    </row>
    <row r="20" spans="1:7" ht="15" customHeight="1" x14ac:dyDescent="0.45">
      <c r="A20" s="1"/>
      <c r="B20" s="44" t="s">
        <v>86</v>
      </c>
      <c r="C20" s="44"/>
      <c r="D20" s="44"/>
      <c r="E20" s="9">
        <f>'Fane 5. Kontrol af ØR2020'!E35</f>
        <v>-29236.839014517143</v>
      </c>
      <c r="F20" s="44" t="s">
        <v>3</v>
      </c>
      <c r="G20" s="1"/>
    </row>
    <row r="21" spans="1:7" x14ac:dyDescent="0.45">
      <c r="A21" s="1"/>
      <c r="B21" s="43" t="s">
        <v>104</v>
      </c>
      <c r="C21" s="43"/>
      <c r="D21" s="43"/>
      <c r="E21" s="10">
        <f>SUM(E12,E14,E18,E20)</f>
        <v>12548770.388442306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UsQqg+Q5ndMIWPHjdmzZRRO2Rj0vr1gQStPUmdMnTmjkPI5T/7kgD3yMZSvDdilmpwrXU827rsa3exSAL6x8lQ==" saltValue="czlpBIbGINlaqK/mlikqQ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</row>
    <row r="2" spans="1:9" x14ac:dyDescent="0.45">
      <c r="A2" s="1"/>
      <c r="B2" s="1"/>
      <c r="C2" s="1"/>
      <c r="D2" s="1"/>
      <c r="E2" s="1"/>
      <c r="F2" s="1"/>
      <c r="G2" s="1"/>
    </row>
    <row r="3" spans="1:9" ht="15" customHeight="1" x14ac:dyDescent="0.45">
      <c r="A3" s="1"/>
      <c r="B3" s="78" t="s">
        <v>105</v>
      </c>
      <c r="C3" s="78"/>
      <c r="D3" s="78"/>
      <c r="E3" s="78"/>
      <c r="F3" s="78"/>
      <c r="G3" s="1"/>
    </row>
    <row r="4" spans="1:9" ht="29.25" customHeight="1" x14ac:dyDescent="0.45">
      <c r="A4" s="1"/>
      <c r="B4" s="78"/>
      <c r="C4" s="78"/>
      <c r="D4" s="78"/>
      <c r="E4" s="78"/>
      <c r="F4" s="78"/>
      <c r="G4" s="1"/>
    </row>
    <row r="5" spans="1:9" x14ac:dyDescent="0.45">
      <c r="A5" s="1"/>
      <c r="B5" s="1"/>
      <c r="C5" s="1"/>
      <c r="D5" s="1"/>
      <c r="E5" s="1"/>
      <c r="F5" s="1"/>
      <c r="G5" s="1"/>
    </row>
    <row r="6" spans="1:9" x14ac:dyDescent="0.45">
      <c r="A6" s="1"/>
      <c r="B6" s="1"/>
      <c r="C6" s="1"/>
      <c r="D6" s="1"/>
      <c r="E6" s="1"/>
      <c r="F6" s="1"/>
      <c r="G6" s="60"/>
      <c r="H6" s="59"/>
    </row>
    <row r="7" spans="1:9" x14ac:dyDescent="0.45">
      <c r="A7" s="1"/>
      <c r="B7" s="1"/>
      <c r="C7" s="1"/>
      <c r="D7" s="1"/>
      <c r="E7" s="1"/>
      <c r="F7" s="1"/>
      <c r="G7" s="60"/>
      <c r="H7" s="59"/>
      <c r="I7" s="59"/>
    </row>
    <row r="8" spans="1:9" x14ac:dyDescent="0.45">
      <c r="A8" s="1"/>
      <c r="B8" s="43" t="s">
        <v>126</v>
      </c>
      <c r="C8" s="43"/>
      <c r="D8" s="43"/>
      <c r="E8" s="43"/>
      <c r="F8" s="43"/>
      <c r="G8" s="60"/>
      <c r="H8" s="59"/>
      <c r="I8" s="59"/>
    </row>
    <row r="9" spans="1:9" x14ac:dyDescent="0.45">
      <c r="A9" s="1"/>
      <c r="B9" s="79" t="s">
        <v>23</v>
      </c>
      <c r="C9" s="79"/>
      <c r="D9" s="79"/>
      <c r="E9" s="7">
        <v>8841870.0416732132</v>
      </c>
      <c r="F9" s="40" t="s">
        <v>3</v>
      </c>
      <c r="G9" s="60"/>
      <c r="H9" s="59"/>
      <c r="I9" s="59"/>
    </row>
    <row r="10" spans="1:9" x14ac:dyDescent="0.45">
      <c r="A10" s="1"/>
      <c r="B10" s="80" t="s">
        <v>128</v>
      </c>
      <c r="C10" s="80"/>
      <c r="D10" s="80"/>
      <c r="E10" s="7">
        <v>81106.032401337594</v>
      </c>
      <c r="F10" s="40" t="s">
        <v>3</v>
      </c>
      <c r="G10" s="60"/>
      <c r="H10" s="59"/>
      <c r="I10" s="59"/>
    </row>
    <row r="11" spans="1:9" x14ac:dyDescent="0.45">
      <c r="A11" s="1"/>
      <c r="B11" s="80" t="s">
        <v>60</v>
      </c>
      <c r="C11" s="80"/>
      <c r="D11" s="80"/>
      <c r="E11" s="7">
        <v>93518.170199999993</v>
      </c>
      <c r="F11" s="40" t="s">
        <v>3</v>
      </c>
      <c r="G11" s="60"/>
      <c r="H11" s="59"/>
      <c r="I11" s="59"/>
    </row>
    <row r="12" spans="1:9" x14ac:dyDescent="0.45">
      <c r="A12" s="1"/>
      <c r="B12" s="80" t="s">
        <v>65</v>
      </c>
      <c r="C12" s="80"/>
      <c r="D12" s="80"/>
      <c r="E12" s="7">
        <v>0</v>
      </c>
      <c r="F12" s="40" t="s">
        <v>3</v>
      </c>
      <c r="G12" s="60"/>
      <c r="H12" s="59"/>
      <c r="I12" s="59"/>
    </row>
    <row r="13" spans="1:9" x14ac:dyDescent="0.45">
      <c r="A13" s="1"/>
      <c r="B13" s="80" t="s">
        <v>61</v>
      </c>
      <c r="C13" s="80"/>
      <c r="D13" s="80"/>
      <c r="E13" s="8">
        <v>0</v>
      </c>
      <c r="F13" s="40" t="s">
        <v>3</v>
      </c>
      <c r="G13" s="60"/>
      <c r="H13" s="59"/>
      <c r="I13" s="59"/>
    </row>
    <row r="14" spans="1:9" x14ac:dyDescent="0.45">
      <c r="A14" s="1"/>
      <c r="B14" s="80" t="s">
        <v>18</v>
      </c>
      <c r="C14" s="80"/>
      <c r="D14" s="80"/>
      <c r="E14" s="8">
        <f>SUM(E9:E13)*'Fane 10. Nøgletal'!C13</f>
        <v>110001.22978014953</v>
      </c>
      <c r="F14" s="40" t="s">
        <v>3</v>
      </c>
      <c r="G14" s="60"/>
      <c r="H14" s="59"/>
      <c r="I14" s="59"/>
    </row>
    <row r="15" spans="1:9" x14ac:dyDescent="0.45">
      <c r="A15" s="1"/>
      <c r="B15" s="80" t="s">
        <v>54</v>
      </c>
      <c r="C15" s="80"/>
      <c r="D15" s="80"/>
      <c r="E15" s="8">
        <f>-SUM(E9:E14)*'Fane 10. Nøgletal'!C19</f>
        <v>-155150.42305892991</v>
      </c>
      <c r="F15" s="40" t="s">
        <v>3</v>
      </c>
      <c r="G15" s="60"/>
      <c r="H15" s="59"/>
    </row>
    <row r="16" spans="1:9" x14ac:dyDescent="0.45">
      <c r="A16" s="1"/>
      <c r="B16" s="82" t="s">
        <v>20</v>
      </c>
      <c r="C16" s="82"/>
      <c r="D16" s="82"/>
      <c r="E16" s="9">
        <f>SUM(E9:E15)</f>
        <v>8971345.050995769</v>
      </c>
      <c r="F16" s="44" t="s">
        <v>3</v>
      </c>
      <c r="G16" s="60"/>
      <c r="H16" s="59"/>
    </row>
    <row r="17" spans="1:8" x14ac:dyDescent="0.45">
      <c r="A17" s="1"/>
      <c r="B17" s="83" t="s">
        <v>12</v>
      </c>
      <c r="C17" s="83"/>
      <c r="D17" s="83"/>
      <c r="E17" s="43"/>
      <c r="F17" s="43"/>
      <c r="G17" s="60"/>
      <c r="H17" s="59"/>
    </row>
    <row r="18" spans="1:8" x14ac:dyDescent="0.45">
      <c r="A18" s="1"/>
      <c r="B18" s="84" t="s">
        <v>12</v>
      </c>
      <c r="C18" s="84"/>
      <c r="D18" s="84"/>
      <c r="E18" s="9">
        <v>4077923.63665176</v>
      </c>
      <c r="F18" s="44" t="s">
        <v>3</v>
      </c>
      <c r="G18" s="60"/>
      <c r="H18" s="59"/>
    </row>
    <row r="19" spans="1:8" ht="15.4" customHeight="1" x14ac:dyDescent="0.45">
      <c r="A19" s="1"/>
      <c r="B19" s="43" t="s">
        <v>42</v>
      </c>
      <c r="C19" s="43"/>
      <c r="D19" s="43"/>
      <c r="E19" s="43"/>
      <c r="F19" s="43"/>
      <c r="G19" s="60"/>
      <c r="H19" s="59"/>
    </row>
    <row r="20" spans="1:8" ht="15.75" customHeight="1" x14ac:dyDescent="0.45">
      <c r="A20" s="1"/>
      <c r="B20" s="85" t="s">
        <v>39</v>
      </c>
      <c r="C20" s="86"/>
      <c r="D20" s="87"/>
      <c r="E20" s="38">
        <v>0</v>
      </c>
      <c r="F20" s="32" t="s">
        <v>3</v>
      </c>
      <c r="G20" s="60"/>
      <c r="H20" s="59"/>
    </row>
    <row r="21" spans="1:8" x14ac:dyDescent="0.45">
      <c r="A21" s="1"/>
      <c r="B21" s="85" t="s">
        <v>40</v>
      </c>
      <c r="C21" s="86"/>
      <c r="D21" s="87"/>
      <c r="E21" s="38">
        <v>0</v>
      </c>
      <c r="F21" s="32" t="s">
        <v>3</v>
      </c>
      <c r="G21" s="60"/>
      <c r="H21" s="59"/>
    </row>
    <row r="22" spans="1:8" x14ac:dyDescent="0.45">
      <c r="A22" s="1"/>
      <c r="B22" s="88" t="s">
        <v>43</v>
      </c>
      <c r="C22" s="89"/>
      <c r="D22" s="90"/>
      <c r="E22" s="9">
        <v>0</v>
      </c>
      <c r="F22" s="9" t="s">
        <v>3</v>
      </c>
      <c r="G22" s="60"/>
      <c r="H22" s="59"/>
    </row>
    <row r="23" spans="1:8" ht="15.75" customHeight="1" x14ac:dyDescent="0.45">
      <c r="A23" s="1"/>
      <c r="B23" s="43" t="s">
        <v>85</v>
      </c>
      <c r="C23" s="43"/>
      <c r="D23" s="43"/>
      <c r="E23" s="43"/>
      <c r="F23" s="43"/>
      <c r="G23" s="60"/>
      <c r="H23" s="59"/>
    </row>
    <row r="24" spans="1:8" x14ac:dyDescent="0.45">
      <c r="A24" s="1"/>
      <c r="B24" s="54" t="s">
        <v>31</v>
      </c>
      <c r="C24" s="42"/>
      <c r="D24" s="42"/>
      <c r="E24" s="9">
        <v>-92916.761270209769</v>
      </c>
      <c r="F24" s="44" t="s">
        <v>3</v>
      </c>
      <c r="G24" s="60"/>
      <c r="H24" s="59"/>
    </row>
    <row r="25" spans="1:8" x14ac:dyDescent="0.45">
      <c r="A25" s="1"/>
      <c r="B25" s="54" t="s">
        <v>86</v>
      </c>
      <c r="C25" s="42"/>
      <c r="D25" s="42"/>
      <c r="E25" s="9">
        <v>0</v>
      </c>
      <c r="F25" s="44" t="s">
        <v>3</v>
      </c>
      <c r="G25" s="60"/>
      <c r="H25" s="59"/>
    </row>
    <row r="26" spans="1:8" ht="15" customHeight="1" x14ac:dyDescent="0.45">
      <c r="A26" s="1"/>
      <c r="B26" s="43" t="s">
        <v>25</v>
      </c>
      <c r="C26" s="43"/>
      <c r="D26" s="43"/>
      <c r="E26" s="10">
        <f>E16+E18+E22+E24+E25</f>
        <v>12956351.926377319</v>
      </c>
      <c r="F26" s="11" t="s">
        <v>3</v>
      </c>
      <c r="G26" s="60"/>
      <c r="H26" s="59"/>
    </row>
    <row r="27" spans="1:8" ht="27" customHeight="1" x14ac:dyDescent="0.45">
      <c r="A27" s="1"/>
      <c r="B27" s="81" t="s">
        <v>120</v>
      </c>
      <c r="C27" s="81"/>
      <c r="D27" s="81"/>
      <c r="E27" s="81"/>
      <c r="F27" s="81"/>
      <c r="G27" s="60"/>
      <c r="H27" s="59"/>
    </row>
    <row r="28" spans="1:8" x14ac:dyDescent="0.45">
      <c r="A28" s="1"/>
      <c r="B28" s="1"/>
      <c r="C28" s="1"/>
      <c r="D28" s="1"/>
      <c r="E28" s="1"/>
      <c r="F28" s="1"/>
      <c r="G28" s="60"/>
      <c r="H28" s="59"/>
    </row>
    <row r="29" spans="1:8" x14ac:dyDescent="0.45">
      <c r="A29" s="1"/>
      <c r="B29" s="1"/>
      <c r="C29" s="1"/>
      <c r="D29" s="1"/>
      <c r="E29" s="1"/>
      <c r="F29" s="1"/>
      <c r="G29" s="1"/>
    </row>
    <row r="30" spans="1:8" x14ac:dyDescent="0.45">
      <c r="A30" s="1"/>
      <c r="B30" s="1"/>
      <c r="C30" s="1"/>
      <c r="D30" s="1"/>
      <c r="E30" s="1"/>
      <c r="F30" s="1"/>
      <c r="G30" s="1"/>
    </row>
    <row r="31" spans="1:8" x14ac:dyDescent="0.45">
      <c r="A31" s="1"/>
      <c r="B31" s="1"/>
      <c r="C31" s="1"/>
      <c r="D31" s="1"/>
      <c r="E31" s="1"/>
      <c r="F31" s="1"/>
      <c r="G31" s="1"/>
    </row>
    <row r="32" spans="1:8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dR4rnw5y1yyyuZEbwpMjk/ZHjquW/cfh6Ca8epeY1oVuFWUVlBKhSECRqgLLo6uvenwbl4gp3pgGCZ1Yu88bpQ==" saltValue="Zt2+j9+UMR24xUGf97hYr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6" t="s">
        <v>53</v>
      </c>
      <c r="C3" s="76"/>
      <c r="D3" s="76"/>
      <c r="E3" s="1"/>
      <c r="F3" s="1"/>
    </row>
    <row r="4" spans="1:6" ht="15" customHeight="1" x14ac:dyDescent="0.45">
      <c r="A4" s="1"/>
      <c r="B4" s="76"/>
      <c r="C4" s="76"/>
      <c r="D4" s="76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1" t="s">
        <v>107</v>
      </c>
      <c r="C8" s="92"/>
      <c r="D8" s="93"/>
      <c r="E8" s="1"/>
      <c r="F8" s="1"/>
    </row>
    <row r="9" spans="1:6" ht="15" customHeight="1" x14ac:dyDescent="0.45">
      <c r="A9" s="1"/>
      <c r="B9" s="17" t="s">
        <v>29</v>
      </c>
      <c r="C9" s="44" t="s">
        <v>106</v>
      </c>
      <c r="D9" s="44"/>
      <c r="E9" s="1"/>
      <c r="F9" s="1"/>
    </row>
    <row r="10" spans="1:6" x14ac:dyDescent="0.45">
      <c r="A10" s="1"/>
      <c r="B10" s="28" t="s">
        <v>133</v>
      </c>
      <c r="C10" s="8">
        <v>3761843</v>
      </c>
      <c r="D10" s="12" t="s">
        <v>3</v>
      </c>
      <c r="E10" s="1"/>
      <c r="F10" s="1"/>
    </row>
    <row r="11" spans="1:6" x14ac:dyDescent="0.45">
      <c r="A11" s="1"/>
      <c r="B11" s="28" t="s">
        <v>134</v>
      </c>
      <c r="C11" s="8">
        <v>12741</v>
      </c>
      <c r="D11" s="12" t="s">
        <v>3</v>
      </c>
      <c r="E11" s="1"/>
      <c r="F11" s="1"/>
    </row>
    <row r="12" spans="1:6" x14ac:dyDescent="0.45">
      <c r="A12" s="1"/>
      <c r="B12" s="57" t="s">
        <v>108</v>
      </c>
      <c r="C12" s="10">
        <f>SUM(C10:C11)</f>
        <v>3774584</v>
      </c>
      <c r="D12" s="11" t="s">
        <v>3</v>
      </c>
      <c r="E12" s="1"/>
      <c r="F12" s="1"/>
    </row>
    <row r="13" spans="1:6" x14ac:dyDescent="0.45">
      <c r="A13" s="1"/>
      <c r="B13" s="57" t="s">
        <v>109</v>
      </c>
      <c r="C13" s="10">
        <f>C12*(1+'Fane 10. Nøgletal'!C14)^2</f>
        <v>3799537.3596197604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DymvGr+XU3y30hXftPhIxL6QjhymKdkuG+kCKzlZN2/sNIQ0B4a/in8CL24svmpCzRwXp62ieS4/yhVUooR5/w==" saltValue="mdOdz/EC6k9UwnQzK3vIxA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8" t="s">
        <v>153</v>
      </c>
      <c r="C3" s="78"/>
      <c r="D3" s="78"/>
      <c r="E3" s="78"/>
      <c r="F3" s="78"/>
      <c r="G3" s="1"/>
    </row>
    <row r="4" spans="1:7" ht="15" customHeight="1" x14ac:dyDescent="0.45">
      <c r="A4" s="1"/>
      <c r="B4" s="78"/>
      <c r="C4" s="78"/>
      <c r="D4" s="78"/>
      <c r="E4" s="78"/>
      <c r="F4" s="78"/>
      <c r="G4" s="1"/>
    </row>
    <row r="5" spans="1:7" ht="15" customHeight="1" x14ac:dyDescent="0.45">
      <c r="A5" s="1"/>
      <c r="B5" s="39"/>
      <c r="C5" s="39"/>
      <c r="D5" s="39"/>
      <c r="E5" s="39"/>
      <c r="F5" s="39"/>
      <c r="G5" s="1"/>
    </row>
    <row r="6" spans="1:7" ht="15" customHeight="1" x14ac:dyDescent="0.45">
      <c r="A6" s="1"/>
      <c r="B6" s="39"/>
      <c r="C6" s="39"/>
      <c r="D6" s="39"/>
      <c r="E6" s="39"/>
      <c r="F6" s="39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1" t="s">
        <v>136</v>
      </c>
      <c r="C8" s="92"/>
      <c r="D8" s="92"/>
      <c r="E8" s="92"/>
      <c r="F8" s="93"/>
      <c r="G8" s="1"/>
    </row>
    <row r="9" spans="1:7" x14ac:dyDescent="0.45">
      <c r="A9" s="1"/>
      <c r="B9" s="94" t="s">
        <v>137</v>
      </c>
      <c r="C9" s="95"/>
      <c r="D9" s="96"/>
      <c r="E9" s="8">
        <v>1909050.977</v>
      </c>
      <c r="F9" s="12" t="s">
        <v>3</v>
      </c>
      <c r="G9" s="1"/>
    </row>
    <row r="10" spans="1:7" x14ac:dyDescent="0.45">
      <c r="A10" s="1"/>
      <c r="B10" s="94" t="s">
        <v>138</v>
      </c>
      <c r="C10" s="95"/>
      <c r="D10" s="96"/>
      <c r="E10" s="8">
        <v>1279526.1470792163</v>
      </c>
      <c r="F10" s="12" t="s">
        <v>3</v>
      </c>
      <c r="G10" s="1"/>
    </row>
    <row r="11" spans="1:7" x14ac:dyDescent="0.45">
      <c r="A11" s="1"/>
      <c r="B11" s="94" t="s">
        <v>139</v>
      </c>
      <c r="C11" s="95"/>
      <c r="D11" s="96"/>
      <c r="E11" s="8">
        <v>200404.92156634107</v>
      </c>
      <c r="F11" s="12" t="s">
        <v>3</v>
      </c>
      <c r="G11" s="1"/>
    </row>
    <row r="12" spans="1:7" x14ac:dyDescent="0.45">
      <c r="A12" s="1"/>
      <c r="B12" s="57"/>
      <c r="C12" s="22"/>
      <c r="D12" s="22"/>
      <c r="E12" s="22"/>
      <c r="F12" s="58"/>
      <c r="G12" s="1"/>
    </row>
    <row r="13" spans="1:7" ht="51.75" customHeight="1" x14ac:dyDescent="0.45">
      <c r="A13" s="1"/>
      <c r="B13" s="97" t="s">
        <v>140</v>
      </c>
      <c r="C13" s="98"/>
      <c r="D13" s="98"/>
      <c r="E13" s="98"/>
      <c r="F13" s="99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1" t="s">
        <v>141</v>
      </c>
      <c r="C15" s="92"/>
      <c r="D15" s="92"/>
      <c r="E15" s="92"/>
      <c r="F15" s="93"/>
      <c r="G15" s="1"/>
    </row>
    <row r="16" spans="1:7" x14ac:dyDescent="0.45">
      <c r="A16" s="1"/>
      <c r="B16" s="94" t="s">
        <v>142</v>
      </c>
      <c r="C16" s="95"/>
      <c r="D16" s="96"/>
      <c r="E16" s="8">
        <v>0</v>
      </c>
      <c r="F16" s="12" t="s">
        <v>3</v>
      </c>
      <c r="G16" s="1"/>
    </row>
    <row r="17" spans="1:7" x14ac:dyDescent="0.45">
      <c r="A17" s="1"/>
      <c r="B17" s="94" t="s">
        <v>143</v>
      </c>
      <c r="C17" s="95"/>
      <c r="D17" s="96"/>
      <c r="E17" s="8">
        <v>0</v>
      </c>
      <c r="F17" s="12" t="s">
        <v>3</v>
      </c>
      <c r="G17" s="1"/>
    </row>
    <row r="18" spans="1:7" x14ac:dyDescent="0.45">
      <c r="A18" s="1"/>
      <c r="B18" s="57"/>
      <c r="C18" s="22"/>
      <c r="D18" s="22"/>
      <c r="E18" s="22"/>
      <c r="F18" s="58"/>
      <c r="G18" s="1"/>
    </row>
    <row r="19" spans="1:7" ht="29.25" customHeight="1" x14ac:dyDescent="0.45">
      <c r="A19" s="1"/>
      <c r="B19" s="97" t="s">
        <v>144</v>
      </c>
      <c r="C19" s="98"/>
      <c r="D19" s="98"/>
      <c r="E19" s="98"/>
      <c r="F19" s="99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8" t="s">
        <v>122</v>
      </c>
      <c r="C21" s="49"/>
      <c r="D21" s="49"/>
      <c r="E21" s="49"/>
      <c r="F21" s="50"/>
      <c r="G21" s="1"/>
    </row>
    <row r="22" spans="1:7" x14ac:dyDescent="0.45">
      <c r="A22" s="1"/>
      <c r="B22" s="51" t="s">
        <v>123</v>
      </c>
      <c r="C22" s="52"/>
      <c r="D22" s="53"/>
      <c r="E22" s="8">
        <v>10823978.598296374</v>
      </c>
      <c r="F22" s="12" t="s">
        <v>3</v>
      </c>
      <c r="G22" s="1"/>
    </row>
    <row r="23" spans="1:7" x14ac:dyDescent="0.45">
      <c r="A23" s="1"/>
      <c r="B23" s="51" t="s">
        <v>124</v>
      </c>
      <c r="C23" s="52"/>
      <c r="D23" s="53"/>
      <c r="E23" s="8">
        <v>14329908</v>
      </c>
      <c r="F23" s="12" t="s">
        <v>3</v>
      </c>
      <c r="G23" s="1"/>
    </row>
    <row r="24" spans="1:7" x14ac:dyDescent="0.4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45">
      <c r="A25" s="1"/>
      <c r="B25" s="45" t="s">
        <v>125</v>
      </c>
      <c r="C25" s="46"/>
      <c r="D25" s="47"/>
      <c r="E25" s="34">
        <f>E22-(E23-E24)</f>
        <v>-3505929.4017036259</v>
      </c>
      <c r="F25" s="15" t="s">
        <v>3</v>
      </c>
      <c r="G25" s="1"/>
    </row>
    <row r="26" spans="1:7" x14ac:dyDescent="0.45">
      <c r="A26" s="1"/>
      <c r="B26" s="57"/>
      <c r="C26" s="22"/>
      <c r="D26" s="22"/>
      <c r="E26" s="22"/>
      <c r="F26" s="58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91" t="s">
        <v>145</v>
      </c>
      <c r="C28" s="92"/>
      <c r="D28" s="92"/>
      <c r="E28" s="92"/>
      <c r="F28" s="93"/>
      <c r="G28" s="1"/>
    </row>
    <row r="29" spans="1:7" x14ac:dyDescent="0.45">
      <c r="A29" s="1"/>
      <c r="B29" s="88" t="s">
        <v>146</v>
      </c>
      <c r="C29" s="89"/>
      <c r="D29" s="90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91"/>
      <c r="C30" s="92"/>
      <c r="D30" s="92"/>
      <c r="E30" s="92"/>
      <c r="F30" s="93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1" t="s">
        <v>147</v>
      </c>
      <c r="C32" s="92"/>
      <c r="D32" s="92"/>
      <c r="E32" s="92"/>
      <c r="F32" s="93"/>
      <c r="G32" s="1"/>
    </row>
    <row r="33" spans="1:7" x14ac:dyDescent="0.45">
      <c r="A33" s="1"/>
      <c r="B33" s="104" t="s">
        <v>85</v>
      </c>
      <c r="C33" s="105"/>
      <c r="D33" s="106"/>
      <c r="E33" s="8">
        <f>IF(AND(SUM(E9:E11)&gt;0,E25&lt;0,ABS(SUM(E9:E11))&lt;ABS(E25)),(SUM(E9:E11)-ABS(E25)),IF(AND(SUM(E9:E11)&lt;0,E25&lt;0),E25,0))</f>
        <v>-116947.35605806857</v>
      </c>
      <c r="F33" s="12" t="s">
        <v>3</v>
      </c>
      <c r="G33" s="1"/>
    </row>
    <row r="34" spans="1:7" x14ac:dyDescent="0.45">
      <c r="A34" s="1"/>
      <c r="B34" s="104" t="s">
        <v>55</v>
      </c>
      <c r="C34" s="105"/>
      <c r="D34" s="106"/>
      <c r="E34" s="8">
        <v>4</v>
      </c>
      <c r="F34" s="12" t="s">
        <v>19</v>
      </c>
      <c r="G34" s="1"/>
    </row>
    <row r="35" spans="1:7" x14ac:dyDescent="0.45">
      <c r="A35" s="1"/>
      <c r="B35" s="103" t="s">
        <v>148</v>
      </c>
      <c r="C35" s="103"/>
      <c r="D35" s="103"/>
      <c r="E35" s="9">
        <f>E33/E34</f>
        <v>-29236.839014517143</v>
      </c>
      <c r="F35" s="15" t="s">
        <v>3</v>
      </c>
      <c r="G35" s="1"/>
    </row>
    <row r="36" spans="1:7" x14ac:dyDescent="0.45">
      <c r="A36" s="1"/>
      <c r="B36" s="100"/>
      <c r="C36" s="101"/>
      <c r="D36" s="101"/>
      <c r="E36" s="101"/>
      <c r="F36" s="102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r4lrYJPX7o5pza/hjHuAQYYzcpBkPKr1dyC24sEj5BZ7I66qFzpyaF8TioIKXSLH/3SQKshfQ7QOgjzQEPNjVA==" saltValue="HNZrttbTfRXzYs7FQvl9aA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6" t="s">
        <v>88</v>
      </c>
      <c r="C3" s="76"/>
      <c r="D3" s="76"/>
      <c r="E3" s="76"/>
      <c r="F3" s="76"/>
      <c r="G3" s="76"/>
      <c r="H3" s="76"/>
      <c r="I3" s="1"/>
    </row>
    <row r="4" spans="1:9" ht="15" customHeight="1" x14ac:dyDescent="0.4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1" t="s">
        <v>79</v>
      </c>
      <c r="C8" s="92"/>
      <c r="D8" s="92"/>
      <c r="E8" s="92"/>
      <c r="F8" s="92"/>
      <c r="G8" s="92"/>
      <c r="H8" s="93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4" t="s">
        <v>2</v>
      </c>
      <c r="F9" s="44" t="s">
        <v>11</v>
      </c>
      <c r="G9" s="44" t="s">
        <v>27</v>
      </c>
      <c r="H9" s="56"/>
      <c r="I9" s="1"/>
    </row>
    <row r="10" spans="1:9" x14ac:dyDescent="0.45">
      <c r="A10" s="1"/>
      <c r="B10" s="35" t="s">
        <v>152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91" t="s">
        <v>80</v>
      </c>
      <c r="C11" s="92"/>
      <c r="D11" s="9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3nJuwAHLZ0jyYX+TuWAc4yC/RsbNaV1hLo7jl8yuAjGhT7xix6gtDlS6ZGb0p5DuiXo5Ez3bqyqw0p/koBN+xw==" saltValue="CfUf9BHdGwT25y5fcj4F9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2021-08-19T00:23:23Z</dcterms:modified>
</cp:coreProperties>
</file>