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Odder Spildevand AS (S07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E24" i="32" l="1"/>
  <c r="E32" i="32" s="1"/>
  <c r="E34" i="32" s="1"/>
  <c r="E28" i="32" l="1"/>
  <c r="C32" i="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<sst xmlns="http://schemas.openxmlformats.org/spreadsheetml/2006/main" count="607" uniqueCount="289">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</sst>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STu5zYel5Qv94B+dNqZ4piiw9cRP0IsOG/QmmKkglXPNNU0IrrJ1zm4IhL5BDpCyLtAEd8jmOf46mE/mU9J43g==" saltValue="8+wMKxzl8u+9W3h9Qz+OU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475130</v>
      </c>
      <c r="D10" s="14" t="s">
        <v>3</v>
      </c>
      <c r="E10" s="1"/>
      <c r="F10" s="1"/>
    </row>
    <row r="11" spans="1:6" x14ac:dyDescent="0.25">
      <c r="A11" s="1"/>
      <c r="B11" s="94" t="s">
        <v>266</v>
      </c>
      <c r="C11" s="9">
        <v>74938</v>
      </c>
      <c r="D11" s="14" t="s">
        <v>3</v>
      </c>
      <c r="E11" s="1"/>
      <c r="F11" s="1"/>
    </row>
    <row r="12" spans="1:6" x14ac:dyDescent="0.25">
      <c r="A12" s="1"/>
      <c r="B12" s="94" t="s">
        <v>267</v>
      </c>
      <c r="C12" s="9">
        <v>134510</v>
      </c>
      <c r="D12" s="14" t="s">
        <v>3</v>
      </c>
      <c r="E12" s="1"/>
      <c r="F12" s="1"/>
    </row>
    <row r="13" spans="1:6" x14ac:dyDescent="0.25">
      <c r="A13" s="1"/>
      <c r="B13" s="94" t="s">
        <v>268</v>
      </c>
      <c r="C13" s="9">
        <v>239819</v>
      </c>
      <c r="D13" s="14" t="s">
        <v>3</v>
      </c>
      <c r="E13" s="1"/>
      <c r="F13" s="1"/>
    </row>
    <row r="14" spans="1:6" x14ac:dyDescent="0.25">
      <c r="A14" s="1"/>
      <c r="B14" s="32" t="s">
        <v>200</v>
      </c>
      <c r="C14" s="12">
        <f>SUM(C10:C13)</f>
        <v>924397</v>
      </c>
      <c r="D14" s="13" t="s">
        <v>3</v>
      </c>
      <c r="E14" s="1"/>
      <c r="F14" s="1"/>
    </row>
    <row r="15" spans="1:6" x14ac:dyDescent="0.25">
      <c r="A15" s="1"/>
      <c r="B15" s="32" t="s">
        <v>201</v>
      </c>
      <c r="C15" s="12">
        <f>C14*(1+'Fane 15. Nøgletal'!C15)^2</f>
        <v>991385.61018192011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WTGQ6u27HFG/uhzXmVOU4tDbCyiBQ98YnNThoTp/cCkgWGr8yQAlYHGKbQ1WL6Vy6dgJP0SuH9IPOfk/xEzlxg==" saltValue="zn+5KH37B0/CqwZR8EljUA=="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-3949236.7435363755</v>
      </c>
      <c r="F9" s="14" t="s">
        <v>3</v>
      </c>
      <c r="G9" s="1"/>
    </row>
    <row r="10" spans="1:7" x14ac:dyDescent="0.25">
      <c r="A10" s="1"/>
      <c r="B10" s="141" t="s">
        <v>263</v>
      </c>
      <c r="C10" s="142"/>
      <c r="D10" s="143"/>
      <c r="E10" s="9">
        <v>-1565645.6653927341</v>
      </c>
      <c r="F10" s="14" t="s">
        <v>3</v>
      </c>
      <c r="G10" s="1"/>
    </row>
    <row r="11" spans="1:7" x14ac:dyDescent="0.25">
      <c r="A11" s="1"/>
      <c r="B11" s="32"/>
      <c r="C11" s="27"/>
      <c r="D11" s="27"/>
      <c r="E11" s="27"/>
      <c r="F11" s="19"/>
      <c r="G11" s="1"/>
    </row>
    <row r="12" spans="1:7" ht="81.75" customHeight="1" x14ac:dyDescent="0.25">
      <c r="A12" s="1"/>
      <c r="B12" s="134" t="s">
        <v>287</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282</v>
      </c>
      <c r="C15" s="142"/>
      <c r="D15" s="143"/>
      <c r="E15" s="9">
        <v>-782822.74243137985</v>
      </c>
      <c r="F15" s="14" t="s">
        <v>3</v>
      </c>
      <c r="G15" s="1"/>
    </row>
    <row r="16" spans="1:7" x14ac:dyDescent="0.25">
      <c r="A16" s="1"/>
      <c r="B16" s="141" t="s">
        <v>283</v>
      </c>
      <c r="C16" s="142"/>
      <c r="D16" s="143"/>
      <c r="E16" s="9">
        <v>-782822.74243137985</v>
      </c>
      <c r="F16" s="14" t="s">
        <v>3</v>
      </c>
      <c r="G16" s="1"/>
    </row>
    <row r="17" spans="1:7" x14ac:dyDescent="0.25">
      <c r="A17" s="1"/>
      <c r="B17" s="32"/>
      <c r="C17" s="27"/>
      <c r="D17" s="27"/>
      <c r="E17" s="27"/>
      <c r="F17" s="19"/>
      <c r="G17" s="1"/>
    </row>
    <row r="18" spans="1:7" ht="31.5" customHeight="1" x14ac:dyDescent="0.25">
      <c r="A18" s="1"/>
      <c r="B18" s="134" t="s">
        <v>288</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34134400.640966997</v>
      </c>
      <c r="F21" s="14" t="s">
        <v>3</v>
      </c>
      <c r="G21" s="1"/>
    </row>
    <row r="22" spans="1:7" x14ac:dyDescent="0.25">
      <c r="A22" s="1"/>
      <c r="B22" s="91" t="s">
        <v>207</v>
      </c>
      <c r="C22" s="92"/>
      <c r="D22" s="93"/>
      <c r="E22" s="9">
        <v>35340228</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-1205827.3590330034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284</v>
      </c>
      <c r="C27" s="132"/>
      <c r="D27" s="132"/>
      <c r="E27" s="132"/>
      <c r="F27" s="133"/>
      <c r="G27" s="1"/>
    </row>
    <row r="28" spans="1:7" x14ac:dyDescent="0.25">
      <c r="A28" s="1"/>
      <c r="B28" s="137" t="s">
        <v>285</v>
      </c>
      <c r="C28" s="138"/>
      <c r="D28" s="159"/>
      <c r="E28" s="73">
        <f>IF(AND(E9&gt;0,(E9+E24)&gt;0),0,IF(AND(E9&gt;0,(E9+E24)&lt;0),0,IF(AND(E9&lt;0,E24&gt;0,E10=0),0,IF(AND(E9&lt;0,E24&gt;0,ABS(E10)&lt;ABS(E24)),ABS(E16),IF(AND(E9&lt;0,E24&gt;0,ABS(E10)&gt;ABS(E24),ABS(E16)&gt;ABS(E24)),-(ABS(E16)-ABS(E24)),IF(AND(E9&lt;0,E24&gt;0,ABS(E10)&gt;ABS(E24),ABS(E16)&lt;ABS(E24)),E24-ABS(E16),IF(AND(E9&lt;0,E24&lt;0),E16,0)))))))</f>
        <v>-782822.74243137985</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60" t="s">
        <v>143</v>
      </c>
      <c r="C32" s="161"/>
      <c r="D32" s="162"/>
      <c r="E32" s="74">
        <f>IF(AND(E9&gt;0,(E9+E24)&gt;0),0,IF(AND(E9&gt;0,(E9+E24)&lt;0),(E9+E24),IF(AND(E9&lt;0,E24&lt;0),E24,0)))</f>
        <v>-1205827.3590330034</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-301456.83975825086</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qvjW6KpK8o8saUlpY0RK1rPIJax9oQaHrHglDMfMfifK6JNof64dacTRu1m+kUKMPfVu0fFhxiKQ8j3xoXJpoQ==" saltValue="Too3sdHm5/hpOFaDLXaua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274</v>
      </c>
      <c r="C10" s="164"/>
      <c r="D10" s="164"/>
      <c r="E10" s="164"/>
      <c r="F10" s="165"/>
      <c r="G10" s="9">
        <v>0</v>
      </c>
      <c r="H10" s="9" t="s">
        <v>3</v>
      </c>
      <c r="I10" s="1"/>
    </row>
    <row r="11" spans="1:9" x14ac:dyDescent="0.25">
      <c r="A11" s="1"/>
      <c r="B11" s="163" t="s">
        <v>275</v>
      </c>
      <c r="C11" s="164"/>
      <c r="D11" s="164"/>
      <c r="E11" s="164"/>
      <c r="F11" s="165"/>
      <c r="G11" s="9">
        <v>0</v>
      </c>
      <c r="H11" s="9" t="s">
        <v>3</v>
      </c>
      <c r="I11" s="1"/>
    </row>
    <row r="12" spans="1:9" x14ac:dyDescent="0.25">
      <c r="A12" s="1"/>
      <c r="B12" s="163" t="s">
        <v>276</v>
      </c>
      <c r="C12" s="164"/>
      <c r="D12" s="164"/>
      <c r="E12" s="164"/>
      <c r="F12" s="165"/>
      <c r="G12" s="9">
        <v>0</v>
      </c>
      <c r="H12" s="9" t="s">
        <v>3</v>
      </c>
      <c r="I12" s="1"/>
    </row>
    <row r="13" spans="1:9" x14ac:dyDescent="0.25">
      <c r="A13" s="1"/>
      <c r="B13" s="163" t="s">
        <v>277</v>
      </c>
      <c r="C13" s="164"/>
      <c r="D13" s="164"/>
      <c r="E13" s="164"/>
      <c r="F13" s="165"/>
      <c r="G13" s="9">
        <v>0</v>
      </c>
      <c r="H13" s="9" t="s">
        <v>3</v>
      </c>
      <c r="I13" s="1"/>
    </row>
    <row r="14" spans="1:9" x14ac:dyDescent="0.25">
      <c r="A14" s="1"/>
      <c r="B14" s="163" t="s">
        <v>278</v>
      </c>
      <c r="C14" s="164"/>
      <c r="D14" s="164"/>
      <c r="E14" s="164"/>
      <c r="F14" s="165"/>
      <c r="G14" s="9">
        <v>0</v>
      </c>
      <c r="H14" s="9" t="s">
        <v>3</v>
      </c>
      <c r="I14" s="1"/>
    </row>
    <row r="15" spans="1:9" x14ac:dyDescent="0.25">
      <c r="A15" s="1"/>
      <c r="B15" s="163" t="s">
        <v>279</v>
      </c>
      <c r="C15" s="164"/>
      <c r="D15" s="164"/>
      <c r="E15" s="164"/>
      <c r="F15" s="165"/>
      <c r="G15" s="9">
        <v>0</v>
      </c>
      <c r="H15" s="9" t="s">
        <v>3</v>
      </c>
      <c r="I15" s="1"/>
    </row>
    <row r="16" spans="1:9" x14ac:dyDescent="0.25">
      <c r="A16" s="1"/>
      <c r="B16" s="163" t="s">
        <v>280</v>
      </c>
      <c r="C16" s="164"/>
      <c r="D16" s="164"/>
      <c r="E16" s="164"/>
      <c r="F16" s="165"/>
      <c r="G16" s="9">
        <v>0</v>
      </c>
      <c r="H16" s="9" t="s">
        <v>3</v>
      </c>
      <c r="I16" s="1"/>
    </row>
    <row r="17" spans="1:9" x14ac:dyDescent="0.25">
      <c r="A17" s="1"/>
      <c r="B17" s="163" t="s">
        <v>281</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b19l7bhM4iqDo9R7c1ZxcNzCCA4jrbe9MY8dzrDA6kdRzUUv6EP0msw4IsulOjDH0l8kywtvds1cWLbRkS0YcA==" saltValue="jtCNwyluhraXVeR7hSk/Z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59"/>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c r="F14" s="8" t="s">
        <v>3</v>
      </c>
      <c r="G14" s="1"/>
    </row>
    <row r="15" spans="1:7" x14ac:dyDescent="0.25">
      <c r="A15" s="1"/>
      <c r="B15" s="134" t="s">
        <v>211</v>
      </c>
      <c r="C15" s="135"/>
      <c r="D15" s="136"/>
      <c r="E15" s="9"/>
      <c r="F15" s="8" t="s">
        <v>3</v>
      </c>
      <c r="G15" s="1"/>
    </row>
    <row r="16" spans="1:7" x14ac:dyDescent="0.25">
      <c r="A16" s="1"/>
      <c r="B16" s="137" t="s">
        <v>101</v>
      </c>
      <c r="C16" s="138"/>
      <c r="D16" s="159"/>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nm3aU1QsbuVfTJwWbMGXtfFFv2n1nbTmgrtYcP1SumptXr2srHLoCQPyYEP/0HSc6kXyybaSwEtalUmGV+/6A==" saltValue="UXvceK/0EoLIe3FcXLHZ4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272</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mGVRM/vfWNvHUlMSwDB69J5XKNyhP4j3WuDa/xdmzvt1G41xn0XqLXzIyUoGD43VRZpAW7/JfP9gb6VmrRlLbQ==" saltValue="LIgT2nsMn/v8Y2IIIZfPY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AiqIKpDsfLXA7Vq+/bzOpBH6wAg6K7hdpU64ATns79Uj5XvaG8M1zSToIMmT9fdbWzlbVYnQgnlrgEAoAHfvw==" saltValue="VF4B76o/DMR3RnwXA40KJ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271</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QiKoiIfCKdxVzMVHhZCOiX290JpxGjFj7gndALhrxhXwXLMlyoXy5/F2at9Lf7dbS4rVXVCnSQiuUNq1EM8pnA==" saltValue="Y+BUi/ohopjJQSWSkkpxY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DrFCMJrnhaONygwot+3gY37P2V9iU0VdeGz9JYLxF4IrwF0vPkNpYkoeHDcC81ODYBVp4gCZXHr1RUx8fCUhA==" saltValue="fpINRbkRuePc20Wq0dQWo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1.7109375" style="2" customWidth="1"/>
    <col min="2" max="2" width="40.7109375" style="2" customWidth="1"/>
    <col min="3" max="3" width="15.5703125" style="2" customWidth="1"/>
    <col min="4" max="4" width="3.28515625" style="2" customWidth="1"/>
    <col min="5" max="5" width="17.140625" style="2" customWidth="1"/>
    <col min="6" max="6" width="3.28515625" style="2" customWidth="1"/>
    <col min="7" max="7" width="1.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Z+3OK33Y6ir9ksni5p34VFSmz48ujQAJeo6FQo4oMhmuPHvUUsNNdWhFaEY5Zo1p0t5UQpv4za0oA+wZ2OrQw==" saltValue="UxTDAdiy15806qkDdfPrh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LuMNCHrSwlkm/+KzVoe+1so3p4sZMJt1p0x3XauVJXruZ+TRCK49ZY8xPOqz/idfbWwKRXpy0TBXtekiRrbDg==" saltValue="cRJWfWDQDEqBmL1lMdYtT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32357447.160735797</v>
      </c>
      <c r="D9" s="8" t="s">
        <v>3</v>
      </c>
      <c r="E9" s="1"/>
    </row>
    <row r="10" spans="1:5" ht="17.25" customHeight="1" x14ac:dyDescent="0.25">
      <c r="A10" s="1"/>
      <c r="B10" s="82" t="s">
        <v>39</v>
      </c>
      <c r="C10" s="7">
        <f>'Fane 11.1. Varige tillæg'!C13</f>
        <v>0</v>
      </c>
      <c r="D10" s="8" t="s">
        <v>3</v>
      </c>
      <c r="E10" s="1"/>
    </row>
    <row r="11" spans="1:5" ht="17.25" customHeight="1" x14ac:dyDescent="0.25">
      <c r="A11" s="1"/>
      <c r="B11" s="82" t="s">
        <v>40</v>
      </c>
      <c r="C11" s="9">
        <f>'Fane 11.1. Varige tillæg'!E13</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106779.57563042812</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-226941.50218002615</v>
      </c>
      <c r="D18" s="8" t="s">
        <v>3</v>
      </c>
      <c r="E18" s="1"/>
    </row>
    <row r="19" spans="1:5" ht="17.25" customHeight="1" x14ac:dyDescent="0.25">
      <c r="A19" s="1"/>
      <c r="B19" s="82" t="s">
        <v>25</v>
      </c>
      <c r="C19" s="44">
        <f>-'Fane 4.2. Gen. krav - anlæg'!G43</f>
        <v>-317114.66860898002</v>
      </c>
      <c r="D19" s="8" t="s">
        <v>3</v>
      </c>
      <c r="E19" s="48"/>
    </row>
    <row r="20" spans="1:5" ht="17.25" customHeight="1" x14ac:dyDescent="0.25">
      <c r="A20" s="1"/>
      <c r="B20" s="88" t="s">
        <v>21</v>
      </c>
      <c r="C20" s="10">
        <f>SUM(C9:C19)</f>
        <v>31920170.56557722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991385.61018192011</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-782822.74243137985</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32128733.433327761</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ik6eb4HxAIRHJMHts8aMRWkCBbTIteMFGCaG9xpOWltrPmmsq1KXMwfuCmU43tPKB3QPU3iuOH+4gRQWB8o1Q==" saltValue="owKN8AUnHt5V5F//8OomZ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PnwoydMPf2UuYolQ8fHVsVC9yae+evYYAdrVgwJvUpz+pP918AXXUjrhvTdhWgkkQ8rBckdbEOYZdIapA7kXiA==" saltValue="v93eGYw+h88n2/iN8kevJ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31920170.56557722</v>
      </c>
      <c r="D9" s="8" t="s">
        <v>3</v>
      </c>
      <c r="E9" s="1"/>
    </row>
    <row r="10" spans="1:5" ht="15" customHeight="1" x14ac:dyDescent="0.25">
      <c r="A10" s="1"/>
      <c r="B10" s="25" t="s">
        <v>19</v>
      </c>
      <c r="C10" s="7">
        <f>SUM(C9:C9)*'Fane 15. Nøgletal'!C15</f>
        <v>1136358.072134549</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-230320.20726448239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32826208.430447288</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1026678.9379043966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-301456.83975825086</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33551430.528593432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bdVqX9akTc3uHbRkzn4ejzYa55eoAf1YBGS0oFp+P/3R0u5w1wVfaCb5Kegq88VtcmlZ7Wk5pfSJfljNbNaE5g==" saltValue="gQE/ZHfjIuaCifVS4Fbnp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32826208.430447288</v>
      </c>
      <c r="D9" s="8" t="s">
        <v>3</v>
      </c>
      <c r="E9" s="1"/>
    </row>
    <row r="10" spans="1:5" ht="15" customHeight="1" x14ac:dyDescent="0.25">
      <c r="A10" s="1"/>
      <c r="B10" s="25" t="s">
        <v>19</v>
      </c>
      <c r="C10" s="7">
        <f>SUM(C9:C9)*'Fane 15. Nøgletal'!C15</f>
        <v>1168613.0201239234</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-233749.21451023602</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33761072.23606097</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1063228.7080937931</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-301456.83975825086</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34522844.104396507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6FMyVnUbetfmeACTe+w+Q6HVo06+lmjgmWjolW4DKZuPv+UKRKSBe7TsZDMLbg4yTeHn6EohxJsnPGe2nGUAYQ==" saltValue="agjVLAI12Rid0JxTMxzMl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33761072.23606097</v>
      </c>
      <c r="D9" s="8" t="s">
        <v>3</v>
      </c>
      <c r="E9" s="1"/>
    </row>
    <row r="10" spans="1:5" ht="15" customHeight="1" x14ac:dyDescent="0.25">
      <c r="A10" s="1"/>
      <c r="B10" s="25" t="s">
        <v>19</v>
      </c>
      <c r="C10" s="7">
        <f>SUM(C9:C9)*'Fane 15. Nøgletal'!C15</f>
        <v>1201894.1716037705</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-237229.27281586442</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34725737.134848878</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1101079.6501019322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-301456.83975825086</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35525359.945192561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V1Hh5M74uCWnGQj1H3h0LgQSINmK6EpFJqSQKF96hEluMsw+1xfgGXdthCtaO0tfIt8Fwk+jtDuHU66/x2XHTw==" saltValue="v8R6KSUPFxOXVB7XYv3PC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34" t="s">
        <v>192</v>
      </c>
      <c r="C9" s="135"/>
      <c r="D9" s="136"/>
      <c r="E9" s="7">
        <v>32800835.452653278</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108242.75699375581</v>
      </c>
      <c r="F16" s="8" t="s">
        <v>3</v>
      </c>
      <c r="G16" s="1"/>
    </row>
    <row r="17" spans="1:7" ht="15" customHeight="1" x14ac:dyDescent="0.25">
      <c r="A17" s="1"/>
      <c r="B17" s="134" t="s">
        <v>10</v>
      </c>
      <c r="C17" s="135"/>
      <c r="D17" s="136"/>
      <c r="E17" s="9">
        <v>0</v>
      </c>
      <c r="F17" s="8" t="s">
        <v>3</v>
      </c>
      <c r="G17" s="1"/>
    </row>
    <row r="18" spans="1:7" ht="15" customHeight="1" x14ac:dyDescent="0.25">
      <c r="A18" s="1"/>
      <c r="B18" s="134" t="s">
        <v>24</v>
      </c>
      <c r="C18" s="135"/>
      <c r="D18" s="136"/>
      <c r="E18" s="9">
        <f>-'Fane 4.1. Gen. krav - drift'!G39</f>
        <v>-230811.28417042751</v>
      </c>
      <c r="F18" s="8" t="s">
        <v>3</v>
      </c>
      <c r="G18" s="1"/>
    </row>
    <row r="19" spans="1:7" ht="15" customHeight="1" x14ac:dyDescent="0.25">
      <c r="A19" s="1"/>
      <c r="B19" s="134" t="s">
        <v>25</v>
      </c>
      <c r="C19" s="135"/>
      <c r="D19" s="136"/>
      <c r="E19" s="9">
        <f>-'Fane 4.2. Gen. krav - anlæg'!G37</f>
        <v>-320819.76474080927</v>
      </c>
      <c r="F19" s="8" t="s">
        <v>3</v>
      </c>
      <c r="G19" s="1"/>
    </row>
    <row r="20" spans="1:7" ht="15" customHeight="1" x14ac:dyDescent="0.25">
      <c r="A20" s="1"/>
      <c r="B20" s="54" t="s">
        <v>21</v>
      </c>
      <c r="C20" s="99"/>
      <c r="D20" s="101"/>
      <c r="E20" s="51">
        <f>SUM(E9:E19)</f>
        <v>32357447.160735797</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1360834.7226531701</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-782822.74243137985</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32935459.140957586</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gTV2PuGWBBKYFt5XHSah2BSOjxMQw6OzwI6gpdPRr2AyMM8FA7+i6f+DL9zntLUS1c03PK1R3cO0IHF1sFW2KA==" saltValue="ZeBsvgKZmDkjVWSJ7mwRY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42578125" style="2" customWidth="1"/>
    <col min="2" max="5" width="9.140625" style="2"/>
    <col min="6" max="6" width="24" style="2" customWidth="1"/>
    <col min="7" max="7" width="16.28515625" style="2" customWidth="1"/>
    <col min="8" max="8" width="3.42578125" style="2" customWidth="1"/>
    <col min="9" max="9" width="2.42578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11675632.068813682</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233512.64137627365</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11642356.517417563</v>
      </c>
      <c r="H11" s="14" t="s">
        <v>3</v>
      </c>
      <c r="I11" s="1"/>
    </row>
    <row r="12" spans="1:9" ht="15" customHeight="1" x14ac:dyDescent="0.25">
      <c r="A12" s="1"/>
      <c r="B12" s="141" t="s">
        <v>121</v>
      </c>
      <c r="C12" s="142"/>
      <c r="D12" s="142"/>
      <c r="E12" s="142"/>
      <c r="F12" s="143"/>
      <c r="G12" s="77">
        <v>118699.49108874894</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235221.12017012626</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11727536.998882072</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234550.73997764144</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11719398.08820485</v>
      </c>
      <c r="H25" s="14" t="s">
        <v>3</v>
      </c>
      <c r="I25" s="1"/>
    </row>
    <row r="26" spans="1:9" x14ac:dyDescent="0.25">
      <c r="A26" s="1"/>
      <c r="B26" s="144" t="s">
        <v>50</v>
      </c>
      <c r="C26" s="145"/>
      <c r="D26" s="145"/>
      <c r="E26" s="145"/>
      <c r="F26" s="146"/>
      <c r="G26" s="77">
        <v>11796.395881050003</v>
      </c>
      <c r="H26" s="14" t="s">
        <v>3</v>
      </c>
      <c r="I26" s="1"/>
    </row>
    <row r="27" spans="1:9" x14ac:dyDescent="0.25">
      <c r="A27" s="1"/>
      <c r="B27" s="141" t="s">
        <v>51</v>
      </c>
      <c r="C27" s="142"/>
      <c r="D27" s="142"/>
      <c r="E27" s="142"/>
      <c r="F27" s="143"/>
      <c r="G27" s="76">
        <f>(G25+G26)*'Fane 15. Nøgletal'!C31</f>
        <v>234623.88968171799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11723053.035113944</v>
      </c>
      <c r="H31" s="14" t="s">
        <v>3</v>
      </c>
      <c r="I31" s="1"/>
    </row>
    <row r="32" spans="1:9" x14ac:dyDescent="0.25">
      <c r="A32" s="1"/>
      <c r="B32" s="141" t="s">
        <v>137</v>
      </c>
      <c r="C32" s="142"/>
      <c r="D32" s="142"/>
      <c r="E32" s="142"/>
      <c r="F32" s="143"/>
      <c r="G32" s="76">
        <v>14299.62815988</v>
      </c>
      <c r="H32" s="14" t="s">
        <v>3</v>
      </c>
      <c r="I32" s="1"/>
    </row>
    <row r="33" spans="1:9" x14ac:dyDescent="0.25">
      <c r="A33" s="1"/>
      <c r="B33" s="141" t="s">
        <v>60</v>
      </c>
      <c r="C33" s="142"/>
      <c r="D33" s="142"/>
      <c r="E33" s="142"/>
      <c r="F33" s="143"/>
      <c r="G33" s="76">
        <f>(G31+G32)*'Fane 15. Nøgletal'!C31</f>
        <v>234747.05326547648</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11540564.208521375</v>
      </c>
      <c r="H37" s="14" t="s">
        <v>3</v>
      </c>
      <c r="I37" s="1"/>
    </row>
    <row r="38" spans="1:9" x14ac:dyDescent="0.25">
      <c r="A38" s="1"/>
      <c r="B38" s="141" t="s">
        <v>164</v>
      </c>
      <c r="C38" s="142"/>
      <c r="D38" s="142"/>
      <c r="E38" s="142"/>
      <c r="F38" s="143"/>
      <c r="G38" s="76">
        <v>0</v>
      </c>
      <c r="H38" s="14" t="s">
        <v>3</v>
      </c>
      <c r="I38" s="1"/>
    </row>
    <row r="39" spans="1:9" x14ac:dyDescent="0.25">
      <c r="A39" s="1"/>
      <c r="B39" s="141" t="s">
        <v>162</v>
      </c>
      <c r="C39" s="142"/>
      <c r="D39" s="142"/>
      <c r="E39" s="142"/>
      <c r="F39" s="143"/>
      <c r="G39" s="76">
        <f>(G37+G38)*'Fane 15. Nøgletal'!C31</f>
        <v>230811.28417042751</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11347075.109001307</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0</v>
      </c>
      <c r="H44" s="14" t="s">
        <v>3</v>
      </c>
      <c r="I44" s="1"/>
    </row>
    <row r="45" spans="1:9" x14ac:dyDescent="0.25">
      <c r="A45" s="1"/>
      <c r="B45" s="141" t="s">
        <v>163</v>
      </c>
      <c r="C45" s="142"/>
      <c r="D45" s="142"/>
      <c r="E45" s="142"/>
      <c r="F45" s="143"/>
      <c r="G45" s="76">
        <f>SUM(G43:G44)*'Fane 15. Nøgletal'!C31</f>
        <v>226941.50218002615</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11516010.363224119</v>
      </c>
      <c r="H52" s="14" t="s">
        <v>3</v>
      </c>
      <c r="I52" s="1"/>
    </row>
    <row r="53" spans="1:9" x14ac:dyDescent="0.25">
      <c r="A53" s="1"/>
      <c r="B53" s="141" t="s">
        <v>138</v>
      </c>
      <c r="C53" s="142"/>
      <c r="D53" s="142"/>
      <c r="E53" s="142"/>
      <c r="F53" s="143"/>
      <c r="G53" s="76">
        <f>(G52)*'Fane 15. Nøgletal'!C31</f>
        <v>230320.20726448239</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11687460.7255118</v>
      </c>
      <c r="H57" s="14" t="s">
        <v>3</v>
      </c>
      <c r="I57" s="1"/>
    </row>
    <row r="58" spans="1:9" x14ac:dyDescent="0.25">
      <c r="A58" s="1"/>
      <c r="B58" s="91" t="s">
        <v>152</v>
      </c>
      <c r="C58" s="92"/>
      <c r="D58" s="92"/>
      <c r="E58" s="92"/>
      <c r="F58" s="93"/>
      <c r="G58" s="76">
        <f>(G57)*'Fane 15. Nøgletal'!C31</f>
        <v>233749.21451023602</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11861463.640793221</v>
      </c>
      <c r="H62" s="14" t="s">
        <v>3</v>
      </c>
      <c r="I62" s="1"/>
    </row>
    <row r="63" spans="1:9" x14ac:dyDescent="0.25">
      <c r="A63" s="1"/>
      <c r="B63" s="91" t="s">
        <v>195</v>
      </c>
      <c r="C63" s="92"/>
      <c r="D63" s="92"/>
      <c r="E63" s="92"/>
      <c r="F63" s="93"/>
      <c r="G63" s="76">
        <f>(G62)*'Fane 15. Nøgletal'!C31</f>
        <v>237229.27281586442</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cbFtqQCkMv1H7UqEslMbDDMj6pejOQ9t/gfVvCbAv2Ym+lIYhn/cqZ1Xyk1jR/lZpaTNchEHz/rmp0I1WbeTCQ==" saltValue="gaKDfJDgKcQrIY8B7UTWl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7109375" style="2" customWidth="1"/>
    <col min="2" max="5" width="9.140625" style="2"/>
    <col min="6" max="6" width="26.28515625" style="2" customWidth="1"/>
    <col min="7" max="7" width="14.140625" style="2" customWidth="1"/>
    <col min="8" max="8" width="3.28515625" style="2" customWidth="1"/>
    <col min="9" max="9" width="1.710937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20979323.253606636</v>
      </c>
      <c r="H5" s="14" t="s">
        <v>3</v>
      </c>
      <c r="I5" s="1"/>
    </row>
    <row r="6" spans="1:9" x14ac:dyDescent="0.25">
      <c r="A6" s="1"/>
      <c r="B6" s="141" t="s">
        <v>57</v>
      </c>
      <c r="C6" s="142"/>
      <c r="D6" s="142"/>
      <c r="E6" s="142"/>
      <c r="F6" s="143"/>
      <c r="G6" s="76">
        <f>G5*'Fane 15. Nøgletal'!C20</f>
        <v>190911.84160782039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21152208.611708798</v>
      </c>
      <c r="H10" s="14" t="s">
        <v>3</v>
      </c>
      <c r="I10" s="1"/>
    </row>
    <row r="11" spans="1:9" x14ac:dyDescent="0.25">
      <c r="A11" s="1"/>
      <c r="B11" s="141" t="s">
        <v>122</v>
      </c>
      <c r="C11" s="142"/>
      <c r="D11" s="142"/>
      <c r="E11" s="142"/>
      <c r="F11" s="143"/>
      <c r="G11" s="76">
        <v>914423.25176190329</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390579.38398343138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22055383.3978783</v>
      </c>
      <c r="H17" s="14" t="s">
        <v>3</v>
      </c>
      <c r="I17" s="1"/>
    </row>
    <row r="18" spans="1:9" x14ac:dyDescent="0.25">
      <c r="A18" s="1"/>
      <c r="B18" s="144" t="s">
        <v>68</v>
      </c>
      <c r="C18" s="145"/>
      <c r="D18" s="145"/>
      <c r="E18" s="145"/>
      <c r="F18" s="146"/>
      <c r="G18" s="76">
        <v>37671.738772299992</v>
      </c>
      <c r="H18" s="14" t="s">
        <v>3</v>
      </c>
      <c r="I18" s="1"/>
    </row>
    <row r="19" spans="1:9" x14ac:dyDescent="0.25">
      <c r="A19" s="1"/>
      <c r="B19" s="141" t="s">
        <v>69</v>
      </c>
      <c r="C19" s="142"/>
      <c r="D19" s="142"/>
      <c r="E19" s="142"/>
      <c r="F19" s="143"/>
      <c r="G19" s="76">
        <f>G17*'Fane 15. Nøgletal'!C21+G18*'Fane 15. Nøgletal'!C22</f>
        <v>390708.03026976495</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22129883.344376538</v>
      </c>
      <c r="H23" s="14" t="s">
        <v>3</v>
      </c>
      <c r="I23" s="1"/>
    </row>
    <row r="24" spans="1:9" x14ac:dyDescent="0.25">
      <c r="A24" s="1"/>
      <c r="B24" s="144" t="s">
        <v>72</v>
      </c>
      <c r="C24" s="145"/>
      <c r="D24" s="145"/>
      <c r="E24" s="145"/>
      <c r="F24" s="146"/>
      <c r="G24" s="76">
        <v>205030.74068760496</v>
      </c>
      <c r="H24" s="14" t="s">
        <v>3</v>
      </c>
      <c r="I24" s="1"/>
    </row>
    <row r="25" spans="1:9" x14ac:dyDescent="0.25">
      <c r="A25" s="1"/>
      <c r="B25" s="141" t="s">
        <v>73</v>
      </c>
      <c r="C25" s="142"/>
      <c r="D25" s="142"/>
      <c r="E25" s="142"/>
      <c r="F25" s="143"/>
      <c r="G25" s="76">
        <f>(G23+G24)*'Fane 15. Nøgletal'!C23</f>
        <v>634311.56001582171</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22128104.394791774</v>
      </c>
      <c r="H29" s="14" t="s">
        <v>3</v>
      </c>
      <c r="I29" s="1"/>
    </row>
    <row r="30" spans="1:9" x14ac:dyDescent="0.25">
      <c r="A30" s="1"/>
      <c r="B30" s="141" t="s">
        <v>139</v>
      </c>
      <c r="C30" s="142"/>
      <c r="D30" s="142"/>
      <c r="E30" s="142"/>
      <c r="F30" s="143"/>
      <c r="G30" s="76">
        <v>109044.78213888001</v>
      </c>
      <c r="H30" s="14" t="s">
        <v>3</v>
      </c>
      <c r="I30" s="1"/>
    </row>
    <row r="31" spans="1:9" x14ac:dyDescent="0.25">
      <c r="A31" s="1"/>
      <c r="B31" s="141" t="s">
        <v>76</v>
      </c>
      <c r="C31" s="142"/>
      <c r="D31" s="142"/>
      <c r="E31" s="142"/>
      <c r="F31" s="143"/>
      <c r="G31" s="76">
        <f>G29*'Fane 15. Nøgletal'!C23+G30*'Fane 15. Nøgletal'!C24</f>
        <v>631436.89632090554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21677011.131135762</v>
      </c>
      <c r="H35" s="14" t="s">
        <v>3</v>
      </c>
      <c r="I35" s="1"/>
    </row>
    <row r="36" spans="1:9" x14ac:dyDescent="0.25">
      <c r="A36" s="1"/>
      <c r="B36" s="141" t="s">
        <v>167</v>
      </c>
      <c r="C36" s="142"/>
      <c r="D36" s="142"/>
      <c r="E36" s="142"/>
      <c r="F36" s="143"/>
      <c r="G36" s="76">
        <v>0</v>
      </c>
      <c r="H36" s="14" t="s">
        <v>3</v>
      </c>
      <c r="I36" s="1"/>
    </row>
    <row r="37" spans="1:9" x14ac:dyDescent="0.25">
      <c r="A37" s="1"/>
      <c r="B37" s="141" t="s">
        <v>166</v>
      </c>
      <c r="C37" s="142"/>
      <c r="D37" s="142"/>
      <c r="E37" s="142"/>
      <c r="F37" s="143"/>
      <c r="G37" s="76">
        <f>(G35+G36)*'Fane 15. Nøgletal'!C25</f>
        <v>320819.76474080927</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21426666.797904056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41" t="s">
        <v>168</v>
      </c>
      <c r="C43" s="142"/>
      <c r="D43" s="142"/>
      <c r="E43" s="142"/>
      <c r="F43" s="143"/>
      <c r="G43" s="76">
        <f>(G41)*'Fane 15. Nøgletal'!C25+G42*'Fane 15. Nøgletal'!C26</f>
        <v>317114.66860898002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21861052.185097985</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22639305.642887473</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23445264.923774268</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MBEFpZBZTjnllyg7cWZjoukpsrWcx+PYX6UObG0Ed0Ch/aHEcjptFbcF7eOfv15zo9JTzilHaCWBNefvhhHZ1Q==" saltValue="GP5K00gRwVIra2LolTQpc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0</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AevN3aCbADMsFyk1bT/tcWV12zZ9gM4R4P1gzXxmRzRCgkFMnPPYn4PSsYYY0brRTEVJBCclOgGNRKkUda6aBA==" saltValue="UEIXcb89CwaKvpl+F3Q+d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2022-12-01T08:51:44Z</dcterms:modified>
</cp:coreProperties>
</file>