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Sønderborg Vandforsyning AS (V181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33" i="32" l="1"/>
  <c r="C15" i="19" l="1"/>
  <c r="E39" i="32" l="1"/>
  <c r="E41" i="32" s="1"/>
  <c r="E16" i="27" l="1"/>
  <c r="E10" i="11" l="1"/>
  <c r="E17" i="32" l="1"/>
  <c r="E9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6" i="2" s="1"/>
  <c r="C30" i="39"/>
  <c r="C19" i="22" s="1"/>
  <c r="E22" i="39"/>
  <c r="C21" i="15" s="1"/>
  <c r="E30" i="39"/>
  <c r="C20" i="22" s="1"/>
  <c r="C22" i="39"/>
  <c r="C20" i="15" s="1"/>
  <c r="C14" i="39"/>
  <c r="C25" i="2" s="1"/>
  <c r="C21" i="22" l="1"/>
  <c r="C21" i="23"/>
  <c r="C22" i="15"/>
  <c r="C27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5" i="32"/>
  <c r="C24" i="15" l="1"/>
  <c r="C29" i="2"/>
  <c r="F11" i="11"/>
  <c r="C10" i="37" s="1"/>
  <c r="C12" i="37" s="1"/>
  <c r="G11" i="11"/>
  <c r="C13" i="37" l="1"/>
  <c r="C11" i="2" s="1"/>
  <c r="E11" i="21"/>
  <c r="E12" i="21" s="1"/>
  <c r="C11" i="21"/>
  <c r="C12" i="21" s="1"/>
  <c r="E11" i="29"/>
  <c r="E12" i="29" s="1"/>
  <c r="C11" i="29"/>
  <c r="C12" i="29" s="1"/>
  <c r="C16" i="19"/>
  <c r="C17" i="23" l="1"/>
  <c r="C17" i="22"/>
  <c r="C18" i="15"/>
  <c r="C15" i="2"/>
  <c r="C16" i="2"/>
  <c r="C23" i="2"/>
  <c r="C14" i="2"/>
  <c r="C13" i="2"/>
  <c r="G30" i="30" l="1"/>
  <c r="G29" i="30" l="1"/>
  <c r="E18" i="27"/>
  <c r="G31" i="30" l="1"/>
  <c r="E11" i="11"/>
  <c r="E10" i="37" s="1"/>
  <c r="E12" i="37" s="1"/>
  <c r="G35" i="30" l="1"/>
  <c r="G37" i="30" s="1"/>
  <c r="C19" i="2"/>
  <c r="E13" i="37"/>
  <c r="C12" i="2" s="1"/>
  <c r="G30" i="36" s="1"/>
  <c r="G41" i="30" l="1"/>
  <c r="G43" i="30" s="1"/>
  <c r="C14" i="15"/>
  <c r="G31" i="36"/>
  <c r="C20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7" i="2"/>
  <c r="C18" i="2" l="1"/>
  <c r="C21" i="2" s="1"/>
  <c r="C32" i="2" l="1"/>
  <c r="C9" i="15"/>
  <c r="C12" i="15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<sst xmlns="http://schemas.openxmlformats.org/spreadsheetml/2006/main" count="596" uniqueCount="249">
  <si>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</si>
  <si>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</si>
  <si>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</si>
  <si>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</si>
  <si>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</si>
  <si>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</si>
  <si>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</si>
  <si>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</si>
  <si>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</si>
  <si>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</si>
  <si>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</si>
  <si>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</si>
  <si>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</si>
  <si>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</si>
  <si>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</si>
  <si>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</si>
  <si>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</si>
  <si>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</si>
  <si>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</si>
  <si>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</si>
  <si>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</si>
  <si>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</si>
  <si>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</si>
  <si>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</si>
  <si>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</si>
  <si>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</si>
  <si>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</si>
  <si>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</si>
  <si>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</si>
  <si>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</si>
  <si>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</si>
  <si>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</si>
  <si>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</si>
  <si>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</si>
  <si>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</si>
  <si>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</si>
  <si>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</si>
  <si>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</si>
  <si>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</si>
  <si>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</si>
  <si>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</si>
  <si>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</si>
  <si>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</si>
  <si>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</si>
  <si>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</si>
  <si>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</si>
  <si>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</si>
  <si>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</si>
  <si>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</si>
  <si>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</si>
  <si>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</si>
  <si>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</si>
  <si>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</si>
  <si>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</si>
  <si>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</si>
  <si>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</si>
  <si>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</si>
  <si>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</si>
  <si>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</si>
  <si>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</si>
  <si>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</si>
  <si>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</si>
  <si>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</si>
  <si>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</si>
  <si>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</si>
  <si>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</si>
  <si>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</si>
  <si>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</si>
  <si>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</si>
  <si>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</si>
  <si>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</si>
  <si>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</si>
  <si>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</si>
  <si>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</si>
  <si>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</si>
  <si>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</si>
  <si>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</si>
  <si>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</si>
  <si>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</si>
  <si>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</si>
  <si>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</si>
  <si>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</si>
  <si>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</si>
  <si>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</si>
  <si>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</si>
  <si>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</si>
  <si>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</si>
  <si>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</si>
  <si>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</si>
  <si>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</si>
  <si>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</si>
  <si>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</si>
  <si>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</si>
  <si>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</si>
  <si>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</si>
  <si>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</si>
  <si>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</si>
  <si>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</si>
  <si>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</si>
  <si>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</si>
  <si>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</si>
  <si>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</si>
  <si>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</si>
  <si>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</si>
  <si>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</si>
  <si>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</si>
  <si>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</si>
  <si>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</si>
  <si>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</si>
  <si>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</si>
  <si>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</si>
  <si>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</si>
  <si>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</si>
  <si>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</si>
  <si>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</si>
  <si>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</si>
  <si>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</si>
  <si>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</si>
  <si>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</si>
  <si>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</si>
  <si>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</si>
  <si>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</si>
  <si>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</si>
  <si>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</si>
  <si>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</si>
  <si>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</si>
  <si>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</si>
  <si>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</si>
  <si>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</si>
  <si>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</si>
  <si>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</si>
  <si>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</si>
  <si>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</si>
  <si>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</si>
  <si>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</si>
  <si>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</si>
  <si>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</si>
  <si>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</si>
  <si>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</si>
  <si>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</si>
  <si>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</si>
  <si>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</si>
  <si>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</si>
  <si>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</si>
  <si>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</si>
  <si>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</si>
  <si>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</si>
  <si>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</si>
  <si>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</si>
  <si>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</si>
  <si>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</si>
  <si>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</si>
  <si>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</si>
  <si>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</si>
  <si>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</si>
  <si>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</si>
  <si>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</si>
  <si>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</si>
  <si>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</si>
  <si>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</si>
  <si>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</si>
  <si>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</si>
  <si>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</si>
  <si>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</si>
  <si>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</si>
  <si>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</si>
  <si>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</si>
  <si>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</si>
  <si>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</si>
  <si>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</si>
  <si>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</si>
  <si>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</si>
  <si>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</si>
  <si>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</si>
  <si>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</si>
  <si>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</si>
  <si>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</si>
  <si>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</si>
  <si>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</si>
  <si>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</si>
  <si>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</si>
  <si>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</si>
  <si>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</si>
  <si>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</si>
  <si>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</si>
  <si>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</si>
  <si>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</si>
  <si>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</si>
  <si>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</si>
  <si>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</si>
  <si>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</si>
  <si>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</si>
  <si>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</si>
  <si>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</si>
  <si>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</si>
  <si>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</si>
  <si>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</si>
  <si>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</si>
  <si>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</si>
  <si>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</si>
  <si>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</si>
  <si>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</si>
  <si>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</si>
  <si>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</si>
  <si>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</si>
  <si>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</si>
  <si>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</si>
  <si>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</si>
  <si>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</si>
  <si>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</si>
  <si>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</si>
  <si>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</si>
  <si>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</si>
  <si>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</si>
  <si>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</si>
  <si>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</si>
  <si>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</si>
  <si>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</si>
  <si>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</si>
  <si>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</si>
  <si>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</si>
  <si>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</si>
  <si>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</si>
  <si>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</si>
  <si>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</si>
  <si>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</si>
  <si>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</si>
  <si>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</si>
  <si>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</si>
  <si>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</si>
  <si>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</si>
  <si>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</si>
  <si>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</si>
  <si>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</si>
  <si>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</si>
  <si>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</si>
  <si>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Ejendomsskat</t>
  </si>
  <si>
    <t>Vandsamarbejde etableret i medfør af § 52b i vandforsyningsloven</t>
  </si>
  <si>
    <t>Ingen tilknyttet virksomhed</t>
  </si>
  <si>
    <t>Ingen bortfald eller nedsættelse</t>
  </si>
  <si>
    <t>Udvidelse af forsyningsområde</t>
  </si>
  <si>
    <t>Økonomisk ramme for 2024</t>
  </si>
  <si>
    <t>Investeringsomkostninger til erstatninger</t>
  </si>
  <si>
    <t>Korrektion af tidligere rammer</t>
  </si>
  <si>
    <t>Engangskorrektion vedrørende erstatninger</t>
  </si>
  <si>
    <t>Justering vedrørende erstatninger</t>
  </si>
  <si>
    <t>Ingen anlægsprojekter</t>
  </si>
  <si>
    <t>Yderligere opkrævningsret efter § 17, stk. 10 - 2017</t>
  </si>
  <si>
    <t>Yderligere opkrævningsret efter § 17, stk. 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</si>
</sst>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C5">
            <v>1.0168999999999999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4" t="s">
        <v>206</v>
      </c>
      <c r="E8" s="64"/>
      <c r="F8" s="64"/>
      <c r="G8" s="6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3" t="s">
        <v>5</v>
      </c>
      <c r="E11" s="63"/>
      <c r="F11" s="63"/>
      <c r="G11" s="6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151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207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40</v>
      </c>
      <c r="D15" s="56" t="s">
        <v>93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41</v>
      </c>
      <c r="D16" s="56" t="s">
        <v>152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150</v>
      </c>
      <c r="D17" s="56" t="s">
        <v>153</v>
      </c>
      <c r="E17" s="57"/>
      <c r="F17" s="57"/>
      <c r="G17" s="58"/>
      <c r="H17" s="1"/>
      <c r="I17" s="1"/>
    </row>
    <row r="18" spans="1:9" x14ac:dyDescent="0.25">
      <c r="A18" s="1"/>
      <c r="B18" s="1"/>
      <c r="C18" s="33" t="s">
        <v>134</v>
      </c>
      <c r="D18" s="65" t="s">
        <v>114</v>
      </c>
      <c r="E18" s="66"/>
      <c r="F18" s="66"/>
      <c r="G18" s="67"/>
      <c r="H18" s="1"/>
      <c r="I18" s="1"/>
    </row>
    <row r="19" spans="1:9" x14ac:dyDescent="0.25">
      <c r="A19" s="1"/>
      <c r="B19" s="1"/>
      <c r="C19" s="33" t="s">
        <v>135</v>
      </c>
      <c r="D19" s="65" t="s">
        <v>115</v>
      </c>
      <c r="E19" s="66"/>
      <c r="F19" s="66"/>
      <c r="G19" s="67"/>
      <c r="H19" s="1"/>
      <c r="I19" s="1"/>
    </row>
    <row r="20" spans="1:9" x14ac:dyDescent="0.25">
      <c r="A20" s="1"/>
      <c r="B20" s="1"/>
      <c r="C20" s="33" t="s">
        <v>7</v>
      </c>
      <c r="D20" s="65" t="s">
        <v>9</v>
      </c>
      <c r="E20" s="66"/>
      <c r="F20" s="66"/>
      <c r="G20" s="67"/>
      <c r="H20" s="1"/>
      <c r="I20" s="1"/>
    </row>
    <row r="21" spans="1:9" x14ac:dyDescent="0.25">
      <c r="A21" s="1"/>
      <c r="B21" s="1"/>
      <c r="C21" s="6" t="s">
        <v>136</v>
      </c>
      <c r="D21" s="71" t="s">
        <v>12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97</v>
      </c>
      <c r="D22" s="60" t="s">
        <v>154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42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217</v>
      </c>
      <c r="D24" s="60" t="s">
        <v>98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218</v>
      </c>
      <c r="D25" s="60" t="s">
        <v>99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219</v>
      </c>
      <c r="D26" s="60" t="s">
        <v>155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137</v>
      </c>
      <c r="D27" s="60" t="s">
        <v>43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128</v>
      </c>
      <c r="D28" s="68" t="s">
        <v>129</v>
      </c>
      <c r="E28" s="69"/>
      <c r="F28" s="69"/>
      <c r="G28" s="7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QMn9l4TYjRJJMFSeMgAxoyvyeAYaenZW2LiP21/HNsEMc0+SeSR/5XITt8xPKwW46gThjRIwHZOy+IpBmVbTVw==" saltValue="WFdjK/VyYuQNmXUy2Rmj1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4" t="s">
        <v>140</v>
      </c>
      <c r="C3" s="74"/>
      <c r="D3" s="74"/>
      <c r="E3" s="1"/>
      <c r="F3" s="1"/>
    </row>
    <row r="4" spans="1:6" ht="15" customHeight="1" x14ac:dyDescent="0.25">
      <c r="A4" s="1"/>
      <c r="B4" s="74"/>
      <c r="C4" s="74"/>
      <c r="D4" s="7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7" t="s">
        <v>168</v>
      </c>
      <c r="C8" s="98"/>
      <c r="D8" s="99"/>
      <c r="E8" s="1"/>
      <c r="F8" s="1"/>
    </row>
    <row r="9" spans="1:6" ht="15" customHeight="1" x14ac:dyDescent="0.25">
      <c r="A9" s="1"/>
      <c r="B9" s="47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50" t="s">
        <v>234</v>
      </c>
      <c r="C10" s="9">
        <v>14508588</v>
      </c>
      <c r="D10" s="14" t="s">
        <v>3</v>
      </c>
      <c r="E10" s="1"/>
      <c r="F10" s="1"/>
    </row>
    <row r="11" spans="1:6" x14ac:dyDescent="0.25">
      <c r="A11" s="1"/>
      <c r="B11" s="50" t="s">
        <v>235</v>
      </c>
      <c r="C11" s="9">
        <v>79303</v>
      </c>
      <c r="D11" s="14" t="s">
        <v>3</v>
      </c>
      <c r="E11" s="1"/>
      <c r="F11" s="1"/>
    </row>
    <row r="12" spans="1:6" x14ac:dyDescent="0.25">
      <c r="A12" s="1"/>
      <c r="B12" s="50" t="s">
        <v>236</v>
      </c>
      <c r="C12" s="9">
        <v>175399</v>
      </c>
      <c r="D12" s="14" t="s">
        <v>3</v>
      </c>
      <c r="E12" s="1"/>
      <c r="F12" s="1"/>
    </row>
    <row r="13" spans="1:6" x14ac:dyDescent="0.25">
      <c r="A13" s="1"/>
      <c r="B13" s="50" t="s">
        <v>237</v>
      </c>
      <c r="C13" s="9">
        <v>1044928</v>
      </c>
      <c r="D13" s="14" t="s">
        <v>3</v>
      </c>
      <c r="E13" s="1"/>
      <c r="F13" s="1"/>
    </row>
    <row r="14" spans="1:6" x14ac:dyDescent="0.25">
      <c r="A14" s="1"/>
      <c r="B14" s="46" t="s">
        <v>245</v>
      </c>
      <c r="C14" s="9">
        <v>96133.459528999563</v>
      </c>
      <c r="D14" s="14" t="s">
        <v>3</v>
      </c>
      <c r="E14" s="1"/>
      <c r="F14" s="1"/>
    </row>
    <row r="15" spans="1:6" x14ac:dyDescent="0.25">
      <c r="A15" s="1"/>
      <c r="B15" s="41" t="s">
        <v>169</v>
      </c>
      <c r="C15" s="12">
        <f>SUM(C10:C14)</f>
        <v>15904351.459528999</v>
      </c>
      <c r="D15" s="13" t="s">
        <v>3</v>
      </c>
      <c r="E15" s="1"/>
      <c r="F15" s="1"/>
    </row>
    <row r="16" spans="1:6" x14ac:dyDescent="0.25">
      <c r="A16" s="1"/>
      <c r="B16" s="41" t="s">
        <v>170</v>
      </c>
      <c r="C16" s="12">
        <f>C15*(1+'Fane 12. Nøgletal'!C13)^2</f>
        <v>16294784.838812744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2T//O0Z5uvJP0zVZT/b70j28dlJO+E22hZKNpKZx7HmEgOnC0Wy4u5AwOX4d1MG1UYJ/6GRcoKD3OgbRye0Fuw==" saltValue="V5qOf2tBojXFKPoczMMoM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3" t="s">
        <v>172</v>
      </c>
      <c r="C3" s="93"/>
      <c r="D3" s="93"/>
      <c r="E3" s="93"/>
      <c r="F3" s="93"/>
      <c r="G3" s="1"/>
    </row>
    <row r="4" spans="1:7" ht="15" customHeight="1" x14ac:dyDescent="0.25">
      <c r="A4" s="1"/>
      <c r="B4" s="93"/>
      <c r="C4" s="93"/>
      <c r="D4" s="93"/>
      <c r="E4" s="93"/>
      <c r="F4" s="93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97" t="s">
        <v>39</v>
      </c>
      <c r="C6" s="98"/>
      <c r="D6" s="98"/>
      <c r="E6" s="98"/>
      <c r="F6" s="99"/>
      <c r="G6" s="1"/>
    </row>
    <row r="7" spans="1:7" ht="15" customHeight="1" x14ac:dyDescent="0.25">
      <c r="A7" s="1"/>
      <c r="B7" s="100" t="s">
        <v>37</v>
      </c>
      <c r="C7" s="101"/>
      <c r="D7" s="102"/>
      <c r="E7" s="9">
        <v>794066.33333333326</v>
      </c>
      <c r="F7" s="14" t="s">
        <v>3</v>
      </c>
      <c r="G7" s="1"/>
    </row>
    <row r="8" spans="1:7" ht="15" customHeight="1" x14ac:dyDescent="0.25">
      <c r="A8" s="1"/>
      <c r="B8" s="100" t="s">
        <v>38</v>
      </c>
      <c r="C8" s="101"/>
      <c r="D8" s="102"/>
      <c r="E8" s="9">
        <v>4999054.0236791</v>
      </c>
      <c r="F8" s="14" t="s">
        <v>3</v>
      </c>
      <c r="G8" s="1"/>
    </row>
    <row r="9" spans="1:7" ht="15" customHeight="1" x14ac:dyDescent="0.25">
      <c r="A9" s="1"/>
      <c r="B9" s="108" t="s">
        <v>131</v>
      </c>
      <c r="C9" s="109"/>
      <c r="D9" s="110"/>
      <c r="E9" s="10">
        <f>SUM(E7:E8)</f>
        <v>5793120.357012433</v>
      </c>
      <c r="F9" s="17" t="s">
        <v>3</v>
      </c>
      <c r="G9" s="1"/>
    </row>
    <row r="10" spans="1:7" ht="15" customHeight="1" x14ac:dyDescent="0.25">
      <c r="A10" s="1"/>
      <c r="B10" s="41"/>
      <c r="C10" s="42"/>
      <c r="D10" s="42"/>
      <c r="E10" s="42"/>
      <c r="F10" s="20"/>
      <c r="G10" s="1"/>
    </row>
    <row r="11" spans="1:7" ht="28.5" customHeight="1" x14ac:dyDescent="0.25">
      <c r="A11" s="1"/>
      <c r="B11" s="76" t="s">
        <v>132</v>
      </c>
      <c r="C11" s="77"/>
      <c r="D11" s="77"/>
      <c r="E11" s="77"/>
      <c r="F11" s="78"/>
      <c r="G11" s="1"/>
    </row>
    <row r="12" spans="1:7" ht="28.5" customHeight="1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97" t="s">
        <v>116</v>
      </c>
      <c r="C13" s="98"/>
      <c r="D13" s="98"/>
      <c r="E13" s="98"/>
      <c r="F13" s="99"/>
      <c r="G13" s="1"/>
    </row>
    <row r="14" spans="1:7" x14ac:dyDescent="0.25">
      <c r="A14" s="1"/>
      <c r="B14" s="100" t="s">
        <v>117</v>
      </c>
      <c r="C14" s="101"/>
      <c r="D14" s="102"/>
      <c r="E14" s="9">
        <v>42144137.718371265</v>
      </c>
      <c r="F14" s="14" t="s">
        <v>3</v>
      </c>
      <c r="G14" s="1"/>
    </row>
    <row r="15" spans="1:7" x14ac:dyDescent="0.25">
      <c r="A15" s="1"/>
      <c r="B15" s="100" t="s">
        <v>118</v>
      </c>
      <c r="C15" s="101"/>
      <c r="D15" s="102"/>
      <c r="E15" s="9">
        <v>35523215</v>
      </c>
      <c r="F15" s="14" t="s">
        <v>3</v>
      </c>
      <c r="G15" s="1"/>
    </row>
    <row r="16" spans="1:7" x14ac:dyDescent="0.25">
      <c r="A16" s="1"/>
      <c r="B16" s="100" t="s">
        <v>36</v>
      </c>
      <c r="C16" s="101"/>
      <c r="D16" s="102"/>
      <c r="E16" s="9">
        <v>0</v>
      </c>
      <c r="F16" s="14" t="s">
        <v>3</v>
      </c>
      <c r="G16" s="1"/>
    </row>
    <row r="17" spans="1:7" x14ac:dyDescent="0.25">
      <c r="A17" s="1"/>
      <c r="B17" s="108" t="s">
        <v>208</v>
      </c>
      <c r="C17" s="109"/>
      <c r="D17" s="110"/>
      <c r="E17" s="10">
        <f>E14-(E15-E16)</f>
        <v>6620922.7183712646</v>
      </c>
      <c r="F17" s="17" t="s">
        <v>3</v>
      </c>
      <c r="G17" s="1"/>
    </row>
    <row r="18" spans="1:7" x14ac:dyDescent="0.25">
      <c r="A18" s="1"/>
      <c r="B18" s="41"/>
      <c r="C18" s="42"/>
      <c r="D18" s="42"/>
      <c r="E18" s="42"/>
      <c r="F18" s="20"/>
      <c r="G18" s="1"/>
    </row>
    <row r="19" spans="1:7" ht="30" customHeight="1" x14ac:dyDescent="0.25">
      <c r="A19" s="1"/>
      <c r="B19" s="76" t="s">
        <v>133</v>
      </c>
      <c r="C19" s="77"/>
      <c r="D19" s="77"/>
      <c r="E19" s="77"/>
      <c r="F19" s="78"/>
      <c r="G19" s="1"/>
    </row>
    <row r="20" spans="1:7" ht="28.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97" t="s">
        <v>50</v>
      </c>
      <c r="C21" s="98"/>
      <c r="D21" s="98"/>
      <c r="E21" s="98"/>
      <c r="F21" s="99"/>
      <c r="G21" s="1"/>
    </row>
    <row r="22" spans="1:7" x14ac:dyDescent="0.25">
      <c r="A22" s="1"/>
      <c r="B22" s="100" t="s">
        <v>51</v>
      </c>
      <c r="C22" s="101"/>
      <c r="D22" s="102"/>
      <c r="E22" s="9">
        <v>39031118.324965157</v>
      </c>
      <c r="F22" s="14" t="s">
        <v>3</v>
      </c>
      <c r="G22" s="1"/>
    </row>
    <row r="23" spans="1:7" x14ac:dyDescent="0.25">
      <c r="A23" s="1"/>
      <c r="B23" s="100" t="s">
        <v>52</v>
      </c>
      <c r="C23" s="101"/>
      <c r="D23" s="102"/>
      <c r="E23" s="9">
        <v>36597317</v>
      </c>
      <c r="F23" s="14" t="s">
        <v>3</v>
      </c>
      <c r="G23" s="1"/>
    </row>
    <row r="24" spans="1:7" x14ac:dyDescent="0.25">
      <c r="A24" s="1"/>
      <c r="B24" s="100" t="s">
        <v>36</v>
      </c>
      <c r="C24" s="101"/>
      <c r="D24" s="102"/>
      <c r="E24" s="9">
        <v>0</v>
      </c>
      <c r="F24" s="14" t="s">
        <v>3</v>
      </c>
      <c r="G24" s="1"/>
    </row>
    <row r="25" spans="1:7" x14ac:dyDescent="0.25">
      <c r="A25" s="1"/>
      <c r="B25" s="108" t="s">
        <v>209</v>
      </c>
      <c r="C25" s="109"/>
      <c r="D25" s="110"/>
      <c r="E25" s="10">
        <f>E22-(E23-E24)</f>
        <v>2433801.3249651566</v>
      </c>
      <c r="F25" s="17" t="s">
        <v>3</v>
      </c>
      <c r="G25" s="1"/>
    </row>
    <row r="26" spans="1:7" x14ac:dyDescent="0.25">
      <c r="A26" s="1"/>
      <c r="B26" s="41"/>
      <c r="C26" s="42"/>
      <c r="D26" s="42"/>
      <c r="E26" s="42"/>
      <c r="F26" s="20"/>
      <c r="G26" s="1"/>
    </row>
    <row r="27" spans="1:7" ht="28.5" customHeight="1" x14ac:dyDescent="0.25">
      <c r="A27" s="1"/>
      <c r="B27" s="76" t="s">
        <v>179</v>
      </c>
      <c r="C27" s="77"/>
      <c r="D27" s="77"/>
      <c r="E27" s="77"/>
      <c r="F27" s="78"/>
      <c r="G27" s="1"/>
    </row>
    <row r="28" spans="1:7" ht="28.5" customHeight="1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200</v>
      </c>
      <c r="C29" s="98"/>
      <c r="D29" s="98"/>
      <c r="E29" s="98"/>
      <c r="F29" s="99"/>
      <c r="G29" s="1"/>
    </row>
    <row r="30" spans="1:7" x14ac:dyDescent="0.25">
      <c r="A30" s="1"/>
      <c r="B30" s="100" t="s">
        <v>201</v>
      </c>
      <c r="C30" s="101"/>
      <c r="D30" s="102"/>
      <c r="E30" s="9">
        <v>41855066.373571321</v>
      </c>
      <c r="F30" s="14" t="s">
        <v>3</v>
      </c>
      <c r="G30" s="1"/>
    </row>
    <row r="31" spans="1:7" x14ac:dyDescent="0.25">
      <c r="A31" s="1"/>
      <c r="B31" s="100" t="s">
        <v>202</v>
      </c>
      <c r="C31" s="101"/>
      <c r="D31" s="102"/>
      <c r="E31" s="9">
        <v>38595817</v>
      </c>
      <c r="F31" s="14" t="s">
        <v>3</v>
      </c>
      <c r="G31" s="1"/>
    </row>
    <row r="32" spans="1:7" x14ac:dyDescent="0.25">
      <c r="A32" s="1"/>
      <c r="B32" s="100" t="s">
        <v>36</v>
      </c>
      <c r="C32" s="101"/>
      <c r="D32" s="102"/>
      <c r="E32" s="9">
        <v>0</v>
      </c>
      <c r="F32" s="14" t="s">
        <v>3</v>
      </c>
      <c r="G32" s="1"/>
    </row>
    <row r="33" spans="1:7" x14ac:dyDescent="0.25">
      <c r="A33" s="1"/>
      <c r="B33" s="108" t="s">
        <v>210</v>
      </c>
      <c r="C33" s="109"/>
      <c r="D33" s="110"/>
      <c r="E33" s="10">
        <f>E30-(E31-E32)</f>
        <v>3259249.3735713214</v>
      </c>
      <c r="F33" s="17" t="s">
        <v>3</v>
      </c>
      <c r="G33" s="1"/>
    </row>
    <row r="34" spans="1:7" x14ac:dyDescent="0.25">
      <c r="A34" s="1"/>
      <c r="B34" s="41"/>
      <c r="C34" s="42"/>
      <c r="D34" s="42"/>
      <c r="E34" s="42"/>
      <c r="F34" s="20"/>
      <c r="G34" s="1"/>
    </row>
    <row r="35" spans="1:7" ht="28.5" customHeight="1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7" t="s">
        <v>125</v>
      </c>
      <c r="C36" s="98"/>
      <c r="D36" s="98"/>
      <c r="E36" s="98"/>
      <c r="F36" s="99"/>
      <c r="G36" s="1"/>
    </row>
    <row r="37" spans="1:7" x14ac:dyDescent="0.25">
      <c r="A37" s="1"/>
      <c r="B37" s="111" t="s">
        <v>247</v>
      </c>
      <c r="C37" s="112"/>
      <c r="D37" s="113"/>
      <c r="E37" s="9">
        <v>1</v>
      </c>
      <c r="F37" s="14"/>
      <c r="G37" s="1"/>
    </row>
    <row r="38" spans="1:7" x14ac:dyDescent="0.25">
      <c r="A38" s="1"/>
      <c r="B38" s="111" t="s">
        <v>248</v>
      </c>
      <c r="C38" s="112"/>
      <c r="D38" s="113"/>
      <c r="E38" s="9">
        <v>1</v>
      </c>
      <c r="F38" s="14"/>
      <c r="G38" s="1"/>
    </row>
    <row r="39" spans="1:7" x14ac:dyDescent="0.25">
      <c r="A39" s="1"/>
      <c r="B39" s="111" t="s">
        <v>113</v>
      </c>
      <c r="C39" s="112"/>
      <c r="D39" s="113"/>
      <c r="E39" s="9">
        <f>IF(AND(E9&lt;0,E17&gt;0,ABS(E17)&gt;ABS(E9),E25&gt;0,E33&gt;0),0,IF(AND(E9&lt;0,E17&gt;0,ABS(E17)&gt;ABS(E9),E25&lt;0,E33&gt;0,ABS(E9+E17)&gt;ABS(E25)),0,IF(AND(E9&lt;0,E17&gt;0,ABS(E17)&gt;ABS(E9),E25&lt;0,E33&gt;0,ABS(E9+E17)&lt;ABS(E25),ABS(E33)&gt;ABS(E17+E25)),0,IF(AND(E9&lt;0,E17&gt;0,ABS(E17)&gt;ABS(E9),E25&lt;0,E33&gt;0,ABS(E9+E17)&lt;ABS(E25),ABS(E33)&lt;ABS(E9+E17+E25)),(E9+E17+E25),IF(AND(E9&lt;0,E17&gt;0,ABS(E17)&gt;ABS(E9),E25&gt;0,E33&lt;0,ABS(E25)&gt;ABS(E33)),0,IF(AND(E37=0,E38=0,E9&lt;0,E17&gt;0,ABS(E17)&gt;ABS(E9),E25&gt;0,E33&lt;0,ABS(E33)&gt;ABS(E25)),(E25+E33),IF(AND(E37=1,E38=1,E9&lt;0,E17&gt;0,ABS(E17)&gt;ABS(E9),E25&gt;0,E33&lt;0,ABS(E33)&gt;ABS(E9+E17+E25)),(E9+E17+E25+E33),IF(AND(E37=1,E38=1,E9&lt;0,E17&gt;0,ABS(E17)&gt;ABS(E9),E25&gt;0,E33&lt;0,ABS(E33)&lt;ABS(E9+E17+E25)),0,IF(AND(E37=0,E38=0,E9&lt;0,E17&gt;0,ABS(E17)&gt;ABS(E9),E25&lt;0,E33&lt;0,ABS(E9+E17)&gt;ABS(E25)),E33,IF(AND(E37=1,E38=0,E9&lt;0,E17&gt;0,ABS(E17)&gt;ABS(E9),E25&lt;0,E33&lt;0,ABS(E9+E17)&gt;ABS(E25),ABS(E9+E17+E25)&gt;ABS(E33)),0,IF(AND(E37=1,E38=0,E9&lt;0,E17&gt;0,ABS(E17)&gt;ABS(E9),E25&lt;0,E33&lt;0,ABS(E9+E17)&gt;ABS(E25),ABS(E9+E17+E25)&lt;ABS(E33)),(E9+E17+E25+E33),IF(AND(E9&lt;0,E17&gt;0,ABS(E17)&gt;ABS(E9),E25&lt;0,E33&lt;0,ABS(E25)&gt;ABS(E9+E17)),(E9+E17+E25+E33),IF(AND(E9&lt;0,E17&lt;0,E25&lt;0,E33&lt;0),(E25+E33),IF(AND(E9&lt;0,E17&lt;0,E25&lt;0,E33&gt;0),E25,IF(AND(E9&lt;0,E17&lt;0,E25&gt;0,E33&lt;0,ABS(E33)&lt;ABS(E17+E25),ABS(E25)&gt;ABS(E17)),0,IF(AND(E9&lt;0,E17&lt;0,E25&gt;0,E33&lt;0,ABS(E33)&gt;ABS(E17+E25),ABS(E25)&gt;ABS(E17)),(E33+(E17+E25)),IF(AND(E9&lt;0,E17&lt;0,E25&gt;0,E33&lt;0,ABS(E17)&gt;ABS(E25)),E33,IF(AND(E9&lt;0,E17&lt;0,E25&gt;0,E33&gt;0),0,IF(AND(E9&gt;0,E17&gt;0,E25&gt;0,E33&gt;0),0,IF(AND(E9&gt;0,E17&gt;0,E25&lt;0,E33&gt;0,ABS(E17)&gt;ABS(E25)),0,IF(AND(E9&gt;0,E17&gt;0,E25&lt;0,E33&gt;0,ABS(E17)&lt;ABS(E25)),(E17+E25),IF(AND(E9&gt;0,E17&gt;0,E25&gt;0,E33&lt;0,ABS(E25)&gt;ABS(E33)),0,IF(AND(E37=0,E38=0,E9&gt;0,E17&gt;0,E25&gt;0,E33&lt;0,ABS(E33)&gt;ABS(E25)),(E25+E33),IF(AND(E37=1,E38=1,E9&gt;0,E17&gt;0,E25&gt;0,E33&lt;0,ABS(E33)&gt;ABS(E17+E25)),(E17+E25+E33),IF(AND(E37=1,E38=1,E9&gt;0,E17&gt;0,E25&gt;0,E33&lt;0,ABS(E33)&lt;ABS(E17+E25)),0,IF(AND(E37=0,E38=0,E9&gt;0,E17&gt;0,E25&lt;0,E33&lt;0,ABS(E17)&gt;ABS(E25)),E33,IF(AND(E37=1,E38=0,E9&gt;0,E17&gt;0,E25&lt;0,E33&lt;0,ABS(E17)&gt;ABS(E25),ABS(E17+E25)&gt;ABS(E33)),0,IF(AND(E37=1,E38=0,E9&gt;0,E17&gt;0,E25&lt;0,E33&lt;0,ABS(E17)&gt;ABS(E25),ABS(E17+E25)&lt;ABS(E33)),(E17+E25+E33),IF(AND(E9&gt;0,E17&gt;0,E25&lt;0,E33&lt;0,ABS(E25)&gt;ABS(E17)),(E17+E25+E33),IF(AND(E9&gt;0,E17&lt;0,ABS(E17)&gt;ABS(E9),E25&lt;0,E33&lt;0),(E25+E33),IF(AND(E9&gt;0,E17&lt;0,ABS(E17)&gt;ABS(E9),E25&lt;0,E33&gt;0),E25,IF(AND(E9&gt;0,E17&lt;0,ABS(E17)&gt;ABS(E9),E25&gt;0,E33&lt;0,ABS(E25)&gt;ABS(E9+E17),ABS(E33)&lt;ABS(E9+E17+E25)),0,IF(AND(E9&gt;0,E17&lt;0,ABS(E17)&gt;ABS(E9),E25&gt;0,E33&lt;0,ABS(E25)&gt;ABS(E9+E17),ABS(E33)&gt;ABS(E9+E17+E25)),(E33+(E9+E17+E25)),IF(AND(E9&gt;0,E17&lt;0,ABS(E17)&gt;ABS(E9),E25&gt;0,E33&lt;0,ABS(E9+E17)&gt;ABS(E25)),E33,IF(AND(E9&gt;0,E17&lt;0,ABS(E17)&gt;ABS(E9),E25&gt;0,E33&gt;0),0,IF(AND(E9&gt;0,E17&lt;0,ABS(E9)&gt;ABS(E17),E25&lt;0,E33&gt;0),E25,IF(AND(E9&gt;0,E17&lt;0,ABS(E9)&gt;ABS(E17),E25&gt;0,E33&gt;0),0,IF(AND(E9&gt;0,E17&lt;0,ABS(E9)&gt;ABS(E17),E25&lt;0,E33&lt;0),(E25+E33),IF(AND(E9&gt;0,E17&lt;0,ABS(E9)&gt;ABS(E17),E25&gt;0,E33&lt;0,ABS(E25)&gt;ABS(E33)),0,IF(AND(E9&gt;0,E17&lt;0,ABS(E9)&gt;ABS(E17),E25&gt;0,E33&lt;0,ABS(E25)&lt;ABS(E33)),(E25+E33),IF(AND(E9&lt;0,E17&gt;0,ABS(E9)&gt;ABS(E17),E25&lt;0,E33&gt;0),E25,IF(AND(E9&lt;0,E17&gt;0,ABS(E9)&gt;ABS(E17),E25&gt;0,E33&gt;0),0,IF(AND(E9&lt;0,E17&gt;0,ABS(E9)&gt;ABS(E17),E25&lt;0,E33&lt;0),(E25+E33),IF(AND(E9&lt;0,E17&gt;0,ABS(E9)&gt;ABS(E17),E25&gt;0,E33&lt;0,ABS(E25)&gt;ABS(E33)),0,IF(AND(E9&lt;0,E17&gt;0,ABS(E9)&gt;ABS(E17),E25&gt;0,E33&lt;0,ABS(E25)&lt;ABS(E33)),(E25+E33),FALSE)))))))))))))))))))))))))))))))))))))))))))))</f>
        <v>0</v>
      </c>
      <c r="F39" s="14" t="s">
        <v>3</v>
      </c>
      <c r="G39" s="1"/>
    </row>
    <row r="40" spans="1:7" x14ac:dyDescent="0.25">
      <c r="A40" s="1"/>
      <c r="B40" s="111" t="s">
        <v>130</v>
      </c>
      <c r="C40" s="112"/>
      <c r="D40" s="113"/>
      <c r="E40" s="9">
        <v>2</v>
      </c>
      <c r="F40" s="14" t="s">
        <v>19</v>
      </c>
      <c r="G40" s="1"/>
    </row>
    <row r="41" spans="1:7" ht="15" customHeight="1" x14ac:dyDescent="0.25">
      <c r="A41" s="1"/>
      <c r="B41" s="114" t="s">
        <v>203</v>
      </c>
      <c r="C41" s="114"/>
      <c r="D41" s="114"/>
      <c r="E41" s="10">
        <f>E39/E40</f>
        <v>0</v>
      </c>
      <c r="F41" s="17" t="s">
        <v>3</v>
      </c>
      <c r="G41" s="1"/>
    </row>
    <row r="42" spans="1:7" x14ac:dyDescent="0.25">
      <c r="A42" s="1"/>
      <c r="B42" s="97"/>
      <c r="C42" s="98"/>
      <c r="D42" s="98"/>
      <c r="E42" s="98"/>
      <c r="F42" s="99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  <row r="48" spans="1:7" x14ac:dyDescent="0.25">
      <c r="A48" s="37"/>
      <c r="B48" s="37"/>
      <c r="C48" s="37"/>
      <c r="D48" s="37"/>
      <c r="E48" s="37"/>
      <c r="F48" s="37"/>
      <c r="G48" s="37"/>
    </row>
    <row r="49" spans="1:7" x14ac:dyDescent="0.25">
      <c r="A49" s="37"/>
      <c r="B49" s="37"/>
      <c r="C49" s="37"/>
      <c r="D49" s="37"/>
      <c r="E49" s="37"/>
      <c r="F49" s="37"/>
      <c r="G49" s="37"/>
    </row>
  </sheetData>
  <sheetProtection algorithmName="SHA-512" hashValue="FZHKD1IInwn5+kGZxlrIfHyeZbuRIi9GJH8BIH6wxvtl5++bulk7j0qxDw3ZEkN3azE/fm0Wv8p/RpcPIA7ZsA==" saltValue="bTmiHtg2ICjuh799695kBA==" spinCount="100000" sheet="1" objects="1" scenarios="1"/>
  <mergeCells count="30">
    <mergeCell ref="B42:F42"/>
    <mergeCell ref="B25:D25"/>
    <mergeCell ref="B36:F36"/>
    <mergeCell ref="B39:D39"/>
    <mergeCell ref="B40:D40"/>
    <mergeCell ref="B41:D41"/>
    <mergeCell ref="B29:F29"/>
    <mergeCell ref="B30:D30"/>
    <mergeCell ref="B31:D31"/>
    <mergeCell ref="B32:D32"/>
    <mergeCell ref="B33:D33"/>
    <mergeCell ref="B27:F27"/>
    <mergeCell ref="B37:D37"/>
    <mergeCell ref="B38:D38"/>
    <mergeCell ref="B3:F4"/>
    <mergeCell ref="B21:F21"/>
    <mergeCell ref="B22:D22"/>
    <mergeCell ref="B23:D23"/>
    <mergeCell ref="B24:D24"/>
    <mergeCell ref="B16:D16"/>
    <mergeCell ref="B17:D17"/>
    <mergeCell ref="B6:F6"/>
    <mergeCell ref="B7:D7"/>
    <mergeCell ref="B8:D8"/>
    <mergeCell ref="B9:D9"/>
    <mergeCell ref="B13:F13"/>
    <mergeCell ref="B14:D14"/>
    <mergeCell ref="B15:D15"/>
    <mergeCell ref="B11:F11"/>
    <mergeCell ref="B19:F1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216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197</v>
      </c>
      <c r="C8" s="98"/>
      <c r="D8" s="98"/>
      <c r="E8" s="98"/>
      <c r="F8" s="98"/>
      <c r="G8" s="98"/>
      <c r="H8" s="99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4"/>
      <c r="I9" s="1"/>
    </row>
    <row r="10" spans="1:9" x14ac:dyDescent="0.25">
      <c r="A10" s="1"/>
      <c r="B10" s="53" t="s">
        <v>246</v>
      </c>
      <c r="C10" s="54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7" t="s">
        <v>198</v>
      </c>
      <c r="C11" s="98"/>
      <c r="D11" s="99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ehjFcF2Jy4m9IBTbJQGhqUhguCI/2JlCnaNw0DwDjZrN3kQTNwbZK9MCsXwoSPg7z9IIz7pQ+FU++vokXXQsHA==" saltValue="Fhg4N4i64yH6li8BJZt20g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215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94</v>
      </c>
      <c r="C8" s="42"/>
      <c r="D8" s="42"/>
      <c r="E8" s="42"/>
      <c r="F8" s="20"/>
      <c r="G8" s="1"/>
    </row>
    <row r="9" spans="1:7" ht="17.25" customHeight="1" x14ac:dyDescent="0.2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5" t="s">
        <v>240</v>
      </c>
      <c r="C11" s="22">
        <v>24917</v>
      </c>
      <c r="D11" s="14" t="s">
        <v>3</v>
      </c>
      <c r="E11" s="9">
        <v>13283</v>
      </c>
      <c r="F11" s="14" t="s">
        <v>3</v>
      </c>
      <c r="G11" s="1"/>
    </row>
    <row r="12" spans="1:7" x14ac:dyDescent="0.25">
      <c r="A12" s="1"/>
      <c r="B12" s="41" t="s">
        <v>48</v>
      </c>
      <c r="C12" s="12">
        <f>SUM(C10:C11)</f>
        <v>24917</v>
      </c>
      <c r="D12" s="13" t="s">
        <v>3</v>
      </c>
      <c r="E12" s="12">
        <f>SUM(E10:E11)</f>
        <v>13283</v>
      </c>
      <c r="F12" s="13" t="s">
        <v>3</v>
      </c>
      <c r="G12" s="1"/>
    </row>
    <row r="13" spans="1:7" x14ac:dyDescent="0.25">
      <c r="A13" s="1"/>
      <c r="B13" s="41" t="s">
        <v>173</v>
      </c>
      <c r="C13" s="12">
        <f>C12*(1+'Fane 12. Nøgletal'!C13)</f>
        <v>25220.987399999998</v>
      </c>
      <c r="D13" s="13" t="s">
        <v>3</v>
      </c>
      <c r="E13" s="12">
        <f>E12*(1+'Fane 12. Nøgletal'!C13)</f>
        <v>13445.052599999999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J6+/zc4PLnFJDMyrznzJ4h5FdbqTKqBgec7kq1KBut4P72LQC2yo8YURHPAweMmn3VFfuO3sKgdkmqTb46A3sg==" saltValue="Xqu/AUAzsbwipy7SbTYDQ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4" t="s">
        <v>214</v>
      </c>
      <c r="C3" s="74"/>
      <c r="D3" s="74"/>
      <c r="E3" s="74"/>
      <c r="F3" s="74"/>
      <c r="G3" s="1"/>
    </row>
    <row r="4" spans="1:7" ht="15" customHeight="1" x14ac:dyDescent="0.25">
      <c r="A4" s="1"/>
      <c r="B4" s="74"/>
      <c r="C4" s="74"/>
      <c r="D4" s="74"/>
      <c r="E4" s="74"/>
      <c r="F4" s="7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119</v>
      </c>
      <c r="C8" s="98"/>
      <c r="D8" s="98"/>
      <c r="E8" s="98"/>
      <c r="F8" s="99"/>
      <c r="G8" s="1"/>
    </row>
    <row r="9" spans="1:7" x14ac:dyDescent="0.25">
      <c r="A9" s="1"/>
      <c r="B9" s="48" t="s">
        <v>16</v>
      </c>
      <c r="C9" s="48" t="s">
        <v>11</v>
      </c>
      <c r="D9" s="49"/>
      <c r="E9" s="48" t="s">
        <v>34</v>
      </c>
      <c r="F9" s="44"/>
      <c r="G9" s="1"/>
    </row>
    <row r="10" spans="1:7" x14ac:dyDescent="0.25">
      <c r="A10" s="1"/>
      <c r="B10" s="25" t="s">
        <v>240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1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1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7" t="s">
        <v>120</v>
      </c>
      <c r="C16" s="98"/>
      <c r="D16" s="98"/>
      <c r="E16" s="98"/>
      <c r="F16" s="99"/>
      <c r="G16" s="1"/>
    </row>
    <row r="17" spans="1:7" x14ac:dyDescent="0.25">
      <c r="A17" s="1"/>
      <c r="B17" s="48" t="s">
        <v>16</v>
      </c>
      <c r="C17" s="48" t="s">
        <v>11</v>
      </c>
      <c r="D17" s="49"/>
      <c r="E17" s="48" t="s">
        <v>34</v>
      </c>
      <c r="F17" s="44"/>
      <c r="G17" s="1"/>
    </row>
    <row r="18" spans="1:7" x14ac:dyDescent="0.25">
      <c r="A18" s="1"/>
      <c r="B18" s="25" t="s">
        <v>240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1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1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7" t="s">
        <v>121</v>
      </c>
      <c r="C24" s="98"/>
      <c r="D24" s="98"/>
      <c r="E24" s="98"/>
      <c r="F24" s="99"/>
      <c r="G24" s="1"/>
    </row>
    <row r="25" spans="1:7" x14ac:dyDescent="0.25">
      <c r="A25" s="1"/>
      <c r="B25" s="48" t="s">
        <v>16</v>
      </c>
      <c r="C25" s="48" t="s">
        <v>11</v>
      </c>
      <c r="D25" s="49"/>
      <c r="E25" s="48" t="s">
        <v>34</v>
      </c>
      <c r="F25" s="44"/>
      <c r="G25" s="1"/>
    </row>
    <row r="26" spans="1:7" x14ac:dyDescent="0.25">
      <c r="A26" s="1"/>
      <c r="B26" s="25" t="s">
        <v>240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1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1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7" t="s">
        <v>176</v>
      </c>
      <c r="C32" s="98"/>
      <c r="D32" s="98"/>
      <c r="E32" s="98"/>
      <c r="F32" s="99"/>
      <c r="G32" s="1"/>
    </row>
    <row r="33" spans="1:7" x14ac:dyDescent="0.25">
      <c r="A33" s="1"/>
      <c r="B33" s="48" t="s">
        <v>16</v>
      </c>
      <c r="C33" s="48" t="s">
        <v>11</v>
      </c>
      <c r="D33" s="49"/>
      <c r="E33" s="48" t="s">
        <v>34</v>
      </c>
      <c r="F33" s="44"/>
      <c r="G33" s="1"/>
    </row>
    <row r="34" spans="1:7" x14ac:dyDescent="0.25">
      <c r="A34" s="1"/>
      <c r="B34" s="25" t="s">
        <v>240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1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1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ih3r4+aWUCcb31aH5RkMZgJCDSEsqxFuv7UVuiY0FUcthR5wikS+XPwco6CXOcytId0P7PDDSW7kqC+drquNg==" saltValue="/ZeB2QSeknXrHLr/Aorcu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213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156</v>
      </c>
      <c r="C8" s="98"/>
      <c r="D8" s="98"/>
      <c r="E8" s="98"/>
      <c r="F8" s="99"/>
      <c r="G8" s="1"/>
    </row>
    <row r="9" spans="1:7" ht="15" customHeight="1" x14ac:dyDescent="0.25">
      <c r="A9" s="1"/>
      <c r="B9" s="43" t="s">
        <v>157</v>
      </c>
      <c r="C9" s="88" t="s">
        <v>11</v>
      </c>
      <c r="D9" s="90"/>
      <c r="E9" s="88" t="s">
        <v>34</v>
      </c>
      <c r="F9" s="90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qcVoHmZ/M7tyFuXOoHbUevjSOCAfsVc1fE7vaGxl1wd+QEyE9E1kzaN4T4RHYLXI636zI97OGd64OvOoeXTnWw==" saltValue="tZUEHq8CUnVz8TEaNo9S7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212</v>
      </c>
      <c r="C3" s="93"/>
      <c r="D3" s="93"/>
      <c r="E3" s="93"/>
      <c r="F3" s="93"/>
      <c r="G3" s="1"/>
    </row>
    <row r="4" spans="1:7" ht="25.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7" t="s">
        <v>111</v>
      </c>
      <c r="C8" s="98"/>
      <c r="D8" s="98"/>
      <c r="E8" s="98"/>
      <c r="F8" s="99"/>
      <c r="G8" s="1"/>
    </row>
    <row r="9" spans="1:7" ht="15" customHeight="1" x14ac:dyDescent="0.25">
      <c r="A9" s="1"/>
      <c r="B9" s="43" t="s">
        <v>17</v>
      </c>
      <c r="C9" s="43" t="s">
        <v>11</v>
      </c>
      <c r="D9" s="44"/>
      <c r="E9" s="43" t="s">
        <v>34</v>
      </c>
      <c r="F9" s="44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1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1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7" t="s">
        <v>110</v>
      </c>
      <c r="C15" s="98"/>
      <c r="D15" s="98"/>
      <c r="E15" s="98"/>
      <c r="F15" s="99"/>
      <c r="G15" s="1"/>
    </row>
    <row r="16" spans="1:7" ht="26.25" x14ac:dyDescent="0.25">
      <c r="A16" s="1"/>
      <c r="B16" s="43" t="s">
        <v>17</v>
      </c>
      <c r="C16" s="43" t="s">
        <v>11</v>
      </c>
      <c r="D16" s="44"/>
      <c r="E16" s="43" t="s">
        <v>34</v>
      </c>
      <c r="F16" s="44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1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1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7" t="s">
        <v>112</v>
      </c>
      <c r="C22" s="98"/>
      <c r="D22" s="98"/>
      <c r="E22" s="98"/>
      <c r="F22" s="99"/>
      <c r="G22" s="1"/>
    </row>
    <row r="23" spans="1:7" ht="26.25" x14ac:dyDescent="0.25">
      <c r="A23" s="1"/>
      <c r="B23" s="43" t="s">
        <v>17</v>
      </c>
      <c r="C23" s="43" t="s">
        <v>11</v>
      </c>
      <c r="D23" s="44"/>
      <c r="E23" s="43" t="s">
        <v>34</v>
      </c>
      <c r="F23" s="44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1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1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7" t="s">
        <v>182</v>
      </c>
      <c r="C29" s="98"/>
      <c r="D29" s="98"/>
      <c r="E29" s="98"/>
      <c r="F29" s="99"/>
      <c r="G29" s="1"/>
    </row>
    <row r="30" spans="1:7" ht="26.25" x14ac:dyDescent="0.25">
      <c r="A30" s="1"/>
      <c r="B30" s="43" t="s">
        <v>17</v>
      </c>
      <c r="C30" s="43" t="s">
        <v>11</v>
      </c>
      <c r="D30" s="44"/>
      <c r="E30" s="43" t="s">
        <v>34</v>
      </c>
      <c r="F30" s="44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1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1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2dWGVz7+peXRZmg2eVqK3y8vhvXt5orRGQxwJWj1+TQyJ9Yz1kyFjE753OKrZCKyL+3kUYCQTSDf0ri5tAvONw==" saltValue="lvqHePXedoMb6rt7hz7iE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3" t="s">
        <v>211</v>
      </c>
      <c r="C3" s="93"/>
      <c r="D3" s="1"/>
    </row>
    <row r="4" spans="1:4" ht="25.5" customHeight="1" x14ac:dyDescent="0.25">
      <c r="A4" s="1"/>
      <c r="B4" s="93"/>
      <c r="C4" s="9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1" t="s">
        <v>14</v>
      </c>
      <c r="C8" s="20"/>
      <c r="D8" s="1"/>
    </row>
    <row r="9" spans="1:4" x14ac:dyDescent="0.25">
      <c r="A9" s="1"/>
      <c r="B9" s="50" t="s">
        <v>141</v>
      </c>
      <c r="C9" s="26">
        <v>1.2699999999999999E-2</v>
      </c>
      <c r="D9" s="1"/>
    </row>
    <row r="10" spans="1:4" x14ac:dyDescent="0.25">
      <c r="A10" s="1"/>
      <c r="B10" s="50" t="s">
        <v>22</v>
      </c>
      <c r="C10" s="26">
        <v>1.7500000000000002E-2</v>
      </c>
      <c r="D10" s="1"/>
    </row>
    <row r="11" spans="1:4" x14ac:dyDescent="0.25">
      <c r="A11" s="1"/>
      <c r="B11" s="50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7"/>
      <c r="C14" s="99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1" t="s">
        <v>126</v>
      </c>
      <c r="C17" s="20"/>
      <c r="D17" s="1"/>
    </row>
    <row r="18" spans="1:4" x14ac:dyDescent="0.25">
      <c r="A18" s="1"/>
      <c r="B18" s="50" t="s">
        <v>143</v>
      </c>
      <c r="C18" s="23">
        <v>9.1000000000000004E-3</v>
      </c>
      <c r="D18" s="1"/>
    </row>
    <row r="19" spans="1:4" x14ac:dyDescent="0.25">
      <c r="A19" s="1"/>
      <c r="B19" s="50" t="s">
        <v>144</v>
      </c>
      <c r="C19" s="23">
        <v>1.77E-2</v>
      </c>
      <c r="D19" s="1"/>
    </row>
    <row r="20" spans="1:4" x14ac:dyDescent="0.25">
      <c r="A20" s="1"/>
      <c r="B20" s="50" t="s">
        <v>145</v>
      </c>
      <c r="C20" s="23">
        <v>8.6999999999999994E-3</v>
      </c>
      <c r="D20" s="1"/>
    </row>
    <row r="21" spans="1:4" x14ac:dyDescent="0.25">
      <c r="A21" s="1"/>
      <c r="B21" s="50" t="s">
        <v>146</v>
      </c>
      <c r="C21" s="36">
        <v>2.8400000000000002E-2</v>
      </c>
      <c r="D21" s="1"/>
    </row>
    <row r="22" spans="1:4" x14ac:dyDescent="0.25">
      <c r="A22" s="1"/>
      <c r="B22" s="50" t="s">
        <v>186</v>
      </c>
      <c r="C22" s="36">
        <v>2.75E-2</v>
      </c>
      <c r="D22" s="1"/>
    </row>
    <row r="23" spans="1:4" x14ac:dyDescent="0.25">
      <c r="A23" s="1"/>
      <c r="B23" s="41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1" t="s">
        <v>127</v>
      </c>
      <c r="C26" s="20"/>
      <c r="D26" s="1"/>
    </row>
    <row r="27" spans="1:4" x14ac:dyDescent="0.25">
      <c r="A27" s="1"/>
      <c r="B27" s="50" t="s">
        <v>147</v>
      </c>
      <c r="C27" s="26">
        <v>0.02</v>
      </c>
      <c r="D27" s="1"/>
    </row>
    <row r="28" spans="1:4" x14ac:dyDescent="0.25">
      <c r="A28" s="1"/>
      <c r="B28" s="41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WOP3eboj2r+YvfjziVK7zPsiRoK3rCqOTxQZ5/mWH0ZCJ0h3QGpDMvoa1FWkXG66b5cRjLrjcBw3NELeP9EoAw==" saltValue="mKhCnmXLLarf+FmpUV4PRw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161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13</v>
      </c>
      <c r="C8" s="42"/>
      <c r="D8" s="20"/>
      <c r="E8" s="1"/>
    </row>
    <row r="9" spans="1:5" x14ac:dyDescent="0.25">
      <c r="A9" s="1"/>
      <c r="B9" s="46" t="s">
        <v>25</v>
      </c>
      <c r="C9" s="7">
        <f>'Fane 3. Omkostninger i ØR2020'!E20</f>
        <v>23458052.763801266</v>
      </c>
      <c r="D9" s="8" t="s">
        <v>3</v>
      </c>
      <c r="E9" s="1"/>
    </row>
    <row r="10" spans="1:5" x14ac:dyDescent="0.25">
      <c r="A10" s="1"/>
      <c r="B10" s="46" t="s">
        <v>242</v>
      </c>
      <c r="C10" s="7">
        <v>-12113.622645414729</v>
      </c>
      <c r="D10" s="8" t="s">
        <v>3</v>
      </c>
      <c r="E10" s="1"/>
    </row>
    <row r="11" spans="1:5" ht="17.100000000000001" customHeight="1" x14ac:dyDescent="0.25">
      <c r="A11" s="1"/>
      <c r="B11" s="31" t="s">
        <v>45</v>
      </c>
      <c r="C11" s="7">
        <f>'Fane 9.1. Varige tillæg'!C13</f>
        <v>25220.987399999998</v>
      </c>
      <c r="D11" s="8" t="s">
        <v>3</v>
      </c>
      <c r="E11" s="1"/>
    </row>
    <row r="12" spans="1:5" ht="17.100000000000001" customHeight="1" x14ac:dyDescent="0.25">
      <c r="A12" s="1"/>
      <c r="B12" s="31" t="s">
        <v>46</v>
      </c>
      <c r="C12" s="9">
        <f>'Fane 9.1. Varige tillæg'!E13</f>
        <v>13445.052599999999</v>
      </c>
      <c r="D12" s="8" t="s">
        <v>3</v>
      </c>
      <c r="E12" s="1"/>
    </row>
    <row r="13" spans="1:5" ht="17.100000000000001" customHeight="1" x14ac:dyDescent="0.25">
      <c r="A13" s="1"/>
      <c r="B13" s="31" t="s">
        <v>30</v>
      </c>
      <c r="C13" s="9">
        <f>-'Fane 11. Bortfald'!C12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29</v>
      </c>
      <c r="C14" s="9">
        <f>-'Fane 11. Bortfald'!E12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159</v>
      </c>
      <c r="C15" s="9">
        <f>'Fane 10. Tilknyttet virksomhed'!C12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160</v>
      </c>
      <c r="C16" s="9">
        <f>'Fane 10. Tilknyttet virksomhed'!E12</f>
        <v>0</v>
      </c>
      <c r="D16" s="8" t="s">
        <v>3</v>
      </c>
      <c r="E16" s="1"/>
    </row>
    <row r="17" spans="1:5" ht="17.100000000000001" customHeight="1" x14ac:dyDescent="0.25">
      <c r="A17" s="1"/>
      <c r="B17" s="31" t="s">
        <v>18</v>
      </c>
      <c r="C17" s="9">
        <f>SUM(C9:C16)*'Fane 12. Nøgletal'!C13</f>
        <v>286512.18321010139</v>
      </c>
      <c r="D17" s="8" t="s">
        <v>3</v>
      </c>
      <c r="E17" s="1"/>
    </row>
    <row r="18" spans="1:5" ht="17.100000000000001" customHeight="1" x14ac:dyDescent="0.25">
      <c r="A18" s="1"/>
      <c r="B18" s="31" t="s">
        <v>9</v>
      </c>
      <c r="C18" s="9">
        <f>-SUM(C9:C17)*'Fane 5. Individuelt eff. krav'!G10</f>
        <v>-226603.72177366455</v>
      </c>
      <c r="D18" s="8" t="s">
        <v>3</v>
      </c>
      <c r="E18" s="1"/>
    </row>
    <row r="19" spans="1:5" ht="17.100000000000001" customHeight="1" x14ac:dyDescent="0.25">
      <c r="A19" s="1"/>
      <c r="B19" s="31" t="s">
        <v>27</v>
      </c>
      <c r="C19" s="9">
        <f>-'Fane 4.1. Gen. krav - drift'!G31</f>
        <v>-228851.06333429192</v>
      </c>
      <c r="D19" s="8" t="s">
        <v>3</v>
      </c>
      <c r="E19" s="1"/>
    </row>
    <row r="20" spans="1:5" ht="17.100000000000001" customHeight="1" x14ac:dyDescent="0.25">
      <c r="A20" s="1"/>
      <c r="B20" s="31" t="s">
        <v>28</v>
      </c>
      <c r="C20" s="9">
        <f>-'Fane 4.2. Gen. krav - anlæg'!G31</f>
        <v>-385812.73451557441</v>
      </c>
      <c r="D20" s="8" t="s">
        <v>3</v>
      </c>
      <c r="E20" s="1"/>
    </row>
    <row r="21" spans="1:5" ht="17.100000000000001" customHeight="1" x14ac:dyDescent="0.25">
      <c r="A21" s="1"/>
      <c r="B21" s="51" t="s">
        <v>20</v>
      </c>
      <c r="C21" s="10">
        <f>SUM(C9:C20)</f>
        <v>22929849.844742417</v>
      </c>
      <c r="D21" s="11" t="s">
        <v>3</v>
      </c>
      <c r="E21" s="1"/>
    </row>
    <row r="22" spans="1:5" ht="15" customHeight="1" x14ac:dyDescent="0.25">
      <c r="A22" s="1"/>
      <c r="B22" s="41" t="s">
        <v>12</v>
      </c>
      <c r="C22" s="42"/>
      <c r="D22" s="20"/>
      <c r="E22" s="1"/>
    </row>
    <row r="23" spans="1:5" ht="15" customHeight="1" x14ac:dyDescent="0.25">
      <c r="A23" s="1"/>
      <c r="B23" s="43" t="s">
        <v>12</v>
      </c>
      <c r="C23" s="10">
        <f>'Fane 6. Ikke-påvirkelige omk.'!C16</f>
        <v>16294784.838812744</v>
      </c>
      <c r="D23" s="11" t="s">
        <v>3</v>
      </c>
      <c r="E23" s="1"/>
    </row>
    <row r="24" spans="1:5" ht="15" customHeight="1" x14ac:dyDescent="0.25">
      <c r="A24" s="1"/>
      <c r="B24" s="41" t="s">
        <v>99</v>
      </c>
      <c r="C24" s="42"/>
      <c r="D24" s="20"/>
      <c r="E24" s="1"/>
    </row>
    <row r="25" spans="1:5" ht="15" customHeight="1" x14ac:dyDescent="0.25">
      <c r="A25" s="1"/>
      <c r="B25" s="31" t="s">
        <v>95</v>
      </c>
      <c r="C25" s="9">
        <f>'Fane 9.2. Engangstillæg'!C14</f>
        <v>0</v>
      </c>
      <c r="D25" s="8" t="s">
        <v>3</v>
      </c>
      <c r="E25" s="1"/>
    </row>
    <row r="26" spans="1:5" ht="15" customHeight="1" x14ac:dyDescent="0.25">
      <c r="A26" s="1"/>
      <c r="B26" s="31" t="s">
        <v>96</v>
      </c>
      <c r="C26" s="9">
        <f>'Fane 9.2. Engangstillæg'!E14</f>
        <v>0</v>
      </c>
      <c r="D26" s="8" t="s">
        <v>3</v>
      </c>
      <c r="E26" s="1"/>
    </row>
    <row r="27" spans="1:5" x14ac:dyDescent="0.25">
      <c r="A27" s="1"/>
      <c r="B27" s="51" t="s">
        <v>100</v>
      </c>
      <c r="C27" s="10">
        <f>SUM(C25:C26)</f>
        <v>0</v>
      </c>
      <c r="D27" s="11" t="s">
        <v>3</v>
      </c>
      <c r="E27" s="1"/>
    </row>
    <row r="28" spans="1:5" ht="15" customHeight="1" x14ac:dyDescent="0.25">
      <c r="A28" s="1"/>
      <c r="B28" s="38" t="s">
        <v>204</v>
      </c>
      <c r="C28" s="42"/>
      <c r="D28" s="20"/>
      <c r="E28" s="1"/>
    </row>
    <row r="29" spans="1:5" x14ac:dyDescent="0.25">
      <c r="A29" s="1"/>
      <c r="B29" s="39" t="s">
        <v>205</v>
      </c>
      <c r="C29" s="10">
        <f>'Fane 7. Kontrol af ØR2019'!E41</f>
        <v>0</v>
      </c>
      <c r="D29" s="11" t="s">
        <v>3</v>
      </c>
      <c r="E29" s="1"/>
    </row>
    <row r="30" spans="1:5" x14ac:dyDescent="0.25">
      <c r="A30" s="1"/>
      <c r="B30" s="38" t="s">
        <v>243</v>
      </c>
      <c r="C30" s="42"/>
      <c r="D30" s="20"/>
      <c r="E30" s="1"/>
    </row>
    <row r="31" spans="1:5" x14ac:dyDescent="0.25">
      <c r="A31" s="1"/>
      <c r="B31" s="39" t="s">
        <v>244</v>
      </c>
      <c r="C31" s="10">
        <v>430.34943973586604</v>
      </c>
      <c r="D31" s="11" t="s">
        <v>3</v>
      </c>
      <c r="E31" s="1"/>
    </row>
    <row r="32" spans="1:5" x14ac:dyDescent="0.25">
      <c r="A32" s="1"/>
      <c r="B32" s="41" t="s">
        <v>31</v>
      </c>
      <c r="C32" s="32">
        <f>SUM(C21,C23,C27,C29,C31)</f>
        <v>39225065.032994896</v>
      </c>
      <c r="D32" s="20" t="s">
        <v>3</v>
      </c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I+VdAGLOYCw8M4bzWSE9kvlRDJAsbvA43V56MMPZGevBwzPELHFKPua5yg1/PVSZwSnQ/bMWW0JcA3ehh3DMLg==" saltValue="pIbIgihtb3VA8s48IXZNf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162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/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1" t="s">
        <v>13</v>
      </c>
      <c r="C8" s="42"/>
      <c r="D8" s="20"/>
      <c r="E8" s="1"/>
    </row>
    <row r="9" spans="1:5" ht="15" customHeight="1" x14ac:dyDescent="0.25">
      <c r="A9" s="1"/>
      <c r="B9" s="46" t="s">
        <v>26</v>
      </c>
      <c r="C9" s="7">
        <f>'Fane 2.1. Økonomisk ramme 2021'!C21</f>
        <v>22929849.844742417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0" t="s">
        <v>18</v>
      </c>
      <c r="C12" s="9">
        <f>SUM(C9:C11)*'Fane 12. Nøgletal'!C13</f>
        <v>279744.1681058575</v>
      </c>
      <c r="D12" s="8" t="s">
        <v>3</v>
      </c>
      <c r="E12" s="1"/>
    </row>
    <row r="13" spans="1:5" ht="15" customHeight="1" x14ac:dyDescent="0.25">
      <c r="A13" s="1"/>
      <c r="B13" s="40" t="s">
        <v>9</v>
      </c>
      <c r="C13" s="9">
        <f>-SUM(C9:C12)*'Fane 5. Individuelt eff. krav'!G10</f>
        <v>-221250.86942910164</v>
      </c>
      <c r="D13" s="8" t="s">
        <v>3</v>
      </c>
      <c r="E13" s="1"/>
    </row>
    <row r="14" spans="1:5" ht="15" customHeight="1" x14ac:dyDescent="0.25">
      <c r="A14" s="1"/>
      <c r="B14" s="40" t="s">
        <v>27</v>
      </c>
      <c r="C14" s="9">
        <f>-'Fane 4.1. Gen. krav - drift'!G37</f>
        <v>-227010.1853808309</v>
      </c>
      <c r="D14" s="8" t="s">
        <v>3</v>
      </c>
      <c r="E14" s="1"/>
    </row>
    <row r="15" spans="1:5" ht="15" customHeight="1" x14ac:dyDescent="0.25">
      <c r="A15" s="1"/>
      <c r="B15" s="40" t="s">
        <v>28</v>
      </c>
      <c r="C15" s="9">
        <f>-'Fane 4.2. Gen. krav - anlæg'!G37</f>
        <v>-379780.35950505611</v>
      </c>
      <c r="D15" s="8" t="s">
        <v>3</v>
      </c>
      <c r="E15" s="1"/>
    </row>
    <row r="16" spans="1:5" ht="15" customHeight="1" x14ac:dyDescent="0.25">
      <c r="A16" s="1"/>
      <c r="B16" s="47" t="s">
        <v>20</v>
      </c>
      <c r="C16" s="10">
        <f>SUM(C9:C15)</f>
        <v>22381552.598533288</v>
      </c>
      <c r="D16" s="11" t="s">
        <v>3</v>
      </c>
      <c r="E16" s="1"/>
    </row>
    <row r="17" spans="1:5" x14ac:dyDescent="0.25">
      <c r="A17" s="1"/>
      <c r="B17" s="41" t="s">
        <v>12</v>
      </c>
      <c r="C17" s="42"/>
      <c r="D17" s="20"/>
      <c r="E17" s="1"/>
    </row>
    <row r="18" spans="1:5" ht="15" customHeight="1" x14ac:dyDescent="0.25">
      <c r="A18" s="1"/>
      <c r="B18" s="43" t="s">
        <v>12</v>
      </c>
      <c r="C18" s="10">
        <f>'Fane 6. Ikke-påvirkelige omk.'!C16*(1+'Fane 12. Nøgletal'!C13)</f>
        <v>16493581.213846259</v>
      </c>
      <c r="D18" s="11" t="s">
        <v>3</v>
      </c>
      <c r="E18" s="1"/>
    </row>
    <row r="19" spans="1:5" ht="15" customHeight="1" x14ac:dyDescent="0.25">
      <c r="A19" s="1"/>
      <c r="B19" s="41" t="s">
        <v>99</v>
      </c>
      <c r="C19" s="42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51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2"/>
      <c r="D23" s="20"/>
      <c r="E23" s="1"/>
    </row>
    <row r="24" spans="1:5" ht="15" customHeight="1" x14ac:dyDescent="0.25">
      <c r="A24" s="1"/>
      <c r="B24" s="52" t="s">
        <v>205</v>
      </c>
      <c r="C24" s="10">
        <f>'Fane 7. Kontrol af ØR2019'!E41</f>
        <v>0</v>
      </c>
      <c r="D24" s="11" t="s">
        <v>3</v>
      </c>
      <c r="E24" s="1"/>
    </row>
    <row r="25" spans="1:5" x14ac:dyDescent="0.25">
      <c r="A25" s="1"/>
      <c r="B25" s="41" t="s">
        <v>32</v>
      </c>
      <c r="C25" s="12">
        <f>SUM(C16,C18,C22,C24)</f>
        <v>38875133.812379546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L2+LjE27b30Z8DzDS7Hjek+f0HGk7Uo8L4iiw56/ZLYdvY/w6c+MUNNYSQFYWhgVxbRxsPm7tDGrbB7cMuj7Q==" saltValue="uirs7x6vQES2BtlzEt44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163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1" t="s">
        <v>13</v>
      </c>
      <c r="C7" s="42"/>
      <c r="D7" s="20"/>
      <c r="E7" s="1"/>
    </row>
    <row r="8" spans="1:5" ht="15" customHeight="1" x14ac:dyDescent="0.25">
      <c r="A8" s="1"/>
      <c r="B8" s="46" t="s">
        <v>165</v>
      </c>
      <c r="C8" s="7">
        <f>'Fane 2.2. Økonomisk ramme 2022'!C16</f>
        <v>22381552.598533288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273054.94170210615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-215960.33140766891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drift'!G43</f>
        <v>-225184.11544962745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anlæg'!G43</f>
        <v>-373842.30369401484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21839620.789684083</v>
      </c>
      <c r="D15" s="11" t="s">
        <v>3</v>
      </c>
      <c r="E15" s="1"/>
    </row>
    <row r="16" spans="1:5" x14ac:dyDescent="0.25">
      <c r="A16" s="1"/>
      <c r="B16" s="41" t="s">
        <v>12</v>
      </c>
      <c r="C16" s="42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omk.'!C16*(1+'Fane 12. Nøgletal'!C13)^2</f>
        <v>16694802.904655185</v>
      </c>
      <c r="D17" s="11" t="s">
        <v>3</v>
      </c>
      <c r="E17" s="1"/>
    </row>
    <row r="18" spans="1:5" ht="15" customHeight="1" x14ac:dyDescent="0.25">
      <c r="A18" s="1"/>
      <c r="B18" s="41" t="s">
        <v>99</v>
      </c>
      <c r="C18" s="42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1" t="s">
        <v>109</v>
      </c>
      <c r="C22" s="12">
        <f>SUM(C15,C17,C21)</f>
        <v>38534423.694339268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2l7Nw4KPPCY7lh4Y8sxfXGBSts5508qNw7tJBM/3xWC40rufer9Wt1arhEHPH+0Nf3koKFJFNrLwLJYfNSJV+w==" saltValue="OLxTJNu1dKAqv4kE+Bqwg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4" t="s">
        <v>164</v>
      </c>
      <c r="C3" s="74"/>
      <c r="D3" s="74"/>
      <c r="E3" s="1"/>
    </row>
    <row r="4" spans="1:5" ht="15" customHeight="1" x14ac:dyDescent="0.25">
      <c r="A4" s="1"/>
      <c r="B4" s="74"/>
      <c r="C4" s="74"/>
      <c r="D4" s="74"/>
      <c r="E4" s="1"/>
    </row>
    <row r="5" spans="1:5" x14ac:dyDescent="0.25">
      <c r="A5" s="1"/>
      <c r="B5" s="75" t="s">
        <v>21</v>
      </c>
      <c r="C5" s="75"/>
      <c r="D5" s="75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1" t="s">
        <v>13</v>
      </c>
      <c r="C7" s="42"/>
      <c r="D7" s="20"/>
      <c r="E7" s="1"/>
    </row>
    <row r="8" spans="1:5" ht="15" customHeight="1" x14ac:dyDescent="0.25">
      <c r="A8" s="1"/>
      <c r="B8" s="46" t="s">
        <v>166</v>
      </c>
      <c r="C8" s="7">
        <f>'Fane 2.3. Økonomisk ramme 2023'!C15</f>
        <v>21839620.789684083</v>
      </c>
      <c r="D8" s="8" t="s">
        <v>3</v>
      </c>
      <c r="E8" s="1"/>
    </row>
    <row r="9" spans="1:5" ht="15" customHeight="1" x14ac:dyDescent="0.25">
      <c r="A9" s="1"/>
      <c r="B9" s="46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6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0" t="s">
        <v>18</v>
      </c>
      <c r="C11" s="9">
        <f>SUM(C8:C10)*'Fane 12. Nøgletal'!C13</f>
        <v>266443.37363414583</v>
      </c>
      <c r="D11" s="8" t="s">
        <v>3</v>
      </c>
      <c r="E11" s="1"/>
    </row>
    <row r="12" spans="1:5" ht="15" customHeight="1" x14ac:dyDescent="0.25">
      <c r="A12" s="1"/>
      <c r="B12" s="40" t="s">
        <v>9</v>
      </c>
      <c r="C12" s="9">
        <f>-SUM(C8:C11)*'Fane 5. Individuelt eff. krav'!G10</f>
        <v>-210731.21369904751</v>
      </c>
      <c r="D12" s="8" t="s">
        <v>3</v>
      </c>
      <c r="E12" s="1"/>
    </row>
    <row r="13" spans="1:5" ht="15" customHeight="1" x14ac:dyDescent="0.25">
      <c r="A13" s="1"/>
      <c r="B13" s="40" t="s">
        <v>27</v>
      </c>
      <c r="C13" s="9">
        <f>-'Fane 4.1. Gen. krav - drift'!G49</f>
        <v>-223372.73442495064</v>
      </c>
      <c r="D13" s="8" t="s">
        <v>3</v>
      </c>
      <c r="E13" s="1"/>
    </row>
    <row r="14" spans="1:5" ht="15" customHeight="1" x14ac:dyDescent="0.25">
      <c r="A14" s="1"/>
      <c r="B14" s="40" t="s">
        <v>28</v>
      </c>
      <c r="C14" s="9">
        <f>-'Fane 4.2. Gen. krav - anlæg'!G49</f>
        <v>-367997.09235460707</v>
      </c>
      <c r="D14" s="8" t="s">
        <v>3</v>
      </c>
      <c r="E14" s="1"/>
    </row>
    <row r="15" spans="1:5" x14ac:dyDescent="0.25">
      <c r="A15" s="1"/>
      <c r="B15" s="47" t="s">
        <v>20</v>
      </c>
      <c r="C15" s="10">
        <f>SUM(C8:C14)</f>
        <v>21303963.122839622</v>
      </c>
      <c r="D15" s="11" t="s">
        <v>3</v>
      </c>
      <c r="E15" s="1"/>
    </row>
    <row r="16" spans="1:5" x14ac:dyDescent="0.25">
      <c r="A16" s="1"/>
      <c r="B16" s="41" t="s">
        <v>12</v>
      </c>
      <c r="C16" s="42"/>
      <c r="D16" s="20"/>
      <c r="E16" s="1"/>
    </row>
    <row r="17" spans="1:5" ht="15" customHeight="1" x14ac:dyDescent="0.25">
      <c r="A17" s="1"/>
      <c r="B17" s="43" t="s">
        <v>12</v>
      </c>
      <c r="C17" s="10">
        <f>'Fane 6. Ikke-påvirkelige omk.'!C16*(1+'Fane 12. Nøgletal'!C13)^3</f>
        <v>16898479.500091977</v>
      </c>
      <c r="D17" s="11" t="s">
        <v>3</v>
      </c>
      <c r="E17" s="1"/>
    </row>
    <row r="18" spans="1:5" ht="15" customHeight="1" x14ac:dyDescent="0.25">
      <c r="A18" s="1"/>
      <c r="B18" s="41" t="s">
        <v>99</v>
      </c>
      <c r="C18" s="42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51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1" t="s">
        <v>241</v>
      </c>
      <c r="C22" s="12">
        <f>SUM(C15,C17,C21)</f>
        <v>38202442.6229316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KhCgkGmENZNPkLZAr1LSE97AxeKbZlnWamqmLRVDFT9/LGPlxxRdiznqIgwFmErXrrCii+BWjQeBChP6zZuiXw==" saltValue="8pbZk4xAuvE/f4to8MJV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3" t="s">
        <v>180</v>
      </c>
      <c r="C3" s="93"/>
      <c r="D3" s="93"/>
      <c r="E3" s="93"/>
      <c r="F3" s="93"/>
      <c r="G3" s="1"/>
    </row>
    <row r="4" spans="1:7" ht="29.25" customHeight="1" x14ac:dyDescent="0.25">
      <c r="A4" s="1"/>
      <c r="B4" s="93"/>
      <c r="C4" s="93"/>
      <c r="D4" s="93"/>
      <c r="E4" s="93"/>
      <c r="F4" s="9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167</v>
      </c>
      <c r="C8" s="42"/>
      <c r="D8" s="42"/>
      <c r="E8" s="42"/>
      <c r="F8" s="20"/>
      <c r="G8" s="1"/>
    </row>
    <row r="9" spans="1:7" x14ac:dyDescent="0.25">
      <c r="A9" s="1"/>
      <c r="B9" s="94" t="s">
        <v>23</v>
      </c>
      <c r="C9" s="95"/>
      <c r="D9" s="96"/>
      <c r="E9" s="7">
        <v>23385145.049684521</v>
      </c>
      <c r="F9" s="8" t="s">
        <v>3</v>
      </c>
      <c r="G9" s="1"/>
    </row>
    <row r="10" spans="1:7" ht="15" customHeight="1" x14ac:dyDescent="0.25">
      <c r="A10" s="1"/>
      <c r="B10" s="79" t="s">
        <v>45</v>
      </c>
      <c r="C10" s="80"/>
      <c r="D10" s="81"/>
      <c r="E10" s="7">
        <v>442486.57860000001</v>
      </c>
      <c r="F10" s="8" t="s">
        <v>3</v>
      </c>
      <c r="G10" s="1"/>
    </row>
    <row r="11" spans="1:7" ht="15" customHeight="1" x14ac:dyDescent="0.25">
      <c r="A11" s="1"/>
      <c r="B11" s="79" t="s">
        <v>46</v>
      </c>
      <c r="C11" s="80"/>
      <c r="D11" s="81"/>
      <c r="E11" s="9">
        <v>6367.0068000000001</v>
      </c>
      <c r="F11" s="8" t="s">
        <v>3</v>
      </c>
      <c r="G11" s="1"/>
    </row>
    <row r="12" spans="1:7" x14ac:dyDescent="0.25">
      <c r="A12" s="1"/>
      <c r="B12" s="79" t="s">
        <v>30</v>
      </c>
      <c r="C12" s="80"/>
      <c r="D12" s="81"/>
      <c r="E12" s="9">
        <v>0</v>
      </c>
      <c r="F12" s="8" t="s">
        <v>3</v>
      </c>
      <c r="G12" s="1"/>
    </row>
    <row r="13" spans="1:7" x14ac:dyDescent="0.25">
      <c r="A13" s="1"/>
      <c r="B13" s="79" t="s">
        <v>29</v>
      </c>
      <c r="C13" s="80"/>
      <c r="D13" s="81"/>
      <c r="E13" s="9">
        <v>0</v>
      </c>
      <c r="F13" s="8" t="s">
        <v>3</v>
      </c>
      <c r="G13" s="1"/>
    </row>
    <row r="14" spans="1:7" x14ac:dyDescent="0.25">
      <c r="A14" s="1"/>
      <c r="B14" s="79" t="s">
        <v>159</v>
      </c>
      <c r="C14" s="80"/>
      <c r="D14" s="81"/>
      <c r="E14" s="9">
        <v>0</v>
      </c>
      <c r="F14" s="8" t="s">
        <v>3</v>
      </c>
      <c r="G14" s="1"/>
    </row>
    <row r="15" spans="1:7" x14ac:dyDescent="0.25">
      <c r="A15" s="1"/>
      <c r="B15" s="79" t="s">
        <v>160</v>
      </c>
      <c r="C15" s="80"/>
      <c r="D15" s="81"/>
      <c r="E15" s="9">
        <v>0</v>
      </c>
      <c r="F15" s="8" t="s">
        <v>3</v>
      </c>
      <c r="G15" s="1"/>
    </row>
    <row r="16" spans="1:7" x14ac:dyDescent="0.25">
      <c r="A16" s="1"/>
      <c r="B16" s="79" t="s">
        <v>18</v>
      </c>
      <c r="C16" s="80"/>
      <c r="D16" s="81"/>
      <c r="E16" s="9">
        <f>E9*'Fane 12. Nøgletal'!C11+SUM(E10:E15)*'Fane 12. Nøgletal'!C12</f>
        <v>404051.36697204836</v>
      </c>
      <c r="F16" s="8" t="s">
        <v>3</v>
      </c>
      <c r="G16" s="1"/>
    </row>
    <row r="17" spans="1:7" x14ac:dyDescent="0.25">
      <c r="A17" s="1"/>
      <c r="B17" s="79" t="s">
        <v>9</v>
      </c>
      <c r="C17" s="80"/>
      <c r="D17" s="81"/>
      <c r="E17" s="9">
        <f>-SUM(E9:E16)*'Fane 5. Individuelt eff. krav'!G9</f>
        <v>-428149.78192280134</v>
      </c>
      <c r="F17" s="8" t="s">
        <v>3</v>
      </c>
      <c r="G17" s="1"/>
    </row>
    <row r="18" spans="1:7" x14ac:dyDescent="0.25">
      <c r="A18" s="1"/>
      <c r="B18" s="79" t="s">
        <v>27</v>
      </c>
      <c r="C18" s="80"/>
      <c r="D18" s="81"/>
      <c r="E18" s="9">
        <f>-'Fane 4.1. Gen. krav - drift'!G25</f>
        <v>-230192.15536310713</v>
      </c>
      <c r="F18" s="8" t="s">
        <v>3</v>
      </c>
      <c r="G18" s="1"/>
    </row>
    <row r="19" spans="1:7" x14ac:dyDescent="0.25">
      <c r="A19" s="1"/>
      <c r="B19" s="79" t="s">
        <v>28</v>
      </c>
      <c r="C19" s="80"/>
      <c r="D19" s="81"/>
      <c r="E19" s="9">
        <f>-'Fane 4.2. Gen. krav - anlæg'!G25</f>
        <v>-121655.3009693921</v>
      </c>
      <c r="F19" s="8" t="s">
        <v>3</v>
      </c>
      <c r="G19" s="1"/>
    </row>
    <row r="20" spans="1:7" x14ac:dyDescent="0.25">
      <c r="A20" s="1"/>
      <c r="B20" s="82" t="s">
        <v>20</v>
      </c>
      <c r="C20" s="83"/>
      <c r="D20" s="84"/>
      <c r="E20" s="10">
        <f>SUM(E9:E19)</f>
        <v>23458052.763801266</v>
      </c>
      <c r="F20" s="11" t="s">
        <v>3</v>
      </c>
      <c r="G20" s="1"/>
    </row>
    <row r="21" spans="1:7" x14ac:dyDescent="0.25">
      <c r="A21" s="1"/>
      <c r="B21" s="91" t="s">
        <v>12</v>
      </c>
      <c r="C21" s="92"/>
      <c r="D21" s="92"/>
      <c r="E21" s="42"/>
      <c r="F21" s="20"/>
      <c r="G21" s="1"/>
    </row>
    <row r="22" spans="1:7" x14ac:dyDescent="0.25">
      <c r="A22" s="1"/>
      <c r="B22" s="85" t="s">
        <v>12</v>
      </c>
      <c r="C22" s="86"/>
      <c r="D22" s="87"/>
      <c r="E22" s="10">
        <v>14965458.902387731</v>
      </c>
      <c r="F22" s="11" t="s">
        <v>3</v>
      </c>
      <c r="G22" s="1"/>
    </row>
    <row r="23" spans="1:7" ht="15" customHeight="1" x14ac:dyDescent="0.25">
      <c r="A23" s="1"/>
      <c r="B23" s="91" t="s">
        <v>99</v>
      </c>
      <c r="C23" s="92"/>
      <c r="D23" s="92"/>
      <c r="E23" s="42"/>
      <c r="F23" s="42"/>
      <c r="G23" s="1"/>
    </row>
    <row r="24" spans="1:7" ht="14.25" customHeight="1" x14ac:dyDescent="0.25">
      <c r="A24" s="1"/>
      <c r="B24" s="76" t="s">
        <v>95</v>
      </c>
      <c r="C24" s="77"/>
      <c r="D24" s="78"/>
      <c r="E24" s="9">
        <v>0</v>
      </c>
      <c r="F24" s="8" t="s">
        <v>3</v>
      </c>
      <c r="G24" s="1"/>
    </row>
    <row r="25" spans="1:7" ht="14.25" customHeight="1" x14ac:dyDescent="0.25">
      <c r="A25" s="1"/>
      <c r="B25" s="76" t="s">
        <v>96</v>
      </c>
      <c r="C25" s="77"/>
      <c r="D25" s="78"/>
      <c r="E25" s="9">
        <v>0</v>
      </c>
      <c r="F25" s="8" t="s">
        <v>3</v>
      </c>
      <c r="G25" s="1"/>
    </row>
    <row r="26" spans="1:7" x14ac:dyDescent="0.25">
      <c r="A26" s="1"/>
      <c r="B26" s="88" t="s">
        <v>100</v>
      </c>
      <c r="C26" s="89"/>
      <c r="D26" s="89"/>
      <c r="E26" s="10">
        <v>0</v>
      </c>
      <c r="F26" s="11" t="s">
        <v>3</v>
      </c>
      <c r="G26" s="1"/>
    </row>
    <row r="27" spans="1:7" ht="14.25" customHeight="1" x14ac:dyDescent="0.25">
      <c r="A27" s="1"/>
      <c r="B27" s="41" t="s">
        <v>228</v>
      </c>
      <c r="C27" s="42"/>
      <c r="D27" s="42"/>
      <c r="E27" s="42"/>
      <c r="F27" s="42"/>
      <c r="G27" s="1"/>
    </row>
    <row r="28" spans="1:7" ht="13.15" customHeight="1" x14ac:dyDescent="0.25">
      <c r="A28" s="1"/>
      <c r="B28" s="88" t="s">
        <v>229</v>
      </c>
      <c r="C28" s="89"/>
      <c r="D28" s="90"/>
      <c r="E28" s="10">
        <v>294621</v>
      </c>
      <c r="F28" s="11" t="s">
        <v>3</v>
      </c>
      <c r="G28" s="1"/>
    </row>
    <row r="29" spans="1:7" x14ac:dyDescent="0.25">
      <c r="A29" s="1"/>
      <c r="B29" s="41" t="s">
        <v>230</v>
      </c>
      <c r="C29" s="42"/>
      <c r="D29" s="42"/>
      <c r="E29" s="42"/>
      <c r="F29" s="20"/>
      <c r="G29" s="1"/>
    </row>
    <row r="30" spans="1:7" ht="15" customHeight="1" x14ac:dyDescent="0.25">
      <c r="A30" s="1"/>
      <c r="B30" s="88" t="s">
        <v>231</v>
      </c>
      <c r="C30" s="89"/>
      <c r="D30" s="90"/>
      <c r="E30" s="10">
        <v>2896560.1785062165</v>
      </c>
      <c r="F30" s="11" t="s">
        <v>3</v>
      </c>
      <c r="G30" s="1"/>
    </row>
    <row r="31" spans="1:7" x14ac:dyDescent="0.25">
      <c r="A31" s="1"/>
      <c r="B31" s="41" t="s">
        <v>232</v>
      </c>
      <c r="C31" s="42"/>
      <c r="D31" s="42"/>
      <c r="E31" s="42"/>
      <c r="F31" s="20"/>
      <c r="G31" s="1"/>
    </row>
    <row r="32" spans="1:7" x14ac:dyDescent="0.25">
      <c r="A32" s="1"/>
      <c r="B32" s="85" t="s">
        <v>233</v>
      </c>
      <c r="C32" s="86"/>
      <c r="D32" s="87"/>
      <c r="E32" s="10">
        <v>0</v>
      </c>
      <c r="F32" s="11" t="s">
        <v>3</v>
      </c>
      <c r="G32" s="1"/>
    </row>
    <row r="33" spans="1:7" x14ac:dyDescent="0.25">
      <c r="A33" s="1"/>
      <c r="B33" s="41" t="s">
        <v>24</v>
      </c>
      <c r="C33" s="42"/>
      <c r="D33" s="42"/>
      <c r="E33" s="12">
        <f>SUM(E30,E26,E28,E22,E20,E32)</f>
        <v>41614692.84469521</v>
      </c>
      <c r="F33" s="13" t="s">
        <v>3</v>
      </c>
      <c r="G33" s="1"/>
    </row>
    <row r="34" spans="1:7" ht="28.15" customHeight="1" x14ac:dyDescent="0.25">
      <c r="A34" s="1"/>
      <c r="B34" s="76" t="s">
        <v>179</v>
      </c>
      <c r="C34" s="77"/>
      <c r="D34" s="77"/>
      <c r="E34" s="77"/>
      <c r="F34" s="78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VTl2+Lx0uQ/7zWvimBX2mc65x1GrO+MCQytVifyBZguhOvjJ5G2Sg4DK12RgQBRTET1g1/oCnN1sjFtK4OspVg==" saltValue="ULZ2nyXsKYSGAJy2SvIAqQ==" spinCount="100000" sheet="1" objects="1" scenarios="1"/>
  <mergeCells count="23">
    <mergeCell ref="B13:D13"/>
    <mergeCell ref="B14:D14"/>
    <mergeCell ref="B15:D15"/>
    <mergeCell ref="B21:D21"/>
    <mergeCell ref="B22:D22"/>
    <mergeCell ref="B3:F4"/>
    <mergeCell ref="B9:D9"/>
    <mergeCell ref="B10:D10"/>
    <mergeCell ref="B11:D11"/>
    <mergeCell ref="B12:D12"/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4" t="s">
        <v>138</v>
      </c>
      <c r="C1" s="74"/>
      <c r="D1" s="74"/>
      <c r="E1" s="74"/>
      <c r="F1" s="74"/>
      <c r="G1" s="74"/>
      <c r="H1" s="74"/>
      <c r="I1" s="1"/>
    </row>
    <row r="2" spans="1:9" ht="15" customHeight="1" x14ac:dyDescent="0.25">
      <c r="A2" s="1"/>
      <c r="B2" s="74"/>
      <c r="C2" s="74"/>
      <c r="D2" s="74"/>
      <c r="E2" s="74"/>
      <c r="F2" s="74"/>
      <c r="G2" s="74"/>
      <c r="H2" s="74"/>
      <c r="I2" s="1"/>
    </row>
    <row r="3" spans="1:9" ht="15" customHeight="1" x14ac:dyDescent="0.25">
      <c r="A3" s="1"/>
      <c r="B3" s="74"/>
      <c r="C3" s="74"/>
      <c r="D3" s="74"/>
      <c r="E3" s="74"/>
      <c r="F3" s="74"/>
      <c r="G3" s="74"/>
      <c r="H3" s="74"/>
      <c r="I3" s="1"/>
    </row>
    <row r="4" spans="1:9" x14ac:dyDescent="0.25">
      <c r="A4" s="1"/>
      <c r="B4" s="97" t="s">
        <v>64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53</v>
      </c>
      <c r="C5" s="101"/>
      <c r="D5" s="101"/>
      <c r="E5" s="101"/>
      <c r="F5" s="102"/>
      <c r="G5" s="24">
        <v>11276799.835869793</v>
      </c>
      <c r="H5" s="14" t="s">
        <v>3</v>
      </c>
      <c r="I5" s="1"/>
    </row>
    <row r="6" spans="1:9" x14ac:dyDescent="0.25">
      <c r="A6" s="1"/>
      <c r="B6" s="100" t="s">
        <v>54</v>
      </c>
      <c r="C6" s="101"/>
      <c r="D6" s="101"/>
      <c r="E6" s="101"/>
      <c r="F6" s="102"/>
      <c r="G6" s="24">
        <f>G5*'Fane 12. Nøgletal'!C27</f>
        <v>225535.99671739587</v>
      </c>
      <c r="H6" s="14" t="s">
        <v>3</v>
      </c>
      <c r="I6" s="1"/>
    </row>
    <row r="7" spans="1:9" x14ac:dyDescent="0.2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65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55</v>
      </c>
      <c r="C10" s="101"/>
      <c r="D10" s="101"/>
      <c r="E10" s="101"/>
      <c r="F10" s="102"/>
      <c r="G10" s="24">
        <f>(G5-G6)*(1+'Fane 12. Nøgletal'!C9)</f>
        <v>11191614.889909633</v>
      </c>
      <c r="H10" s="14" t="s">
        <v>3</v>
      </c>
      <c r="I10" s="1"/>
    </row>
    <row r="11" spans="1:9" x14ac:dyDescent="0.25">
      <c r="A11" s="1"/>
      <c r="B11" s="103" t="s">
        <v>56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57</v>
      </c>
      <c r="C12" s="101"/>
      <c r="D12" s="101"/>
      <c r="E12" s="101"/>
      <c r="F12" s="102"/>
      <c r="G12" s="24">
        <f>(G10+G11)*'Fane 12. Nøgletal'!C27</f>
        <v>223832.29779819265</v>
      </c>
      <c r="H12" s="14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66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58</v>
      </c>
      <c r="C16" s="101"/>
      <c r="D16" s="101"/>
      <c r="E16" s="101"/>
      <c r="F16" s="102"/>
      <c r="G16" s="24">
        <f>(G10-G12)*(1+'Fane 12. Nøgletal'!C11)</f>
        <v>11153138.117918123</v>
      </c>
      <c r="H16" s="14" t="s">
        <v>3</v>
      </c>
      <c r="I16" s="1"/>
    </row>
    <row r="17" spans="1:9" x14ac:dyDescent="0.25">
      <c r="A17" s="1"/>
      <c r="B17" s="100" t="s">
        <v>148</v>
      </c>
      <c r="C17" s="101"/>
      <c r="D17" s="101"/>
      <c r="E17" s="101"/>
      <c r="F17" s="102"/>
      <c r="G17" s="24">
        <v>-671743.91070253449</v>
      </c>
      <c r="H17" s="14" t="s">
        <v>3</v>
      </c>
      <c r="I17" s="1"/>
    </row>
    <row r="18" spans="1:9" x14ac:dyDescent="0.25">
      <c r="A18" s="1"/>
      <c r="B18" s="103" t="s">
        <v>59</v>
      </c>
      <c r="C18" s="104"/>
      <c r="D18" s="104"/>
      <c r="E18" s="104"/>
      <c r="F18" s="105"/>
      <c r="G18" s="24">
        <v>615159.94993362983</v>
      </c>
      <c r="H18" s="14" t="s">
        <v>3</v>
      </c>
      <c r="I18" s="1"/>
    </row>
    <row r="19" spans="1:9" x14ac:dyDescent="0.25">
      <c r="A19" s="1"/>
      <c r="B19" s="100" t="s">
        <v>60</v>
      </c>
      <c r="C19" s="101"/>
      <c r="D19" s="101"/>
      <c r="E19" s="101"/>
      <c r="F19" s="102"/>
      <c r="G19" s="24">
        <f>SUM(G16:G18)*'Fane 12. Nøgletal'!C27</f>
        <v>221931.08314298437</v>
      </c>
      <c r="H19" s="14" t="s">
        <v>3</v>
      </c>
      <c r="I19" s="1"/>
    </row>
    <row r="20" spans="1:9" x14ac:dyDescent="0.2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67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61</v>
      </c>
      <c r="C23" s="101"/>
      <c r="D23" s="101"/>
      <c r="E23" s="101"/>
      <c r="F23" s="102"/>
      <c r="G23" s="24">
        <f>(SUM(G16:G18)-G19)*(1+'Fane 12. Nøgletal'!C11)</f>
        <v>11058404.203956937</v>
      </c>
      <c r="H23" s="14" t="s">
        <v>3</v>
      </c>
      <c r="I23" s="1"/>
    </row>
    <row r="24" spans="1:9" x14ac:dyDescent="0.25">
      <c r="A24" s="1"/>
      <c r="B24" s="103" t="s">
        <v>62</v>
      </c>
      <c r="C24" s="104"/>
      <c r="D24" s="104"/>
      <c r="E24" s="104"/>
      <c r="F24" s="105"/>
      <c r="G24" s="24">
        <v>451203.56419842003</v>
      </c>
      <c r="H24" s="14" t="s">
        <v>3</v>
      </c>
      <c r="I24" s="1"/>
    </row>
    <row r="25" spans="1:9" x14ac:dyDescent="0.25">
      <c r="A25" s="1"/>
      <c r="B25" s="100" t="s">
        <v>63</v>
      </c>
      <c r="C25" s="101"/>
      <c r="D25" s="101"/>
      <c r="E25" s="101"/>
      <c r="F25" s="102"/>
      <c r="G25" s="24">
        <f>(G23+G24)*'Fane 12. Nøgletal'!C27</f>
        <v>230192.15536310713</v>
      </c>
      <c r="H25" s="14" t="s">
        <v>3</v>
      </c>
      <c r="I25" s="1"/>
    </row>
    <row r="26" spans="1:9" x14ac:dyDescent="0.2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222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70</v>
      </c>
      <c r="C29" s="101"/>
      <c r="D29" s="101"/>
      <c r="E29" s="101"/>
      <c r="F29" s="102"/>
      <c r="G29" s="24">
        <f>(G23+G24-G25)*(1+'Fane 12. Nøgletal'!C13)</f>
        <v>11417024.483268315</v>
      </c>
      <c r="H29" s="14" t="s">
        <v>3</v>
      </c>
      <c r="I29" s="1"/>
    </row>
    <row r="30" spans="1:9" x14ac:dyDescent="0.25">
      <c r="A30" s="1"/>
      <c r="B30" s="100" t="s">
        <v>187</v>
      </c>
      <c r="C30" s="101"/>
      <c r="D30" s="101"/>
      <c r="E30" s="101"/>
      <c r="F30" s="102"/>
      <c r="G30" s="24">
        <f>SUM('Fane 2.1. Økonomisk ramme 2021'!C11,'Fane 2.1. Økonomisk ramme 2021'!C13,'Fane 2.1. Økonomisk ramme 2021'!C15)*(1+'Fane 12. Nøgletal'!C13)</f>
        <v>25528.683446279996</v>
      </c>
      <c r="H30" s="14" t="s">
        <v>3</v>
      </c>
      <c r="I30" s="1"/>
    </row>
    <row r="31" spans="1:9" x14ac:dyDescent="0.25">
      <c r="A31" s="1"/>
      <c r="B31" s="100" t="s">
        <v>199</v>
      </c>
      <c r="C31" s="101"/>
      <c r="D31" s="101"/>
      <c r="E31" s="101"/>
      <c r="F31" s="102"/>
      <c r="G31" s="24">
        <f>(G29+G30)*'Fane 12. Nøgletal'!C27</f>
        <v>228851.06333429192</v>
      </c>
      <c r="H31" s="14" t="s">
        <v>3</v>
      </c>
      <c r="I31" s="1"/>
    </row>
    <row r="32" spans="1:9" x14ac:dyDescent="0.2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223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90</v>
      </c>
      <c r="C35" s="101"/>
      <c r="D35" s="101"/>
      <c r="E35" s="101"/>
      <c r="F35" s="102"/>
      <c r="G35" s="24">
        <f>(G29+G30-G31)*(1+'Fane 12. Nøgletal'!C13)</f>
        <v>11350509.269041544</v>
      </c>
      <c r="H35" s="14" t="s">
        <v>3</v>
      </c>
      <c r="I35" s="1"/>
    </row>
    <row r="36" spans="1:9" x14ac:dyDescent="0.25">
      <c r="A36" s="1"/>
      <c r="B36" s="100" t="s">
        <v>102</v>
      </c>
      <c r="C36" s="101"/>
      <c r="D36" s="101"/>
      <c r="E36" s="101"/>
      <c r="F36" s="102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224</v>
      </c>
      <c r="C37" s="101"/>
      <c r="D37" s="101"/>
      <c r="E37" s="101"/>
      <c r="F37" s="102"/>
      <c r="G37" s="24">
        <f>(G35+G36)*'Fane 12. Nøgletal'!C27</f>
        <v>227010.1853808309</v>
      </c>
      <c r="H37" s="14" t="s">
        <v>3</v>
      </c>
      <c r="I37" s="1"/>
    </row>
    <row r="38" spans="1:9" x14ac:dyDescent="0.2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91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89</v>
      </c>
      <c r="C41" s="101"/>
      <c r="D41" s="101"/>
      <c r="E41" s="101"/>
      <c r="F41" s="102"/>
      <c r="G41" s="24">
        <f>(G35+G36-G37)*(1+'Fane 12. Nøgletal'!C13)</f>
        <v>11259205.772481373</v>
      </c>
      <c r="H41" s="14" t="s">
        <v>3</v>
      </c>
      <c r="I41" s="1"/>
    </row>
    <row r="42" spans="1:9" x14ac:dyDescent="0.25">
      <c r="A42" s="1"/>
      <c r="B42" s="100" t="s">
        <v>103</v>
      </c>
      <c r="C42" s="101"/>
      <c r="D42" s="101"/>
      <c r="E42" s="101"/>
      <c r="F42" s="102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100" t="s">
        <v>71</v>
      </c>
      <c r="C43" s="101"/>
      <c r="D43" s="101"/>
      <c r="E43" s="101"/>
      <c r="F43" s="102"/>
      <c r="G43" s="24">
        <f>(G41+G42)*'Fane 12. Nøgletal'!C27</f>
        <v>225184.11544962745</v>
      </c>
      <c r="H43" s="14" t="s">
        <v>3</v>
      </c>
      <c r="I43" s="1"/>
    </row>
    <row r="44" spans="1:9" x14ac:dyDescent="0.2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188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189</v>
      </c>
      <c r="C47" s="101"/>
      <c r="D47" s="101"/>
      <c r="E47" s="101"/>
      <c r="F47" s="102"/>
      <c r="G47" s="24">
        <f>(G41+G42-G43)*(1+'Fane 12. Nøgletal'!C13)</f>
        <v>11168636.721247531</v>
      </c>
      <c r="H47" s="14" t="s">
        <v>3</v>
      </c>
      <c r="I47" s="1"/>
    </row>
    <row r="48" spans="1:9" x14ac:dyDescent="0.25">
      <c r="A48" s="1"/>
      <c r="B48" s="100" t="s">
        <v>190</v>
      </c>
      <c r="C48" s="101"/>
      <c r="D48" s="101"/>
      <c r="E48" s="101"/>
      <c r="F48" s="102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191</v>
      </c>
      <c r="C49" s="101"/>
      <c r="D49" s="101"/>
      <c r="E49" s="101"/>
      <c r="F49" s="102"/>
      <c r="G49" s="24">
        <f>(G47+G48)*'Fane 12. Nøgletal'!C27</f>
        <v>223372.73442495064</v>
      </c>
      <c r="H49" s="14" t="s">
        <v>3</v>
      </c>
      <c r="I49" s="1"/>
    </row>
    <row r="50" spans="1:9" x14ac:dyDescent="0.2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Bk7ePeFucyt741i4e3WZOTQDtQWaKU+bYWaZ0OdyDYqe6rcd0rnqOJq/Hps1rHtSEGD1CbC3jti9c3CnYrD3TQ==" saltValue="t9YPQtLAYx742y6qNf0KJg==" spinCount="100000" sheet="1" objects="1" scenarios="1"/>
  <mergeCells count="33"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  <mergeCell ref="B11:F11"/>
    <mergeCell ref="B12:F12"/>
    <mergeCell ref="B16:F16"/>
    <mergeCell ref="B18:F18"/>
    <mergeCell ref="B17:F17"/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6" t="s">
        <v>139</v>
      </c>
      <c r="C2" s="106"/>
      <c r="D2" s="106"/>
      <c r="E2" s="106"/>
      <c r="F2" s="106"/>
      <c r="G2" s="106"/>
      <c r="H2" s="106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7" t="s">
        <v>68</v>
      </c>
      <c r="C4" s="98"/>
      <c r="D4" s="98"/>
      <c r="E4" s="98"/>
      <c r="F4" s="98"/>
      <c r="G4" s="98"/>
      <c r="H4" s="99"/>
      <c r="I4" s="1"/>
    </row>
    <row r="5" spans="1:9" x14ac:dyDescent="0.25">
      <c r="A5" s="1"/>
      <c r="B5" s="100" t="s">
        <v>72</v>
      </c>
      <c r="C5" s="101"/>
      <c r="D5" s="101"/>
      <c r="E5" s="101"/>
      <c r="F5" s="102"/>
      <c r="G5" s="24">
        <v>12633751.239371443</v>
      </c>
      <c r="H5" s="14" t="s">
        <v>3</v>
      </c>
      <c r="I5" s="1"/>
    </row>
    <row r="6" spans="1:9" x14ac:dyDescent="0.25">
      <c r="A6" s="1"/>
      <c r="B6" s="100" t="s">
        <v>69</v>
      </c>
      <c r="C6" s="101"/>
      <c r="D6" s="101"/>
      <c r="E6" s="101"/>
      <c r="F6" s="102"/>
      <c r="G6" s="24">
        <f>G5*'Fane 12. Nøgletal'!C18</f>
        <v>114967.13627828014</v>
      </c>
      <c r="H6" s="14" t="s">
        <v>3</v>
      </c>
      <c r="I6" s="1"/>
    </row>
    <row r="7" spans="1:9" x14ac:dyDescent="0.25">
      <c r="A7" s="1"/>
      <c r="B7" s="41"/>
      <c r="C7" s="42"/>
      <c r="D7" s="42"/>
      <c r="E7" s="42"/>
      <c r="F7" s="42"/>
      <c r="G7" s="4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7" t="s">
        <v>73</v>
      </c>
      <c r="C9" s="98"/>
      <c r="D9" s="98"/>
      <c r="E9" s="98"/>
      <c r="F9" s="98"/>
      <c r="G9" s="98"/>
      <c r="H9" s="99"/>
      <c r="I9" s="1"/>
    </row>
    <row r="10" spans="1:9" x14ac:dyDescent="0.25">
      <c r="A10" s="1"/>
      <c r="B10" s="100" t="s">
        <v>74</v>
      </c>
      <c r="C10" s="101"/>
      <c r="D10" s="101"/>
      <c r="E10" s="101"/>
      <c r="F10" s="102"/>
      <c r="G10" s="24">
        <f>(G5-G6)*(1+'Fane 12. Nøgletal'!C9)</f>
        <v>12677772.661202444</v>
      </c>
      <c r="H10" s="14" t="s">
        <v>3</v>
      </c>
      <c r="I10" s="1"/>
    </row>
    <row r="11" spans="1:9" x14ac:dyDescent="0.25">
      <c r="A11" s="1"/>
      <c r="B11" s="103" t="s">
        <v>75</v>
      </c>
      <c r="C11" s="104"/>
      <c r="D11" s="104"/>
      <c r="E11" s="104"/>
      <c r="F11" s="105"/>
      <c r="G11" s="24">
        <v>0</v>
      </c>
      <c r="H11" s="14" t="s">
        <v>3</v>
      </c>
      <c r="I11" s="1"/>
    </row>
    <row r="12" spans="1:9" x14ac:dyDescent="0.25">
      <c r="A12" s="1"/>
      <c r="B12" s="100" t="s">
        <v>76</v>
      </c>
      <c r="C12" s="101"/>
      <c r="D12" s="101"/>
      <c r="E12" s="101"/>
      <c r="F12" s="102"/>
      <c r="G12" s="24">
        <f>G10*'Fane 12. Nøgletal'!C18+G11*'Fane 12. Nøgletal'!C19</f>
        <v>115367.73121694225</v>
      </c>
      <c r="H12" s="14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7" t="s">
        <v>77</v>
      </c>
      <c r="C15" s="98"/>
      <c r="D15" s="98"/>
      <c r="E15" s="98"/>
      <c r="F15" s="98"/>
      <c r="G15" s="98"/>
      <c r="H15" s="99"/>
      <c r="I15" s="1"/>
    </row>
    <row r="16" spans="1:9" x14ac:dyDescent="0.25">
      <c r="A16" s="1"/>
      <c r="B16" s="100" t="s">
        <v>78</v>
      </c>
      <c r="C16" s="101"/>
      <c r="D16" s="101"/>
      <c r="E16" s="101"/>
      <c r="F16" s="102"/>
      <c r="G16" s="24">
        <f>(G10+G11-G12)*(1+'Fane 12. Nøgletal'!C11)</f>
        <v>12774709.573302254</v>
      </c>
      <c r="H16" s="14" t="s">
        <v>3</v>
      </c>
      <c r="I16" s="1"/>
    </row>
    <row r="17" spans="1:9" x14ac:dyDescent="0.25">
      <c r="A17" s="1"/>
      <c r="B17" s="100" t="s">
        <v>149</v>
      </c>
      <c r="C17" s="101"/>
      <c r="D17" s="101"/>
      <c r="E17" s="101"/>
      <c r="F17" s="102"/>
      <c r="G17" s="24">
        <v>1072495.838446147</v>
      </c>
      <c r="H17" s="14" t="s">
        <v>3</v>
      </c>
      <c r="I17" s="1"/>
    </row>
    <row r="18" spans="1:9" x14ac:dyDescent="0.25">
      <c r="A18" s="1"/>
      <c r="B18" s="103" t="s">
        <v>79</v>
      </c>
      <c r="C18" s="104"/>
      <c r="D18" s="104"/>
      <c r="E18" s="104"/>
      <c r="F18" s="105"/>
      <c r="G18" s="24">
        <v>3430.0619683699992</v>
      </c>
      <c r="H18" s="14" t="s">
        <v>3</v>
      </c>
      <c r="I18" s="1"/>
    </row>
    <row r="19" spans="1:9" x14ac:dyDescent="0.25">
      <c r="A19" s="1"/>
      <c r="B19" s="100" t="s">
        <v>80</v>
      </c>
      <c r="C19" s="101"/>
      <c r="D19" s="101"/>
      <c r="E19" s="101"/>
      <c r="F19" s="102"/>
      <c r="G19" s="24">
        <f>SUM(G16:G18)*'Fane 12. Nøgletal'!C20</f>
        <v>120500.52862133591</v>
      </c>
      <c r="H19" s="14" t="s">
        <v>3</v>
      </c>
      <c r="I19" s="1"/>
    </row>
    <row r="20" spans="1:9" x14ac:dyDescent="0.25">
      <c r="A20" s="1"/>
      <c r="B20" s="41"/>
      <c r="C20" s="42"/>
      <c r="D20" s="42"/>
      <c r="E20" s="42"/>
      <c r="F20" s="42"/>
      <c r="G20" s="4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7" t="s">
        <v>81</v>
      </c>
      <c r="C22" s="98"/>
      <c r="D22" s="98"/>
      <c r="E22" s="98"/>
      <c r="F22" s="98"/>
      <c r="G22" s="98"/>
      <c r="H22" s="99"/>
      <c r="I22" s="1"/>
    </row>
    <row r="23" spans="1:9" x14ac:dyDescent="0.25">
      <c r="A23" s="1"/>
      <c r="B23" s="100" t="s">
        <v>82</v>
      </c>
      <c r="C23" s="101"/>
      <c r="D23" s="101"/>
      <c r="E23" s="101"/>
      <c r="F23" s="102"/>
      <c r="G23" s="24">
        <f>(SUM(G16:G18)-G19)*(1+'Fane 12. Nøgletal'!C11)</f>
        <v>13962174.225667546</v>
      </c>
      <c r="H23" s="14" t="s">
        <v>3</v>
      </c>
      <c r="I23" s="1"/>
    </row>
    <row r="24" spans="1:9" x14ac:dyDescent="0.25">
      <c r="A24" s="1"/>
      <c r="B24" s="103" t="s">
        <v>83</v>
      </c>
      <c r="C24" s="104"/>
      <c r="D24" s="104"/>
      <c r="E24" s="104"/>
      <c r="F24" s="105"/>
      <c r="G24" s="24">
        <v>6492.4368339600005</v>
      </c>
      <c r="H24" s="14" t="s">
        <v>3</v>
      </c>
      <c r="I24" s="1"/>
    </row>
    <row r="25" spans="1:9" x14ac:dyDescent="0.25">
      <c r="A25" s="1"/>
      <c r="B25" s="100" t="s">
        <v>84</v>
      </c>
      <c r="C25" s="101"/>
      <c r="D25" s="101"/>
      <c r="E25" s="101"/>
      <c r="F25" s="102"/>
      <c r="G25" s="24">
        <f>G23*'Fane 12. Nøgletal'!C20+G24*'Fane 12. Nøgletal'!C21</f>
        <v>121655.3009693921</v>
      </c>
      <c r="H25" s="14" t="s">
        <v>3</v>
      </c>
      <c r="I25" s="1"/>
    </row>
    <row r="26" spans="1:9" x14ac:dyDescent="0.25">
      <c r="A26" s="1"/>
      <c r="B26" s="41"/>
      <c r="C26" s="42"/>
      <c r="D26" s="42"/>
      <c r="E26" s="42"/>
      <c r="F26" s="42"/>
      <c r="G26" s="4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7" t="s">
        <v>220</v>
      </c>
      <c r="C28" s="98"/>
      <c r="D28" s="98"/>
      <c r="E28" s="98"/>
      <c r="F28" s="98"/>
      <c r="G28" s="98"/>
      <c r="H28" s="99"/>
      <c r="I28" s="1"/>
    </row>
    <row r="29" spans="1:9" x14ac:dyDescent="0.25">
      <c r="A29" s="1"/>
      <c r="B29" s="100" t="s">
        <v>85</v>
      </c>
      <c r="C29" s="101"/>
      <c r="D29" s="101"/>
      <c r="E29" s="101"/>
      <c r="F29" s="102"/>
      <c r="G29" s="24">
        <f>(G23+G24-G25)*(1+'Fane 12. Nøgletal'!C13)</f>
        <v>14015944.900142804</v>
      </c>
      <c r="H29" s="14" t="s">
        <v>3</v>
      </c>
      <c r="I29" s="1"/>
    </row>
    <row r="30" spans="1:9" x14ac:dyDescent="0.25">
      <c r="A30" s="1"/>
      <c r="B30" s="100" t="s">
        <v>192</v>
      </c>
      <c r="C30" s="101"/>
      <c r="D30" s="101"/>
      <c r="E30" s="101"/>
      <c r="F30" s="102"/>
      <c r="G30" s="24">
        <f>SUM('Fane 2.1. Økonomisk ramme 2021'!C12,'Fane 2.1. Økonomisk ramme 2021'!C14,'Fane 2.1. Økonomisk ramme 2021'!C16)*(1+'Fane 12. Nøgletal'!C13)</f>
        <v>13609.08224172</v>
      </c>
      <c r="H30" s="14" t="s">
        <v>3</v>
      </c>
      <c r="I30" s="1"/>
    </row>
    <row r="31" spans="1:9" x14ac:dyDescent="0.25">
      <c r="A31" s="1"/>
      <c r="B31" s="100" t="s">
        <v>221</v>
      </c>
      <c r="C31" s="101"/>
      <c r="D31" s="101"/>
      <c r="E31" s="101"/>
      <c r="F31" s="102"/>
      <c r="G31" s="24">
        <f>(G29+G30)*'Fane 12. Nøgletal'!C22</f>
        <v>385812.73451557441</v>
      </c>
      <c r="H31" s="14" t="s">
        <v>3</v>
      </c>
      <c r="I31" s="1"/>
    </row>
    <row r="32" spans="1:9" x14ac:dyDescent="0.25">
      <c r="A32" s="1"/>
      <c r="B32" s="41"/>
      <c r="C32" s="42"/>
      <c r="D32" s="42"/>
      <c r="E32" s="42"/>
      <c r="F32" s="42"/>
      <c r="G32" s="4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7" t="s">
        <v>225</v>
      </c>
      <c r="C34" s="98"/>
      <c r="D34" s="98"/>
      <c r="E34" s="98"/>
      <c r="F34" s="98"/>
      <c r="G34" s="98"/>
      <c r="H34" s="99"/>
      <c r="I34" s="1"/>
    </row>
    <row r="35" spans="1:9" x14ac:dyDescent="0.25">
      <c r="A35" s="1"/>
      <c r="B35" s="100" t="s">
        <v>88</v>
      </c>
      <c r="C35" s="101"/>
      <c r="D35" s="101"/>
      <c r="E35" s="101"/>
      <c r="F35" s="102"/>
      <c r="G35" s="24">
        <f>(G29+G30-G31)*(1+'Fane 12. Nøgletal'!C13)</f>
        <v>13810194.89109295</v>
      </c>
      <c r="H35" s="14" t="s">
        <v>3</v>
      </c>
      <c r="I35" s="1"/>
    </row>
    <row r="36" spans="1:9" x14ac:dyDescent="0.25">
      <c r="A36" s="1"/>
      <c r="B36" s="100" t="s">
        <v>107</v>
      </c>
      <c r="C36" s="101"/>
      <c r="D36" s="101"/>
      <c r="E36" s="101"/>
      <c r="F36" s="102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100" t="s">
        <v>226</v>
      </c>
      <c r="C37" s="101"/>
      <c r="D37" s="101"/>
      <c r="E37" s="101"/>
      <c r="F37" s="102"/>
      <c r="G37" s="24">
        <f>(G35+G36)*'Fane 12. Nøgletal'!C22</f>
        <v>379780.35950505611</v>
      </c>
      <c r="H37" s="14" t="s">
        <v>3</v>
      </c>
      <c r="I37" s="1"/>
    </row>
    <row r="38" spans="1:9" x14ac:dyDescent="0.25">
      <c r="A38" s="1"/>
      <c r="B38" s="41"/>
      <c r="C38" s="42"/>
      <c r="D38" s="42"/>
      <c r="E38" s="42"/>
      <c r="F38" s="42"/>
      <c r="G38" s="4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7" t="s">
        <v>92</v>
      </c>
      <c r="C40" s="98"/>
      <c r="D40" s="98"/>
      <c r="E40" s="98"/>
      <c r="F40" s="98"/>
      <c r="G40" s="98"/>
      <c r="H40" s="99"/>
      <c r="I40" s="1"/>
    </row>
    <row r="41" spans="1:9" x14ac:dyDescent="0.25">
      <c r="A41" s="1"/>
      <c r="B41" s="100" t="s">
        <v>87</v>
      </c>
      <c r="C41" s="101"/>
      <c r="D41" s="101"/>
      <c r="E41" s="101"/>
      <c r="F41" s="102"/>
      <c r="G41" s="24">
        <f>(G35+G36-G37)*(1+'Fane 12. Nøgletal'!C13)</f>
        <v>13594265.588873267</v>
      </c>
      <c r="H41" s="14" t="s">
        <v>3</v>
      </c>
      <c r="I41" s="1"/>
    </row>
    <row r="42" spans="1:9" x14ac:dyDescent="0.25">
      <c r="A42" s="1"/>
      <c r="B42" s="100" t="s">
        <v>108</v>
      </c>
      <c r="C42" s="101"/>
      <c r="D42" s="101"/>
      <c r="E42" s="101"/>
      <c r="F42" s="102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100" t="s">
        <v>86</v>
      </c>
      <c r="C43" s="101"/>
      <c r="D43" s="101"/>
      <c r="E43" s="101"/>
      <c r="F43" s="102"/>
      <c r="G43" s="24">
        <f>(G41+G42)*'Fane 12. Nøgletal'!C22</f>
        <v>373842.30369401484</v>
      </c>
      <c r="H43" s="14" t="s">
        <v>3</v>
      </c>
      <c r="I43" s="1"/>
    </row>
    <row r="44" spans="1:9" x14ac:dyDescent="0.25">
      <c r="A44" s="1"/>
      <c r="B44" s="41"/>
      <c r="C44" s="42"/>
      <c r="D44" s="42"/>
      <c r="E44" s="42"/>
      <c r="F44" s="42"/>
      <c r="G44" s="4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7" t="s">
        <v>193</v>
      </c>
      <c r="C46" s="98"/>
      <c r="D46" s="98"/>
      <c r="E46" s="98"/>
      <c r="F46" s="98"/>
      <c r="G46" s="98"/>
      <c r="H46" s="99"/>
      <c r="I46" s="1"/>
    </row>
    <row r="47" spans="1:9" x14ac:dyDescent="0.25">
      <c r="A47" s="1"/>
      <c r="B47" s="100" t="s">
        <v>194</v>
      </c>
      <c r="C47" s="101"/>
      <c r="D47" s="101"/>
      <c r="E47" s="101"/>
      <c r="F47" s="102"/>
      <c r="G47" s="24">
        <f>(G41+G42-G43)*(1+'Fane 12. Nøgletal'!C13)</f>
        <v>13381712.449258439</v>
      </c>
      <c r="H47" s="14" t="s">
        <v>3</v>
      </c>
      <c r="I47" s="1"/>
    </row>
    <row r="48" spans="1:9" x14ac:dyDescent="0.25">
      <c r="A48" s="1"/>
      <c r="B48" s="100" t="s">
        <v>195</v>
      </c>
      <c r="C48" s="101"/>
      <c r="D48" s="101"/>
      <c r="E48" s="101"/>
      <c r="F48" s="102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100" t="s">
        <v>196</v>
      </c>
      <c r="C49" s="101"/>
      <c r="D49" s="101"/>
      <c r="E49" s="101"/>
      <c r="F49" s="102"/>
      <c r="G49" s="24">
        <f>(G47+G48)*'Fane 12. Nøgletal'!C22</f>
        <v>367997.09235460707</v>
      </c>
      <c r="H49" s="14" t="s">
        <v>3</v>
      </c>
      <c r="I49" s="1"/>
    </row>
    <row r="50" spans="1:9" x14ac:dyDescent="0.25">
      <c r="A50" s="1"/>
      <c r="B50" s="41"/>
      <c r="C50" s="42"/>
      <c r="D50" s="42"/>
      <c r="E50" s="42"/>
      <c r="F50" s="42"/>
      <c r="G50" s="42"/>
      <c r="H50" s="20"/>
      <c r="I50" s="1"/>
    </row>
  </sheetData>
  <sheetProtection algorithmName="SHA-512" hashValue="CYg/l7vLxOtABSt8f3RbiJjsiIlLm3P34E77Z0Pk1U4e5cmXg6bdYgnOcSpB6wcQDwJUQ7/cKONZf/9Or7zMBA==" saltValue="ztzXAgTLybaNWJjlmfWJOA==" spinCount="100000" sheet="1" objects="1" scenarios="1"/>
  <mergeCells count="33"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8:H28"/>
    <mergeCell ref="B29:F29"/>
    <mergeCell ref="B31:F31"/>
    <mergeCell ref="B34:H34"/>
    <mergeCell ref="B22:H22"/>
    <mergeCell ref="B23:F23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4" t="s">
        <v>101</v>
      </c>
      <c r="C3" s="74"/>
      <c r="D3" s="74"/>
      <c r="E3" s="74"/>
      <c r="F3" s="74"/>
      <c r="G3" s="74"/>
      <c r="H3" s="74"/>
      <c r="I3" s="1"/>
    </row>
    <row r="4" spans="1:9" ht="15" customHeight="1" x14ac:dyDescent="0.25">
      <c r="A4" s="1"/>
      <c r="B4" s="74"/>
      <c r="C4" s="74"/>
      <c r="D4" s="74"/>
      <c r="E4" s="74"/>
      <c r="F4" s="74"/>
      <c r="G4" s="74"/>
      <c r="H4" s="7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7" t="s">
        <v>9</v>
      </c>
      <c r="C8" s="98"/>
      <c r="D8" s="98"/>
      <c r="E8" s="98"/>
      <c r="F8" s="98"/>
      <c r="G8" s="98"/>
      <c r="H8" s="99"/>
      <c r="I8" s="1"/>
    </row>
    <row r="9" spans="1:9" x14ac:dyDescent="0.25">
      <c r="A9" s="1"/>
      <c r="B9" s="100" t="s">
        <v>124</v>
      </c>
      <c r="C9" s="101"/>
      <c r="D9" s="101"/>
      <c r="E9" s="101"/>
      <c r="F9" s="102"/>
      <c r="G9" s="23">
        <v>1.7664365816824099E-2</v>
      </c>
      <c r="H9" s="14"/>
      <c r="I9" s="1"/>
    </row>
    <row r="10" spans="1:9" x14ac:dyDescent="0.25">
      <c r="A10" s="1"/>
      <c r="B10" s="100" t="s">
        <v>181</v>
      </c>
      <c r="C10" s="101"/>
      <c r="D10" s="101"/>
      <c r="E10" s="101"/>
      <c r="F10" s="102"/>
      <c r="G10" s="23">
        <v>9.5327332872183132E-3</v>
      </c>
      <c r="H10" s="14"/>
      <c r="I10" s="1"/>
    </row>
    <row r="11" spans="1:9" x14ac:dyDescent="0.25">
      <c r="A11" s="1"/>
      <c r="B11" s="41"/>
      <c r="C11" s="42"/>
      <c r="D11" s="42"/>
      <c r="E11" s="42"/>
      <c r="F11" s="42"/>
      <c r="G11" s="42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7" t="s">
        <v>227</v>
      </c>
      <c r="C13" s="107"/>
      <c r="D13" s="107"/>
      <c r="E13" s="107"/>
      <c r="F13" s="107"/>
      <c r="G13" s="107"/>
      <c r="H13" s="107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BzpU+oF2yY/y1MyZigIIxhnu+KdbjKxb8NETlTBIi2p2nYgq8S0hx7I1olmR+Qhm1pd3R+U0txE6E+wWrAIjew==" saltValue="TFut5MUhkzl9pjH1Tgh2D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2020-10-21T06:51:09Z</dcterms:modified>
</cp:coreProperties>
</file>