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Odsherred Spildevand AS (S07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8" i="32" l="1"/>
  <c r="E32" i="32"/>
  <c r="C30" i="2" s="1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<sst xmlns="http://schemas.openxmlformats.org/spreadsheetml/2006/main" count="691" uniqueCount="278">
  <si>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</si>
  <si>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</si>
  <si>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</si>
  <si>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</si>
  <si>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</si>
  <si>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</si>
  <si>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</si>
  <si>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</si>
  <si>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</si>
  <si>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</si>
  <si>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</si>
  <si>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</si>
  <si>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</si>
  <si>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</si>
  <si>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</si>
  <si>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</si>
  <si>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</si>
  <si>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</si>
  <si>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</si>
  <si>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</si>
  <si>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</si>
  <si>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</si>
  <si>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</si>
  <si>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</si>
  <si>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</si>
  <si>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</si>
  <si>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</si>
  <si>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</si>
  <si>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</si>
  <si>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</si>
  <si>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</si>
  <si>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</si>
  <si>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</si>
  <si>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</si>
  <si>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</si>
  <si>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</si>
  <si>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</si>
  <si>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</si>
  <si>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</si>
  <si>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</si>
  <si>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</si>
  <si>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</si>
  <si>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</si>
  <si>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</si>
  <si>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</si>
  <si>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</si>
  <si>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</si>
  <si>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</si>
  <si>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</si>
  <si>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</si>
  <si>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</si>
  <si>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</si>
  <si>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</si>
  <si>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</si>
  <si>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</si>
  <si>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</si>
  <si>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</si>
  <si>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</si>
  <si>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</si>
  <si>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</si>
  <si>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</si>
  <si>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</si>
  <si>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</si>
  <si>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</si>
  <si>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</si>
  <si>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</si>
  <si>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</si>
  <si>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</si>
  <si>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</si>
  <si>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</si>
  <si>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</si>
  <si>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</si>
  <si>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</si>
  <si>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</si>
  <si>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</si>
  <si>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</si>
  <si>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</si>
  <si>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</si>
  <si>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</si>
  <si>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</si>
  <si>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</si>
  <si>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</si>
  <si>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</si>
  <si>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</si>
  <si>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</si>
  <si>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</si>
  <si>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</si>
  <si>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</si>
  <si>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</si>
  <si>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</si>
  <si>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</si>
  <si>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</si>
  <si>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</si>
  <si>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</si>
  <si>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</si>
  <si>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</si>
  <si>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</si>
  <si>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</si>
  <si>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</si>
  <si>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</si>
  <si>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</si>
  <si>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</si>
  <si>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</si>
  <si>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</si>
  <si>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</si>
  <si>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</si>
  <si>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</si>
  <si>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</si>
  <si>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</si>
  <si>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</si>
  <si>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</si>
  <si>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</si>
  <si>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</si>
  <si>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</si>
  <si>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</si>
  <si>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</si>
  <si>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</si>
  <si>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</si>
  <si>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</si>
  <si>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</si>
  <si>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</si>
  <si>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</si>
  <si>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</si>
  <si>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</si>
  <si>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</si>
  <si>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</si>
  <si>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</si>
  <si>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</si>
  <si>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</si>
  <si>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</si>
  <si>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</si>
  <si>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</si>
  <si>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</si>
  <si>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</si>
  <si>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</si>
  <si>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</si>
  <si>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</si>
  <si>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</si>
  <si>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</si>
  <si>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</si>
  <si>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</si>
  <si>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</si>
  <si>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</si>
  <si>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</si>
  <si>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</si>
  <si>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</si>
  <si>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</si>
  <si>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</si>
  <si>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</si>
  <si>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</si>
  <si>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</si>
  <si>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</si>
  <si>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</si>
  <si>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</si>
  <si>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</si>
  <si>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</si>
  <si>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</si>
  <si>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</si>
  <si>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</si>
  <si>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</si>
  <si>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</si>
  <si>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</si>
  <si>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</si>
  <si>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</si>
  <si>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</si>
  <si>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</si>
  <si>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</si>
  <si>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</si>
  <si>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</si>
  <si>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</si>
  <si>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</si>
  <si>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</si>
  <si>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</si>
  <si>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</si>
  <si>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</si>
  <si>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</si>
  <si>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</si>
  <si>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</si>
  <si>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</si>
  <si>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</si>
  <si>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</si>
  <si>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</si>
  <si>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</si>
  <si>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</si>
  <si>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</si>
  <si>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</si>
  <si>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</si>
  <si>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</si>
  <si>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</si>
  <si>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</si>
  <si>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</si>
  <si>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</si>
  <si>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</si>
  <si>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</si>
  <si>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</si>
  <si>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</si>
  <si>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</si>
  <si>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</si>
  <si>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</si>
  <si>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</si>
  <si>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</si>
  <si>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</si>
  <si>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</si>
  <si>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</si>
  <si>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</si>
  <si>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</si>
  <si>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</si>
  <si>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</si>
  <si>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</si>
  <si>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</si>
  <si>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</si>
  <si>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</si>
  <si>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</si>
  <si>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</si>
  <si>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</si>
  <si>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</si>
  <si>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</si>
  <si>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</si>
  <si>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</si>
  <si>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</si>
  <si>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</si>
  <si>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</si>
  <si>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</si>
  <si>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</si>
  <si>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</si>
  <si>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</si>
  <si>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</si>
  <si>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</si>
  <si>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</si>
  <si>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</si>
  <si>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</si>
  <si>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</si>
  <si>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</si>
  <si>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</si>
  <si>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</si>
  <si>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</si>
  <si>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</si>
  <si>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</si>
  <si>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</si>
  <si>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</si>
  <si>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</si>
  <si>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</si>
  <si>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</si>
  <si>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</si>
  <si>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</si>
  <si>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</si>
  <si>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</si>
  <si>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</si>
  <si>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</si>
  <si>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</si>
  <si>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</si>
  <si>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</si>
  <si>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</si>
  <si>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</si>
  <si>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</si>
  <si>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</si>
  <si>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</si>
  <si>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</si>
  <si>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</si>
  <si>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</si>
  <si>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</si>
  <si>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</si>
  <si>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</si>
  <si>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</si>
  <si>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</si>
  <si>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</si>
  <si>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</si>
  <si>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</si>
  <si>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Erstatninger</t>
  </si>
  <si>
    <t>Ingen tilknyttet virksomhed</t>
  </si>
  <si>
    <t>Ingen bortfald eller nedsættelse</t>
  </si>
  <si>
    <t>Ø 200 mm &lt; Ledningsnet ≤ Ø 500 mm</t>
  </si>
  <si>
    <t>75</t>
  </si>
  <si>
    <t>Separatkloakering Hønsinge by</t>
  </si>
  <si>
    <t>Ny-kloakeringer</t>
  </si>
  <si>
    <t>Ingen engangstillæg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</si>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</sst>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4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4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4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4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4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4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4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4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4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4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4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4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4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4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4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4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4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5" t="s">
        <v>165</v>
      </c>
      <c r="C3" s="75"/>
      <c r="D3" s="75"/>
      <c r="E3" s="1"/>
      <c r="F3" s="1"/>
    </row>
    <row r="4" spans="1:6" ht="15" customHeight="1" x14ac:dyDescent="0.45">
      <c r="A4" s="1"/>
      <c r="B4" s="75"/>
      <c r="C4" s="75"/>
      <c r="D4" s="7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9" t="s">
        <v>196</v>
      </c>
      <c r="C8" s="90"/>
      <c r="D8" s="91"/>
      <c r="E8" s="1"/>
      <c r="F8" s="1"/>
    </row>
    <row r="9" spans="1:6" ht="15" customHeight="1" x14ac:dyDescent="0.4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45">
      <c r="A10" s="1"/>
      <c r="B10" s="54" t="s">
        <v>265</v>
      </c>
      <c r="C10" s="9">
        <v>776331</v>
      </c>
      <c r="D10" s="14" t="s">
        <v>3</v>
      </c>
      <c r="E10" s="1"/>
      <c r="F10" s="1"/>
    </row>
    <row r="11" spans="1:6" x14ac:dyDescent="0.45">
      <c r="A11" s="1"/>
      <c r="B11" s="54" t="s">
        <v>266</v>
      </c>
      <c r="C11" s="9">
        <v>57936</v>
      </c>
      <c r="D11" s="14" t="s">
        <v>3</v>
      </c>
      <c r="E11" s="1"/>
      <c r="F11" s="1"/>
    </row>
    <row r="12" spans="1:6" x14ac:dyDescent="0.45">
      <c r="A12" s="1"/>
      <c r="B12" s="54" t="s">
        <v>267</v>
      </c>
      <c r="C12" s="9">
        <v>44421</v>
      </c>
      <c r="D12" s="14" t="s">
        <v>3</v>
      </c>
      <c r="E12" s="1"/>
      <c r="F12" s="1"/>
    </row>
    <row r="13" spans="1:6" x14ac:dyDescent="0.45">
      <c r="A13" s="1"/>
      <c r="B13" s="54" t="s">
        <v>268</v>
      </c>
      <c r="C13" s="9">
        <v>357152</v>
      </c>
      <c r="D13" s="14" t="s">
        <v>3</v>
      </c>
      <c r="E13" s="1"/>
      <c r="F13" s="1"/>
    </row>
    <row r="14" spans="1:6" x14ac:dyDescent="0.45">
      <c r="A14" s="1"/>
      <c r="B14" s="38" t="s">
        <v>198</v>
      </c>
      <c r="C14" s="12">
        <f>SUM(C10:C13)</f>
        <v>1235840</v>
      </c>
      <c r="D14" s="13" t="s">
        <v>3</v>
      </c>
      <c r="E14" s="1"/>
      <c r="F14" s="1"/>
    </row>
    <row r="15" spans="1:6" x14ac:dyDescent="0.45">
      <c r="A15" s="1"/>
      <c r="B15" s="38" t="s">
        <v>199</v>
      </c>
      <c r="C15" s="12">
        <f>C14*(1+'Fane 14. Nøgletal'!C13)^2</f>
        <v>1266178.4384256001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89" t="s">
        <v>178</v>
      </c>
      <c r="C18" s="90"/>
      <c r="D18" s="91"/>
      <c r="E18" s="1"/>
      <c r="F18" s="1"/>
    </row>
    <row r="19" spans="1:6" x14ac:dyDescent="0.4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89"/>
      <c r="C23" s="90"/>
      <c r="D23" s="9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89" t="s">
        <v>146</v>
      </c>
      <c r="C26" s="90"/>
      <c r="D26" s="91"/>
      <c r="E26" s="1"/>
      <c r="F26" s="1"/>
    </row>
    <row r="27" spans="1:6" x14ac:dyDescent="0.4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89"/>
      <c r="C31" s="90"/>
      <c r="D31" s="9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51"/>
      <c r="C5" s="51"/>
      <c r="D5" s="51"/>
      <c r="E5" s="51"/>
      <c r="F5" s="51"/>
      <c r="G5" s="1"/>
    </row>
    <row r="6" spans="1:7" ht="15" customHeight="1" x14ac:dyDescent="0.45">
      <c r="A6" s="1"/>
      <c r="B6" s="51"/>
      <c r="C6" s="51"/>
      <c r="D6" s="51"/>
      <c r="E6" s="51"/>
      <c r="F6" s="5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137</v>
      </c>
      <c r="C8" s="90"/>
      <c r="D8" s="90"/>
      <c r="E8" s="90"/>
      <c r="F8" s="91"/>
      <c r="G8" s="1"/>
    </row>
    <row r="9" spans="1:7" x14ac:dyDescent="0.45">
      <c r="A9" s="1"/>
      <c r="B9" s="92" t="s">
        <v>138</v>
      </c>
      <c r="C9" s="93"/>
      <c r="D9" s="94"/>
      <c r="E9" s="9">
        <v>61244522.099229716</v>
      </c>
      <c r="F9" s="14" t="s">
        <v>3</v>
      </c>
      <c r="G9" s="1"/>
    </row>
    <row r="10" spans="1:7" x14ac:dyDescent="0.45">
      <c r="A10" s="1"/>
      <c r="B10" s="92" t="s">
        <v>139</v>
      </c>
      <c r="C10" s="93"/>
      <c r="D10" s="94"/>
      <c r="E10" s="9">
        <v>58591249</v>
      </c>
      <c r="F10" s="14" t="s">
        <v>3</v>
      </c>
      <c r="G10" s="1"/>
    </row>
    <row r="11" spans="1:7" x14ac:dyDescent="0.4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45">
      <c r="A12" s="1"/>
      <c r="B12" s="82" t="s">
        <v>140</v>
      </c>
      <c r="C12" s="83"/>
      <c r="D12" s="101"/>
      <c r="E12" s="10">
        <f>E9-(E10-E11)</f>
        <v>2653273.0992297158</v>
      </c>
      <c r="F12" s="17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27" customHeight="1" x14ac:dyDescent="0.4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9" t="s">
        <v>52</v>
      </c>
      <c r="C16" s="90"/>
      <c r="D16" s="90"/>
      <c r="E16" s="90"/>
      <c r="F16" s="91"/>
      <c r="G16" s="1"/>
    </row>
    <row r="17" spans="1:7" x14ac:dyDescent="0.45">
      <c r="A17" s="1"/>
      <c r="B17" s="92" t="s">
        <v>53</v>
      </c>
      <c r="C17" s="93"/>
      <c r="D17" s="94"/>
      <c r="E17" s="9">
        <v>56464845.330767505</v>
      </c>
      <c r="F17" s="14" t="s">
        <v>3</v>
      </c>
      <c r="G17" s="1"/>
    </row>
    <row r="18" spans="1:7" x14ac:dyDescent="0.45">
      <c r="A18" s="1"/>
      <c r="B18" s="92" t="s">
        <v>54</v>
      </c>
      <c r="C18" s="93"/>
      <c r="D18" s="94"/>
      <c r="E18" s="9">
        <v>56715389</v>
      </c>
      <c r="F18" s="14" t="s">
        <v>3</v>
      </c>
      <c r="G18" s="1"/>
    </row>
    <row r="19" spans="1:7" x14ac:dyDescent="0.4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45">
      <c r="A20" s="1"/>
      <c r="B20" s="82" t="s">
        <v>55</v>
      </c>
      <c r="C20" s="83"/>
      <c r="D20" s="101"/>
      <c r="E20" s="10">
        <f>E17-(E18-E19)</f>
        <v>-250543.66923249513</v>
      </c>
      <c r="F20" s="17" t="s">
        <v>3</v>
      </c>
      <c r="G20" s="1"/>
    </row>
    <row r="21" spans="1:7" x14ac:dyDescent="0.45">
      <c r="A21" s="1"/>
      <c r="B21" s="38"/>
      <c r="C21" s="32"/>
      <c r="D21" s="32"/>
      <c r="E21" s="32"/>
      <c r="F21" s="20"/>
      <c r="G21" s="1"/>
    </row>
    <row r="22" spans="1:7" ht="28.5" customHeight="1" x14ac:dyDescent="0.4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9" t="s">
        <v>245</v>
      </c>
      <c r="C24" s="90"/>
      <c r="D24" s="90"/>
      <c r="E24" s="90"/>
      <c r="F24" s="91"/>
      <c r="G24" s="1"/>
    </row>
    <row r="25" spans="1:7" x14ac:dyDescent="0.45">
      <c r="A25" s="1"/>
      <c r="B25" s="92" t="s">
        <v>246</v>
      </c>
      <c r="C25" s="93"/>
      <c r="D25" s="94"/>
      <c r="E25" s="9">
        <v>60787522.619470432</v>
      </c>
      <c r="F25" s="14" t="s">
        <v>3</v>
      </c>
      <c r="G25" s="1"/>
    </row>
    <row r="26" spans="1:7" x14ac:dyDescent="0.45">
      <c r="A26" s="1"/>
      <c r="B26" s="92" t="s">
        <v>247</v>
      </c>
      <c r="C26" s="93"/>
      <c r="D26" s="94"/>
      <c r="E26" s="9">
        <v>56925588</v>
      </c>
      <c r="F26" s="14" t="s">
        <v>3</v>
      </c>
      <c r="G26" s="1"/>
    </row>
    <row r="27" spans="1:7" x14ac:dyDescent="0.4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45">
      <c r="A28" s="1"/>
      <c r="B28" s="82" t="s">
        <v>248</v>
      </c>
      <c r="C28" s="83"/>
      <c r="D28" s="101"/>
      <c r="E28" s="10">
        <f>E25-(E26-E27)</f>
        <v>3861934.6194704324</v>
      </c>
      <c r="F28" s="17" t="s">
        <v>3</v>
      </c>
      <c r="G28" s="1"/>
    </row>
    <row r="29" spans="1:7" x14ac:dyDescent="0.45">
      <c r="A29" s="1"/>
      <c r="B29" s="38"/>
      <c r="C29" s="32"/>
      <c r="D29" s="32"/>
      <c r="E29" s="32"/>
      <c r="F29" s="20"/>
      <c r="G29" s="1"/>
    </row>
    <row r="30" spans="1:7" ht="28.5" customHeight="1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89" t="s">
        <v>250</v>
      </c>
      <c r="C31" s="90"/>
      <c r="D31" s="90"/>
      <c r="E31" s="90"/>
      <c r="F31" s="91"/>
      <c r="G31" s="1"/>
    </row>
    <row r="32" spans="1:7" x14ac:dyDescent="0.4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45">
      <c r="A33" s="1"/>
      <c r="B33" s="89"/>
      <c r="C33" s="90"/>
      <c r="D33" s="90"/>
      <c r="E33" s="90"/>
      <c r="F33" s="91"/>
      <c r="G33" s="1"/>
    </row>
    <row r="34" spans="1:7" ht="28.5" customHeight="1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89" t="s">
        <v>249</v>
      </c>
      <c r="C35" s="90"/>
      <c r="D35" s="90"/>
      <c r="E35" s="90"/>
      <c r="F35" s="91"/>
      <c r="G35" s="1"/>
    </row>
    <row r="36" spans="1:7" x14ac:dyDescent="0.45">
      <c r="A36" s="1"/>
      <c r="B36" s="102" t="s">
        <v>276</v>
      </c>
      <c r="C36" s="103"/>
      <c r="D36" s="104"/>
      <c r="E36" s="9">
        <v>0</v>
      </c>
      <c r="F36" s="14"/>
      <c r="G36" s="1"/>
    </row>
    <row r="37" spans="1:7" x14ac:dyDescent="0.45">
      <c r="A37" s="1"/>
      <c r="B37" s="102" t="s">
        <v>277</v>
      </c>
      <c r="C37" s="103"/>
      <c r="D37" s="104"/>
      <c r="E37" s="9">
        <v>0</v>
      </c>
      <c r="F37" s="14"/>
      <c r="G37" s="1"/>
    </row>
    <row r="38" spans="1:7" x14ac:dyDescent="0.4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4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4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45">
      <c r="A41" s="1"/>
      <c r="B41" s="105"/>
      <c r="C41" s="106"/>
      <c r="D41" s="106"/>
      <c r="E41" s="106"/>
      <c r="F41" s="107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7" spans="1:7" x14ac:dyDescent="0.45">
      <c r="A47" s="42"/>
      <c r="B47" s="42"/>
      <c r="C47" s="42"/>
      <c r="D47" s="42"/>
      <c r="E47" s="42"/>
      <c r="F47" s="42"/>
      <c r="G47" s="42"/>
    </row>
    <row r="48" spans="1:7" x14ac:dyDescent="0.45">
      <c r="A48" s="42"/>
      <c r="B48" s="42"/>
      <c r="C48" s="42"/>
      <c r="D48" s="42"/>
      <c r="E48" s="42"/>
      <c r="F48" s="42"/>
      <c r="G48" s="42"/>
    </row>
    <row r="49" spans="1:7" x14ac:dyDescent="0.45">
      <c r="A49" s="42"/>
      <c r="B49" s="42"/>
      <c r="C49" s="42"/>
      <c r="D49" s="42"/>
      <c r="E49" s="42"/>
      <c r="F49" s="42"/>
      <c r="G49" s="42"/>
    </row>
    <row r="50" spans="1:7" x14ac:dyDescent="0.45">
      <c r="A50" s="42"/>
      <c r="B50" s="42"/>
      <c r="C50" s="42"/>
      <c r="D50" s="42"/>
      <c r="E50" s="42"/>
      <c r="F50" s="42"/>
      <c r="G50" s="42"/>
    </row>
    <row r="51" spans="1:7" x14ac:dyDescent="0.45">
      <c r="A51" s="42"/>
      <c r="B51" s="42"/>
      <c r="C51" s="42"/>
      <c r="D51" s="42"/>
      <c r="E51" s="42"/>
      <c r="F51" s="42"/>
      <c r="G51" s="42"/>
    </row>
    <row r="52" spans="1:7" x14ac:dyDescent="0.45">
      <c r="A52" s="42"/>
      <c r="B52" s="42"/>
      <c r="C52" s="42"/>
      <c r="D52" s="42"/>
      <c r="E52" s="42"/>
      <c r="F52" s="42"/>
      <c r="G52" s="42"/>
    </row>
    <row r="53" spans="1:7" x14ac:dyDescent="0.45">
      <c r="A53" s="42"/>
      <c r="B53" s="42"/>
      <c r="C53" s="42"/>
      <c r="D53" s="42"/>
      <c r="E53" s="42"/>
      <c r="F53" s="42"/>
      <c r="G53" s="42"/>
    </row>
    <row r="54" spans="1:7" x14ac:dyDescent="0.45">
      <c r="A54" s="42"/>
      <c r="B54" s="42"/>
      <c r="C54" s="42"/>
      <c r="D54" s="42"/>
      <c r="E54" s="42"/>
      <c r="F54" s="42"/>
      <c r="G54" s="42"/>
    </row>
    <row r="55" spans="1:7" x14ac:dyDescent="0.45">
      <c r="A55" s="42"/>
      <c r="B55" s="42"/>
      <c r="C55" s="42"/>
      <c r="D55" s="42"/>
      <c r="E55" s="42"/>
      <c r="F55" s="42"/>
      <c r="G55" s="42"/>
    </row>
    <row r="56" spans="1:7" x14ac:dyDescent="0.45">
      <c r="A56" s="42"/>
      <c r="B56" s="42"/>
      <c r="C56" s="42"/>
      <c r="D56" s="42"/>
      <c r="E56" s="42"/>
      <c r="F56" s="42"/>
      <c r="G56" s="42"/>
    </row>
    <row r="57" spans="1:7" x14ac:dyDescent="0.45">
      <c r="A57" s="42"/>
      <c r="B57" s="42"/>
      <c r="C57" s="42"/>
      <c r="D57" s="42"/>
      <c r="E57" s="42"/>
      <c r="F57" s="42"/>
      <c r="G57" s="42"/>
    </row>
    <row r="58" spans="1:7" x14ac:dyDescent="0.45">
      <c r="A58" s="42"/>
      <c r="B58" s="42"/>
      <c r="C58" s="42"/>
      <c r="D58" s="42"/>
      <c r="E58" s="42"/>
      <c r="F58" s="42"/>
      <c r="G58" s="42"/>
    </row>
    <row r="59" spans="1:7" x14ac:dyDescent="0.45">
      <c r="A59" s="42"/>
      <c r="B59" s="42"/>
      <c r="C59" s="42"/>
      <c r="D59" s="42"/>
      <c r="E59" s="42"/>
      <c r="F59" s="42"/>
      <c r="G59" s="42"/>
    </row>
    <row r="60" spans="1:7" x14ac:dyDescent="0.4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9" t="s">
        <v>202</v>
      </c>
      <c r="C9" s="90"/>
      <c r="D9" s="90"/>
      <c r="E9" s="90"/>
      <c r="F9" s="91"/>
      <c r="G9" s="1"/>
    </row>
    <row r="10" spans="1:7" x14ac:dyDescent="0.4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4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4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45">
      <c r="A13" s="1"/>
      <c r="B13" s="89" t="s">
        <v>134</v>
      </c>
      <c r="C13" s="90"/>
      <c r="D13" s="90"/>
      <c r="E13" s="90"/>
      <c r="F13" s="91"/>
      <c r="G13" s="1"/>
    </row>
    <row r="14" spans="1:7" x14ac:dyDescent="0.4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4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65" x14ac:dyDescent="0.45">
      <c r="A10" s="1"/>
      <c r="B10" s="56" t="s">
        <v>271</v>
      </c>
      <c r="C10" s="112" t="s">
        <v>272</v>
      </c>
      <c r="D10" s="9">
        <v>2756124</v>
      </c>
      <c r="E10" s="9">
        <f>IFERROR(D10/C10,0)</f>
        <v>36748.32</v>
      </c>
      <c r="F10" s="9">
        <v>0</v>
      </c>
      <c r="G10" s="9">
        <v>43087.33</v>
      </c>
      <c r="H10" s="14" t="s">
        <v>3</v>
      </c>
      <c r="I10" s="1"/>
    </row>
    <row r="11" spans="1:9" x14ac:dyDescent="0.45">
      <c r="A11" s="1"/>
      <c r="B11" s="89" t="s">
        <v>238</v>
      </c>
      <c r="C11" s="90"/>
      <c r="D11" s="91"/>
      <c r="E11" s="12">
        <f>SUM(E10:E10)</f>
        <v>36748.32</v>
      </c>
      <c r="F11" s="12">
        <f>SUM(F10:F10)</f>
        <v>0</v>
      </c>
      <c r="G11" s="12">
        <f>SUM(G10:G10)</f>
        <v>43087.33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4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4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79835.649999999994</v>
      </c>
      <c r="F10" s="14" t="s">
        <v>3</v>
      </c>
      <c r="G10" s="1"/>
    </row>
    <row r="11" spans="1:7" x14ac:dyDescent="0.45">
      <c r="A11" s="1"/>
      <c r="B11" s="113" t="s">
        <v>273</v>
      </c>
      <c r="C11" s="22">
        <v>192179</v>
      </c>
      <c r="D11" s="14" t="s">
        <v>3</v>
      </c>
      <c r="E11" s="9">
        <v>406302</v>
      </c>
      <c r="F11" s="14" t="s">
        <v>3</v>
      </c>
      <c r="G11" s="1"/>
    </row>
    <row r="12" spans="1:7" x14ac:dyDescent="0.45">
      <c r="A12" s="1"/>
      <c r="B12" s="25" t="s">
        <v>274</v>
      </c>
      <c r="C12" s="22">
        <v>1724387</v>
      </c>
      <c r="D12" s="14" t="s">
        <v>3</v>
      </c>
      <c r="E12" s="9">
        <v>1778697</v>
      </c>
      <c r="F12" s="14" t="s">
        <v>3</v>
      </c>
      <c r="G12" s="1"/>
    </row>
    <row r="13" spans="1:7" x14ac:dyDescent="0.45">
      <c r="A13" s="1"/>
      <c r="B13" s="38" t="s">
        <v>50</v>
      </c>
      <c r="C13" s="12">
        <f>SUM(C10:C12)</f>
        <v>1916566</v>
      </c>
      <c r="D13" s="13" t="s">
        <v>3</v>
      </c>
      <c r="E13" s="12">
        <f>SUM(E10:E12)</f>
        <v>2264834.65</v>
      </c>
      <c r="F13" s="13" t="s">
        <v>3</v>
      </c>
      <c r="G13" s="1"/>
    </row>
    <row r="14" spans="1:7" x14ac:dyDescent="0.45">
      <c r="A14" s="1"/>
      <c r="B14" s="38" t="s">
        <v>219</v>
      </c>
      <c r="C14" s="12">
        <f>C13*(1+'Fane 14. Nøgletal'!C13)</f>
        <v>1939948.1051999999</v>
      </c>
      <c r="D14" s="13" t="s">
        <v>3</v>
      </c>
      <c r="E14" s="12">
        <f>E13*(1+'Fane 14. Nøgletal'!C13)</f>
        <v>2292465.6327299997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141</v>
      </c>
      <c r="C8" s="90"/>
      <c r="D8" s="90"/>
      <c r="E8" s="90"/>
      <c r="F8" s="91"/>
      <c r="G8" s="1"/>
    </row>
    <row r="9" spans="1:7" x14ac:dyDescent="0.4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45">
      <c r="A10" s="1"/>
      <c r="B10" s="25" t="s">
        <v>275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9" t="s">
        <v>142</v>
      </c>
      <c r="C16" s="90"/>
      <c r="D16" s="90"/>
      <c r="E16" s="90"/>
      <c r="F16" s="91"/>
      <c r="G16" s="1"/>
    </row>
    <row r="17" spans="1:7" x14ac:dyDescent="0.4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45">
      <c r="A18" s="1"/>
      <c r="B18" s="25" t="s">
        <v>275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9" t="s">
        <v>143</v>
      </c>
      <c r="C24" s="90"/>
      <c r="D24" s="90"/>
      <c r="E24" s="90"/>
      <c r="F24" s="91"/>
      <c r="G24" s="1"/>
    </row>
    <row r="25" spans="1:7" x14ac:dyDescent="0.4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45">
      <c r="A26" s="1"/>
      <c r="B26" s="25" t="s">
        <v>275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9" t="s">
        <v>223</v>
      </c>
      <c r="C32" s="90"/>
      <c r="D32" s="90"/>
      <c r="E32" s="90"/>
      <c r="F32" s="91"/>
      <c r="G32" s="1"/>
    </row>
    <row r="33" spans="1:7" x14ac:dyDescent="0.4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45">
      <c r="A34" s="1"/>
      <c r="B34" s="25" t="s">
        <v>275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BBpGdAvOBwNrPsd2oALikL/c3uHVrQ27b8KWRa/QFDXwGHDpgsUDH8SnR46ImOyslnWFPs+honqw53/Ct8r9Pw==" saltValue="OYcX8ts++oYLad3+UNnDv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86"/>
      <c r="C5" s="86"/>
      <c r="D5" s="86"/>
      <c r="E5" s="86"/>
      <c r="F5" s="8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125</v>
      </c>
      <c r="C8" s="90"/>
      <c r="D8" s="90"/>
      <c r="E8" s="90"/>
      <c r="F8" s="91"/>
      <c r="G8" s="1"/>
    </row>
    <row r="9" spans="1:7" x14ac:dyDescent="0.4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4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4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126</v>
      </c>
      <c r="C14" s="90"/>
      <c r="D14" s="90"/>
      <c r="E14" s="90"/>
      <c r="F14" s="91"/>
      <c r="G14" s="1"/>
    </row>
    <row r="15" spans="1:7" x14ac:dyDescent="0.4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4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4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127</v>
      </c>
      <c r="C20" s="90"/>
      <c r="D20" s="90"/>
      <c r="E20" s="90"/>
      <c r="F20" s="91"/>
      <c r="G20" s="1"/>
    </row>
    <row r="21" spans="1:7" x14ac:dyDescent="0.4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4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4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208</v>
      </c>
      <c r="C26" s="90"/>
      <c r="D26" s="90"/>
      <c r="E26" s="90"/>
      <c r="F26" s="91"/>
      <c r="G26" s="1"/>
    </row>
    <row r="27" spans="1:7" x14ac:dyDescent="0.4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4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4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4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131</v>
      </c>
      <c r="C14" s="90"/>
      <c r="D14" s="90"/>
      <c r="E14" s="90"/>
      <c r="F14" s="91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4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133</v>
      </c>
      <c r="C20" s="90"/>
      <c r="D20" s="90"/>
      <c r="E20" s="90"/>
      <c r="F20" s="91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4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227</v>
      </c>
      <c r="C26" s="90"/>
      <c r="D26" s="90"/>
      <c r="E26" s="90"/>
      <c r="F26" s="91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4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257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54" t="s">
        <v>170</v>
      </c>
      <c r="C9" s="26">
        <v>1.2699999999999999E-2</v>
      </c>
      <c r="D9" s="1"/>
    </row>
    <row r="10" spans="1:4" x14ac:dyDescent="0.45">
      <c r="A10" s="1"/>
      <c r="B10" s="54" t="s">
        <v>171</v>
      </c>
      <c r="C10" s="26">
        <v>1.7500000000000002E-2</v>
      </c>
      <c r="D10" s="1"/>
    </row>
    <row r="11" spans="1:4" x14ac:dyDescent="0.45">
      <c r="A11" s="1"/>
      <c r="B11" s="54" t="s">
        <v>24</v>
      </c>
      <c r="C11" s="26">
        <v>1.6899999999999998E-2</v>
      </c>
      <c r="D11" s="1"/>
    </row>
    <row r="12" spans="1:4" x14ac:dyDescent="0.45">
      <c r="A12" s="1"/>
      <c r="B12" s="39" t="s">
        <v>172</v>
      </c>
      <c r="C12" s="40">
        <v>1.9699999999999999E-2</v>
      </c>
      <c r="D12" s="1"/>
    </row>
    <row r="13" spans="1:4" x14ac:dyDescent="0.45">
      <c r="A13" s="1"/>
      <c r="B13" s="39" t="s">
        <v>217</v>
      </c>
      <c r="C13" s="40">
        <v>1.2200000000000001E-2</v>
      </c>
      <c r="D13" s="1"/>
    </row>
    <row r="14" spans="1:4" x14ac:dyDescent="0.45">
      <c r="A14" s="1"/>
      <c r="B14" s="38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8" t="s">
        <v>153</v>
      </c>
      <c r="C17" s="20"/>
      <c r="D17" s="1"/>
    </row>
    <row r="18" spans="1:4" x14ac:dyDescent="0.45">
      <c r="A18" s="1"/>
      <c r="B18" s="54" t="s">
        <v>173</v>
      </c>
      <c r="C18" s="23">
        <v>9.1000000000000004E-3</v>
      </c>
      <c r="D18" s="1"/>
    </row>
    <row r="19" spans="1:4" x14ac:dyDescent="0.45">
      <c r="A19" s="1"/>
      <c r="B19" s="54" t="s">
        <v>174</v>
      </c>
      <c r="C19" s="23">
        <v>1.77E-2</v>
      </c>
      <c r="D19" s="1"/>
    </row>
    <row r="20" spans="1:4" x14ac:dyDescent="0.45">
      <c r="A20" s="1"/>
      <c r="B20" s="54" t="s">
        <v>175</v>
      </c>
      <c r="C20" s="23">
        <v>8.6999999999999994E-3</v>
      </c>
      <c r="D20" s="1"/>
    </row>
    <row r="21" spans="1:4" x14ac:dyDescent="0.45">
      <c r="A21" s="1"/>
      <c r="B21" s="54" t="s">
        <v>176</v>
      </c>
      <c r="C21" s="41">
        <v>2.8400000000000002E-2</v>
      </c>
      <c r="D21" s="1"/>
    </row>
    <row r="22" spans="1:4" x14ac:dyDescent="0.45">
      <c r="A22" s="1"/>
      <c r="B22" s="54" t="s">
        <v>229</v>
      </c>
      <c r="C22" s="41">
        <v>2.75E-2</v>
      </c>
      <c r="D22" s="1"/>
    </row>
    <row r="23" spans="1:4" x14ac:dyDescent="0.45">
      <c r="A23" s="1"/>
      <c r="B23" s="3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8" t="s">
        <v>154</v>
      </c>
      <c r="C26" s="20"/>
      <c r="D26" s="1"/>
    </row>
    <row r="27" spans="1:4" x14ac:dyDescent="0.45">
      <c r="A27" s="1"/>
      <c r="B27" s="54" t="s">
        <v>177</v>
      </c>
      <c r="C27" s="26">
        <v>0.02</v>
      </c>
      <c r="D27" s="1"/>
    </row>
    <row r="28" spans="1:4" x14ac:dyDescent="0.45">
      <c r="A28" s="1"/>
      <c r="B28" s="3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185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27</v>
      </c>
      <c r="C9" s="7">
        <f>'Fane 3. Omkostninger i ØR2020'!E20</f>
        <v>59906847.125396878</v>
      </c>
      <c r="D9" s="8" t="s">
        <v>3</v>
      </c>
      <c r="E9" s="1"/>
    </row>
    <row r="10" spans="1:5" ht="17.100000000000001" customHeight="1" x14ac:dyDescent="0.45">
      <c r="A10" s="1"/>
      <c r="B10" s="48" t="s">
        <v>48</v>
      </c>
      <c r="C10" s="7">
        <f>'Fane 10.1. Varige tillæg'!C14</f>
        <v>1939948.1051999999</v>
      </c>
      <c r="D10" s="8" t="s">
        <v>3</v>
      </c>
      <c r="E10" s="1"/>
    </row>
    <row r="11" spans="1:5" ht="17.100000000000001" customHeight="1" x14ac:dyDescent="0.45">
      <c r="A11" s="1"/>
      <c r="B11" s="48" t="s">
        <v>49</v>
      </c>
      <c r="C11" s="9">
        <f>'Fane 10.1. Varige tillæg'!E14</f>
        <v>2292465.6327299997</v>
      </c>
      <c r="D11" s="8" t="s">
        <v>3</v>
      </c>
      <c r="E11" s="1"/>
    </row>
    <row r="12" spans="1:5" ht="17.100000000000001" customHeight="1" x14ac:dyDescent="0.4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8" t="s">
        <v>20</v>
      </c>
      <c r="C16" s="9">
        <f>C9*'Fane 14. Nøgletal'!C12+SUM(C10:C15)*'Fane 14. Nøgletal'!C13</f>
        <v>1231800.3359730644</v>
      </c>
      <c r="D16" s="8" t="s">
        <v>3</v>
      </c>
      <c r="E16" s="1"/>
    </row>
    <row r="17" spans="1:5" ht="17.100000000000001" customHeight="1" x14ac:dyDescent="0.45">
      <c r="A17" s="1"/>
      <c r="B17" s="48" t="s">
        <v>10</v>
      </c>
      <c r="C17" s="9">
        <f>-SUM(C9:C16)*'Fane 5. Individuelt eff. krav'!G11</f>
        <v>-1007896.5854960742</v>
      </c>
      <c r="D17" s="8" t="s">
        <v>3</v>
      </c>
      <c r="E17" s="1"/>
    </row>
    <row r="18" spans="1:5" ht="17.100000000000001" customHeight="1" x14ac:dyDescent="0.45">
      <c r="A18" s="1"/>
      <c r="B18" s="48" t="s">
        <v>29</v>
      </c>
      <c r="C18" s="9">
        <f>-'Fane 4.1. Gen. krav - drift'!G34</f>
        <v>-410104.96625371568</v>
      </c>
      <c r="D18" s="8" t="s">
        <v>3</v>
      </c>
      <c r="E18" s="1"/>
    </row>
    <row r="19" spans="1:5" ht="17.100000000000001" customHeight="1" x14ac:dyDescent="0.45">
      <c r="A19" s="1"/>
      <c r="B19" s="48" t="s">
        <v>30</v>
      </c>
      <c r="C19" s="9">
        <f>-'Fane 4.2. Gen. krav - anlæg'!G31</f>
        <v>-1305417.7784513729</v>
      </c>
      <c r="D19" s="8" t="s">
        <v>3</v>
      </c>
      <c r="E19" s="1"/>
    </row>
    <row r="20" spans="1:5" ht="17.100000000000001" customHeight="1" x14ac:dyDescent="0.45">
      <c r="A20" s="1"/>
      <c r="B20" s="52" t="s">
        <v>22</v>
      </c>
      <c r="C20" s="10">
        <f>SUM(C9:C19)</f>
        <v>62647641.869098775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1266178.4384256001</v>
      </c>
      <c r="D22" s="11" t="s">
        <v>3</v>
      </c>
      <c r="E22" s="1"/>
    </row>
    <row r="23" spans="1:5" ht="15" customHeight="1" x14ac:dyDescent="0.45">
      <c r="A23" s="1"/>
      <c r="B23" s="38" t="s">
        <v>114</v>
      </c>
      <c r="C23" s="32"/>
      <c r="D23" s="20"/>
      <c r="E23" s="1"/>
    </row>
    <row r="24" spans="1:5" ht="15" customHeight="1" x14ac:dyDescent="0.4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113</v>
      </c>
      <c r="C25" s="32"/>
      <c r="D25" s="20"/>
      <c r="E25" s="1"/>
    </row>
    <row r="26" spans="1:5" ht="15" customHeight="1" x14ac:dyDescent="0.4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252</v>
      </c>
      <c r="C29" s="32"/>
      <c r="D29" s="20"/>
      <c r="E29" s="1"/>
    </row>
    <row r="30" spans="1:5" x14ac:dyDescent="0.4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45">
      <c r="A31" s="1"/>
      <c r="B31" s="38" t="s">
        <v>184</v>
      </c>
      <c r="C31" s="32"/>
      <c r="D31" s="20"/>
      <c r="E31" s="1"/>
    </row>
    <row r="32" spans="1:5" x14ac:dyDescent="0.4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45">
      <c r="A33" s="1"/>
      <c r="B33" s="38" t="s">
        <v>35</v>
      </c>
      <c r="C33" s="34">
        <f>SUM(C32,C30,C28,C24,C22,C20)</f>
        <v>63913820.307524376</v>
      </c>
      <c r="D33" s="35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188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28</v>
      </c>
      <c r="C9" s="7">
        <f>'Fane 2.1. Økonomisk ramme 2021'!C20</f>
        <v>62647641.869098775</v>
      </c>
      <c r="D9" s="8" t="s">
        <v>3</v>
      </c>
      <c r="E9" s="1"/>
    </row>
    <row r="10" spans="1:5" ht="15" customHeight="1" x14ac:dyDescent="0.4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764301.23080300505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-977690.73589319049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drift'!G40</f>
        <v>-406806.08190517075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anlæg'!G37</f>
        <v>-1245180.2251691432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60782266.056934275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1281625.8153743923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ht="15" customHeight="1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36</v>
      </c>
      <c r="C27" s="12">
        <f>SUM(C16,C18,C20,C24,C26)</f>
        <v>62063891.872308664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189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190</v>
      </c>
      <c r="C9" s="7">
        <f>'Fane 2.2. Økonomisk ramme 2022'!C16</f>
        <v>60782266.056934275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741543.64589459822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-948579.33447247639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drift'!G46</f>
        <v>-403533.73378232552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anlæg'!G43</f>
        <v>-1225711.209758511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58945985.42481555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1297261.65032196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124</v>
      </c>
      <c r="C27" s="12">
        <f>SUM(C16,C18,C20,C24,C26)</f>
        <v>60243247.075137511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191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192</v>
      </c>
      <c r="C9" s="7">
        <f>'Fane 2.3. Økonomisk ramme 2023'!C16</f>
        <v>58945985.42481555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719141.02218274982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-919921.99783602566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drift'!G54</f>
        <v>-400287.70842778048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anlæg'!G49</f>
        <v>-1206546.6021383316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57138370.138596162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1313088.2424558878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193</v>
      </c>
      <c r="C25" s="12">
        <f>SUM(C16,C18,C20,C24)</f>
        <v>58451458.381052047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45">
      <c r="A9" s="1"/>
      <c r="B9" s="77" t="s">
        <v>25</v>
      </c>
      <c r="C9" s="78"/>
      <c r="D9" s="79"/>
      <c r="E9" s="7">
        <v>58625173.065723851</v>
      </c>
      <c r="F9" s="8" t="s">
        <v>3</v>
      </c>
      <c r="G9" s="1"/>
    </row>
    <row r="10" spans="1:7" ht="15" customHeight="1" x14ac:dyDescent="0.45">
      <c r="A10" s="1"/>
      <c r="B10" s="80" t="s">
        <v>48</v>
      </c>
      <c r="C10" s="81"/>
      <c r="D10" s="87"/>
      <c r="E10" s="7">
        <v>198132.80850000001</v>
      </c>
      <c r="F10" s="8" t="s">
        <v>3</v>
      </c>
      <c r="G10" s="1"/>
    </row>
    <row r="11" spans="1:7" ht="15" customHeight="1" x14ac:dyDescent="0.45">
      <c r="A11" s="1"/>
      <c r="B11" s="80" t="s">
        <v>49</v>
      </c>
      <c r="C11" s="81"/>
      <c r="D11" s="87"/>
      <c r="E11" s="9">
        <v>2464029.4018560001</v>
      </c>
      <c r="F11" s="8" t="s">
        <v>3</v>
      </c>
      <c r="G11" s="1"/>
    </row>
    <row r="12" spans="1:7" ht="15" customHeight="1" x14ac:dyDescent="0.4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4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4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4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45">
      <c r="A16" s="1"/>
      <c r="B16" s="77" t="s">
        <v>20</v>
      </c>
      <c r="C16" s="78"/>
      <c r="D16" s="79"/>
      <c r="E16" s="9">
        <f>SUM(E9:E15)*'Fane 14. Nøgletal'!C12</f>
        <v>1207360.5049387729</v>
      </c>
      <c r="F16" s="8" t="s">
        <v>3</v>
      </c>
      <c r="G16" s="1"/>
    </row>
    <row r="17" spans="1:7" ht="15" customHeight="1" x14ac:dyDescent="0.45">
      <c r="A17" s="1"/>
      <c r="B17" s="77" t="s">
        <v>10</v>
      </c>
      <c r="C17" s="78"/>
      <c r="D17" s="79"/>
      <c r="E17" s="9">
        <f>-SUM(E9:E16)*'Fane 5. Individuelt eff. krav'!G11</f>
        <v>-963548.53866100509</v>
      </c>
      <c r="F17" s="8" t="s">
        <v>3</v>
      </c>
      <c r="G17" s="1"/>
    </row>
    <row r="18" spans="1:7" ht="15" customHeight="1" x14ac:dyDescent="0.45">
      <c r="A18" s="1"/>
      <c r="B18" s="77" t="s">
        <v>29</v>
      </c>
      <c r="C18" s="78"/>
      <c r="D18" s="79"/>
      <c r="E18" s="9">
        <f>-'Fane 4.1. Gen. krav - drift'!G28</f>
        <v>-371090.19340627088</v>
      </c>
      <c r="F18" s="8" t="s">
        <v>3</v>
      </c>
      <c r="G18" s="1"/>
    </row>
    <row r="19" spans="1:7" ht="15" customHeight="1" x14ac:dyDescent="0.45">
      <c r="A19" s="1"/>
      <c r="B19" s="77" t="s">
        <v>30</v>
      </c>
      <c r="C19" s="78"/>
      <c r="D19" s="79"/>
      <c r="E19" s="9">
        <f>-'Fane 4.2. Gen. krav - anlæg'!G25</f>
        <v>-1253209.923554471</v>
      </c>
      <c r="F19" s="8" t="s">
        <v>3</v>
      </c>
      <c r="G19" s="1"/>
    </row>
    <row r="20" spans="1:7" ht="15" customHeight="1" x14ac:dyDescent="0.45">
      <c r="A20" s="1"/>
      <c r="B20" s="52" t="s">
        <v>22</v>
      </c>
      <c r="C20" s="53"/>
      <c r="D20" s="55"/>
      <c r="E20" s="10">
        <f>SUM(E9:E19)</f>
        <v>59906847.125396878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84" t="s">
        <v>13</v>
      </c>
      <c r="C22" s="85"/>
      <c r="D22" s="88"/>
      <c r="E22" s="10">
        <v>915539.65197354008</v>
      </c>
      <c r="F22" s="11" t="s">
        <v>3</v>
      </c>
      <c r="G22" s="1"/>
    </row>
    <row r="23" spans="1:7" ht="15" customHeight="1" x14ac:dyDescent="0.4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4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4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0" t="s">
        <v>109</v>
      </c>
      <c r="C26" s="81"/>
      <c r="D26" s="87"/>
      <c r="E26" s="9">
        <v>3030535.1734712999</v>
      </c>
      <c r="F26" s="8" t="s">
        <v>3</v>
      </c>
      <c r="G26" s="1"/>
    </row>
    <row r="27" spans="1:7" ht="15" customHeight="1" x14ac:dyDescent="0.4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45">
      <c r="A28" s="1"/>
      <c r="B28" s="82" t="s">
        <v>115</v>
      </c>
      <c r="C28" s="83"/>
      <c r="D28" s="83"/>
      <c r="E28" s="46">
        <v>2923199.4207594395</v>
      </c>
      <c r="F28" s="11" t="s">
        <v>3</v>
      </c>
      <c r="G28" s="1"/>
    </row>
    <row r="29" spans="1:7" ht="15" customHeight="1" x14ac:dyDescent="0.4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4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4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4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4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4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45">
      <c r="A35" s="1"/>
      <c r="B35" s="38" t="s">
        <v>26</v>
      </c>
      <c r="C35" s="32"/>
      <c r="D35" s="20"/>
      <c r="E35" s="12">
        <f>E20+E22+E24+E28+E30+E32+E34</f>
        <v>63745586.198129855</v>
      </c>
      <c r="F35" s="13" t="s">
        <v>3</v>
      </c>
      <c r="G35" s="1"/>
    </row>
    <row r="36" spans="1:7" ht="27" customHeight="1" x14ac:dyDescent="0.45">
      <c r="A36" s="1"/>
      <c r="B36" s="77" t="s">
        <v>218</v>
      </c>
      <c r="C36" s="78"/>
      <c r="D36" s="78"/>
      <c r="E36" s="78"/>
      <c r="F36" s="7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4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4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4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4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45">
      <c r="A6" s="1"/>
      <c r="B6" s="92" t="s">
        <v>56</v>
      </c>
      <c r="C6" s="93"/>
      <c r="D6" s="93"/>
      <c r="E6" s="93"/>
      <c r="F6" s="94"/>
      <c r="G6" s="24">
        <v>18470350.077570371</v>
      </c>
      <c r="H6" s="14" t="s">
        <v>3</v>
      </c>
      <c r="I6" s="1"/>
    </row>
    <row r="7" spans="1:9" x14ac:dyDescent="0.4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45">
      <c r="A8" s="1"/>
      <c r="B8" s="92" t="s">
        <v>57</v>
      </c>
      <c r="C8" s="93"/>
      <c r="D8" s="93"/>
      <c r="E8" s="93"/>
      <c r="F8" s="94"/>
      <c r="G8" s="24">
        <f>SUM(G6:G7)*'Fane 14. Nøgletal'!C27</f>
        <v>369407.00155140745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4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18417709.579849295</v>
      </c>
      <c r="H12" s="14" t="s">
        <v>3</v>
      </c>
      <c r="I12" s="1"/>
    </row>
    <row r="13" spans="1:9" ht="15" customHeight="1" x14ac:dyDescent="0.4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4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4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4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368354.19159698591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4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18365219.107546728</v>
      </c>
      <c r="H20" s="14" t="s">
        <v>3</v>
      </c>
      <c r="I20" s="1"/>
    </row>
    <row r="21" spans="1:9" x14ac:dyDescent="0.4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4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367304.38215093454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4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18352473.645486094</v>
      </c>
      <c r="H26" s="14" t="s">
        <v>3</v>
      </c>
      <c r="I26" s="1"/>
    </row>
    <row r="27" spans="1:9" x14ac:dyDescent="0.45">
      <c r="A27" s="1"/>
      <c r="B27" s="95" t="s">
        <v>65</v>
      </c>
      <c r="C27" s="96"/>
      <c r="D27" s="96"/>
      <c r="E27" s="96"/>
      <c r="F27" s="97"/>
      <c r="G27" s="24">
        <v>202036.02482745002</v>
      </c>
      <c r="H27" s="14" t="s">
        <v>3</v>
      </c>
      <c r="I27" s="1"/>
    </row>
    <row r="28" spans="1:9" x14ac:dyDescent="0.45">
      <c r="A28" s="1"/>
      <c r="B28" s="92" t="s">
        <v>66</v>
      </c>
      <c r="C28" s="93"/>
      <c r="D28" s="93"/>
      <c r="E28" s="93"/>
      <c r="F28" s="94"/>
      <c r="G28" s="24">
        <f>(G26+G27)*'Fane 14. Nøgletal'!C27</f>
        <v>371090.19340627088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4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18541632.840602346</v>
      </c>
      <c r="H32" s="14" t="s">
        <v>3</v>
      </c>
      <c r="I32" s="1"/>
    </row>
    <row r="33" spans="1:9" x14ac:dyDescent="0.4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1963615.4720834398</v>
      </c>
      <c r="H33" s="14" t="s">
        <v>3</v>
      </c>
      <c r="I33" s="1"/>
    </row>
    <row r="34" spans="1:9" x14ac:dyDescent="0.4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410104.96625371568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4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20340304.095258538</v>
      </c>
      <c r="H38" s="14" t="s">
        <v>3</v>
      </c>
      <c r="I38" s="1"/>
    </row>
    <row r="39" spans="1:9" x14ac:dyDescent="0.4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4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406806.08190517075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4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20176686.689116277</v>
      </c>
      <c r="H44" s="14" t="s">
        <v>3</v>
      </c>
      <c r="I44" s="1"/>
    </row>
    <row r="45" spans="1:9" x14ac:dyDescent="0.4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4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403533.73378232552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4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20014385.421389025</v>
      </c>
      <c r="H52" s="14" t="s">
        <v>3</v>
      </c>
      <c r="I52" s="1"/>
    </row>
    <row r="53" spans="1:9" x14ac:dyDescent="0.4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4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400287.70842778048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4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4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4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45">
      <c r="A5" s="1"/>
      <c r="B5" s="92" t="s">
        <v>78</v>
      </c>
      <c r="C5" s="93"/>
      <c r="D5" s="93"/>
      <c r="E5" s="93"/>
      <c r="F5" s="94"/>
      <c r="G5" s="24">
        <v>41174825.887367412</v>
      </c>
      <c r="H5" s="14" t="s">
        <v>3</v>
      </c>
      <c r="I5" s="1"/>
    </row>
    <row r="6" spans="1:9" x14ac:dyDescent="0.45">
      <c r="A6" s="1"/>
      <c r="B6" s="92" t="s">
        <v>72</v>
      </c>
      <c r="C6" s="93"/>
      <c r="D6" s="93"/>
      <c r="E6" s="93"/>
      <c r="F6" s="94"/>
      <c r="G6" s="24">
        <f>G5*'Fane 14. Nøgletal'!C18</f>
        <v>374690.91557504347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4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41514137.333798736</v>
      </c>
      <c r="H10" s="14" t="s">
        <v>3</v>
      </c>
      <c r="I10" s="1"/>
    </row>
    <row r="11" spans="1:9" x14ac:dyDescent="0.45">
      <c r="A11" s="1"/>
      <c r="B11" s="92" t="s">
        <v>183</v>
      </c>
      <c r="C11" s="93"/>
      <c r="D11" s="93"/>
      <c r="E11" s="93"/>
      <c r="F11" s="94"/>
      <c r="G11" s="24">
        <v>-636520.53482362232</v>
      </c>
      <c r="H11" s="14" t="s">
        <v>3</v>
      </c>
      <c r="I11" s="1"/>
    </row>
    <row r="12" spans="1:9" x14ac:dyDescent="0.4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4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723533.81734185957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4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40856779.433811843</v>
      </c>
      <c r="H17" s="14" t="s">
        <v>3</v>
      </c>
      <c r="I17" s="1"/>
    </row>
    <row r="18" spans="1:9" x14ac:dyDescent="0.45">
      <c r="A18" s="1"/>
      <c r="B18" s="95" t="s">
        <v>85</v>
      </c>
      <c r="C18" s="96"/>
      <c r="D18" s="96"/>
      <c r="E18" s="96"/>
      <c r="F18" s="97"/>
      <c r="G18" s="24">
        <v>682897.72781667986</v>
      </c>
      <c r="H18" s="14" t="s">
        <v>3</v>
      </c>
      <c r="I18" s="1"/>
    </row>
    <row r="19" spans="1:9" x14ac:dyDescent="0.4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729106.20621047472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4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41614539.203239791</v>
      </c>
      <c r="H23" s="14" t="s">
        <v>3</v>
      </c>
      <c r="I23" s="1"/>
    </row>
    <row r="24" spans="1:9" x14ac:dyDescent="0.45">
      <c r="A24" s="1"/>
      <c r="B24" s="95" t="s">
        <v>89</v>
      </c>
      <c r="C24" s="96"/>
      <c r="D24" s="96"/>
      <c r="E24" s="96"/>
      <c r="F24" s="97"/>
      <c r="G24" s="24">
        <v>2512570.7810725635</v>
      </c>
      <c r="H24" s="14" t="s">
        <v>3</v>
      </c>
      <c r="I24" s="1"/>
    </row>
    <row r="25" spans="1:9" x14ac:dyDescent="0.4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1253209.923554471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4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43718515.891954817</v>
      </c>
      <c r="H29" s="14" t="s">
        <v>3</v>
      </c>
      <c r="I29" s="1"/>
    </row>
    <row r="30" spans="1:9" x14ac:dyDescent="0.4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2320433.7134493059</v>
      </c>
      <c r="H30" s="14" t="s">
        <v>3</v>
      </c>
      <c r="I30" s="1"/>
    </row>
    <row r="31" spans="1:9" x14ac:dyDescent="0.4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1305417.7784513729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4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45279280.915241569</v>
      </c>
      <c r="H35" s="14" t="s">
        <v>3</v>
      </c>
      <c r="I35" s="1"/>
    </row>
    <row r="36" spans="1:9" x14ac:dyDescent="0.4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4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1245180.2251691432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4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44571316.718491308</v>
      </c>
      <c r="H41" s="14" t="s">
        <v>3</v>
      </c>
      <c r="I41" s="1"/>
    </row>
    <row r="42" spans="1:9" x14ac:dyDescent="0.4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4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1225711.209758511</v>
      </c>
      <c r="H43" s="14" t="s">
        <v>3</v>
      </c>
      <c r="I43" s="1"/>
    </row>
    <row r="44" spans="1:9" x14ac:dyDescent="0.4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4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43874421.895939335</v>
      </c>
      <c r="H47" s="14" t="s">
        <v>3</v>
      </c>
      <c r="I47" s="1"/>
    </row>
    <row r="48" spans="1:9" x14ac:dyDescent="0.4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4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1206546.6021383316</v>
      </c>
      <c r="H49" s="14" t="s">
        <v>3</v>
      </c>
      <c r="I49" s="1"/>
    </row>
    <row r="50" spans="1:9" x14ac:dyDescent="0.4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45">
      <c r="A9" s="1"/>
      <c r="B9" s="92" t="s">
        <v>104</v>
      </c>
      <c r="C9" s="93"/>
      <c r="D9" s="93"/>
      <c r="E9" s="93"/>
      <c r="F9" s="94"/>
      <c r="G9" s="23">
        <v>2.9685761437157668E-3</v>
      </c>
      <c r="H9" s="14"/>
      <c r="I9" s="1"/>
    </row>
    <row r="10" spans="1:9" x14ac:dyDescent="0.4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45">
      <c r="A11" s="1"/>
      <c r="B11" s="92" t="s">
        <v>106</v>
      </c>
      <c r="C11" s="93"/>
      <c r="D11" s="93"/>
      <c r="E11" s="93"/>
      <c r="F11" s="94"/>
      <c r="G11" s="41">
        <v>1.5418085112971484E-2</v>
      </c>
      <c r="H11" s="14"/>
      <c r="I11" s="1"/>
    </row>
    <row r="12" spans="1:9" x14ac:dyDescent="0.4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4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4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2020-09-08T07:54:47Z</dcterms:modified>
</cp:coreProperties>
</file>