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densted Spildevand (S036)\ØR2021\"/>
    </mc:Choice>
  </mc:AlternateContent>
  <bookViews>
    <workbookView xWindow="3113" yWindow="990" windowWidth="12743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12" i="20" l="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34" i="11" l="1"/>
  <c r="E35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36" i="11" l="1"/>
  <c r="C10" i="37" s="1"/>
  <c r="C11" i="37" s="1"/>
  <c r="G36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36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<sst xmlns="http://schemas.openxmlformats.org/spreadsheetml/2006/main" count="762" uniqueCount="290">
  <si>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</si>
  <si>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</si>
  <si>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</si>
  <si>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</si>
  <si>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</si>
  <si>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</si>
  <si>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</si>
  <si>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</si>
  <si>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</si>
  <si>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</si>
  <si>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</si>
  <si>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</si>
  <si>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</si>
  <si>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</si>
  <si>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</si>
  <si>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</si>
  <si>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</si>
  <si>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</si>
  <si>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</si>
  <si>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</si>
  <si>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</si>
  <si>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</si>
  <si>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</si>
  <si>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</si>
  <si>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</si>
  <si>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</si>
  <si>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</si>
  <si>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</si>
  <si>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</si>
  <si>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</si>
  <si>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</si>
  <si>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</si>
  <si>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</si>
  <si>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</si>
  <si>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</si>
  <si>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</si>
  <si>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</si>
  <si>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</si>
  <si>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</si>
  <si>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</si>
  <si>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</si>
  <si>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</si>
  <si>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</si>
  <si>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</si>
  <si>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</si>
  <si>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</si>
  <si>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</si>
  <si>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</si>
  <si>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</si>
  <si>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</si>
  <si>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</si>
  <si>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</si>
  <si>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</si>
  <si>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</si>
  <si>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</si>
  <si>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</si>
  <si>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</si>
  <si>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</si>
  <si>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</si>
  <si>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</si>
  <si>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</si>
  <si>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</si>
  <si>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</si>
  <si>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</si>
  <si>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</si>
  <si>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</si>
  <si>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</si>
  <si>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</si>
  <si>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</si>
  <si>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</si>
  <si>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</si>
  <si>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</si>
  <si>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</si>
  <si>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</si>
  <si>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</si>
  <si>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</si>
  <si>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</si>
  <si>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</si>
  <si>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</si>
  <si>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</si>
  <si>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</si>
  <si>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</si>
  <si>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</si>
  <si>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</si>
  <si>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</si>
  <si>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</si>
  <si>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</si>
  <si>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</si>
  <si>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</si>
  <si>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</si>
  <si>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</si>
  <si>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</si>
  <si>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</si>
  <si>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</si>
  <si>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</si>
  <si>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</si>
  <si>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</si>
  <si>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</si>
  <si>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</si>
  <si>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</si>
  <si>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</si>
  <si>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</si>
  <si>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</si>
  <si>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</si>
  <si>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</si>
  <si>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</si>
  <si>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</si>
  <si>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</si>
  <si>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</si>
  <si>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</si>
  <si>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</si>
  <si>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</si>
  <si>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</si>
  <si>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</si>
  <si>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</si>
  <si>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</si>
  <si>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</si>
  <si>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</si>
  <si>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</si>
  <si>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</si>
  <si>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</si>
  <si>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</si>
  <si>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</si>
  <si>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</si>
  <si>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</si>
  <si>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</si>
  <si>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</si>
  <si>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</si>
  <si>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</si>
  <si>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</si>
  <si>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</si>
  <si>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</si>
  <si>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</si>
  <si>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</si>
  <si>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</si>
  <si>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</si>
  <si>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</si>
  <si>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</si>
  <si>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</si>
  <si>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</si>
  <si>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</si>
  <si>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</si>
  <si>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</si>
  <si>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</si>
  <si>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</si>
  <si>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</si>
  <si>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</si>
  <si>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</si>
  <si>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</si>
  <si>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</si>
  <si>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</si>
  <si>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</si>
  <si>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</si>
  <si>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</si>
  <si>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</si>
  <si>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</si>
  <si>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</si>
  <si>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</si>
  <si>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</si>
  <si>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</si>
  <si>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</si>
  <si>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</si>
  <si>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</si>
  <si>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</si>
  <si>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</si>
  <si>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</si>
  <si>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</si>
  <si>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</si>
  <si>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</si>
  <si>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</si>
  <si>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</si>
  <si>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</si>
  <si>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</si>
  <si>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</si>
  <si>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</si>
  <si>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</si>
  <si>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</si>
  <si>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</si>
  <si>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</si>
  <si>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</si>
  <si>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</si>
  <si>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</si>
  <si>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</si>
  <si>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</si>
  <si>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</si>
  <si>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</si>
  <si>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</si>
  <si>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</si>
  <si>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</si>
  <si>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</si>
  <si>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</si>
  <si>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</si>
  <si>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</si>
  <si>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</si>
  <si>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</si>
  <si>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</si>
  <si>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</si>
  <si>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</si>
  <si>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</si>
  <si>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</si>
  <si>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</si>
  <si>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</si>
  <si>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</si>
  <si>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</si>
  <si>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</si>
  <si>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</si>
  <si>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</si>
  <si>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</si>
  <si>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</si>
  <si>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</si>
  <si>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</si>
  <si>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</si>
  <si>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</si>
  <si>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</si>
  <si>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</si>
  <si>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</si>
  <si>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</si>
  <si>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</si>
  <si>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</si>
  <si>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</si>
  <si>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</si>
  <si>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</si>
  <si>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</si>
  <si>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</si>
  <si>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</si>
  <si>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</si>
  <si>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</si>
  <si>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</si>
  <si>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</si>
  <si>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</si>
  <si>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</si>
  <si>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</si>
  <si>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</si>
  <si>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</si>
  <si>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</si>
  <si>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</si>
  <si>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</si>
  <si>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</si>
  <si>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</si>
  <si>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</si>
  <si>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</si>
  <si>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</si>
  <si>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</si>
  <si>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</si>
  <si>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</si>
  <si>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</si>
  <si>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</si>
  <si>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</si>
  <si>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</si>
  <si>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</si>
  <si>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</si>
  <si>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</si>
  <si>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</si>
  <si>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</si>
  <si>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</si>
  <si>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</si>
  <si>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</si>
  <si>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</si>
  <si>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</si>
  <si>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</si>
  <si>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</si>
  <si>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</si>
  <si>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</si>
  <si>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</si>
  <si>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</si>
  <si>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</si>
  <si>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</si>
  <si>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</si>
  <si>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</si>
  <si>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</si>
  <si>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</si>
  <si>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</si>
  <si>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Ingen engangstillæg</t>
  </si>
  <si>
    <t>Yderligere opkrævningsret efter § 17, stk. 10 - 2017</t>
  </si>
  <si>
    <t>Yderligere opkrævningsret efter § 17, stk. 10 - 2018</t>
  </si>
  <si>
    <t>Periodevise driftsomkostninger i alt i 2018-prisniveau</t>
  </si>
  <si>
    <t>Brønde</t>
  </si>
  <si>
    <t>75</t>
  </si>
  <si>
    <t>Ledningsnet ≤ Ø 200 mm</t>
  </si>
  <si>
    <t>Ø 200 mm &lt; Ledningsnet ≤ Ø 500 mm</t>
  </si>
  <si>
    <t>Øvrige andre anlæg, driftsmateriel og inventar</t>
  </si>
  <si>
    <t>30</t>
  </si>
  <si>
    <t>Pumpestationer i brønde (&lt; 6,25 m2), SRO</t>
  </si>
  <si>
    <t>10</t>
  </si>
  <si>
    <t>Ø 500 mm &lt; Ledningsnet ≤ Ø 800 mm</t>
  </si>
  <si>
    <t>Strømpeforing ≤ Ø 200 mm</t>
  </si>
  <si>
    <t>50</t>
  </si>
  <si>
    <t>Pumpestationer i brønde (&lt; 6,25 m2), Konstruktioner</t>
  </si>
  <si>
    <t>Pumpestationer i brønde (&lt; 6,25 m2), Mek/EL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</si>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</sst>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9921875" defaultRowHeight="14.25" x14ac:dyDescent="0.45"/>
  <cols>
    <col min="1" max="1" width="9.19921875" style="2"/>
    <col min="2" max="2" width="5.796875" style="2" customWidth="1"/>
    <col min="3" max="4" width="9.19921875" style="2"/>
    <col min="5" max="5" width="11.73046875" style="2" customWidth="1"/>
    <col min="6" max="6" width="11.53125" style="2" customWidth="1"/>
    <col min="7" max="8" width="9.19921875" style="2"/>
    <col min="9" max="9" width="12.19921875" style="2" customWidth="1"/>
    <col min="10" max="16384" width="9.1992187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4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4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4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4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4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4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4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4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4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4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4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4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4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4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4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/Jea3U4Xcmvsj9KldLkzmEdUfLE72cktbdmZ1PQjjY1i3EoVaCW287u0hDyjlBrjYLPMJ8yU/wQcjxeE9ZRAA==" saltValue="hlwWIILLMGtD2LOt7yJku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9921875" defaultRowHeight="14.25" x14ac:dyDescent="0.45"/>
  <cols>
    <col min="1" max="1" width="8.19921875" style="2" customWidth="1"/>
    <col min="2" max="2" width="38" style="2" customWidth="1"/>
    <col min="3" max="3" width="24.796875" style="2" customWidth="1"/>
    <col min="4" max="4" width="3.265625" style="2" customWidth="1"/>
    <col min="5" max="5" width="7.796875" style="2" customWidth="1"/>
    <col min="6" max="6" width="4" style="2" customWidth="1"/>
    <col min="7" max="16384" width="9.1992187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196</v>
      </c>
      <c r="C8" s="90"/>
      <c r="D8" s="91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1199854</v>
      </c>
      <c r="D10" s="14" t="s">
        <v>3</v>
      </c>
      <c r="E10" s="1"/>
      <c r="F10" s="1"/>
    </row>
    <row r="11" spans="1:6" ht="15" customHeight="1" x14ac:dyDescent="0.45">
      <c r="A11" s="1"/>
      <c r="B11" s="54" t="s">
        <v>266</v>
      </c>
      <c r="C11" s="9">
        <v>73926</v>
      </c>
      <c r="D11" s="14" t="s">
        <v>3</v>
      </c>
      <c r="E11" s="1"/>
      <c r="F11" s="1"/>
    </row>
    <row r="12" spans="1:6" x14ac:dyDescent="0.45">
      <c r="A12" s="1"/>
      <c r="B12" s="54" t="s">
        <v>267</v>
      </c>
      <c r="C12" s="9">
        <v>133860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185885</v>
      </c>
      <c r="D13" s="14" t="s">
        <v>3</v>
      </c>
      <c r="E13" s="1"/>
      <c r="F13" s="1"/>
    </row>
    <row r="14" spans="1:6" x14ac:dyDescent="0.45">
      <c r="A14" s="1"/>
      <c r="B14" s="54" t="s">
        <v>269</v>
      </c>
      <c r="C14" s="9">
        <v>101362.44</v>
      </c>
      <c r="D14" s="14" t="s">
        <v>3</v>
      </c>
      <c r="E14" s="1"/>
      <c r="F14" s="1"/>
    </row>
    <row r="15" spans="1:6" x14ac:dyDescent="0.45">
      <c r="A15" s="1"/>
      <c r="B15" s="38" t="s">
        <v>198</v>
      </c>
      <c r="C15" s="12">
        <f>SUM(C10:C14)</f>
        <v>1694887.44</v>
      </c>
      <c r="D15" s="13" t="s">
        <v>3</v>
      </c>
      <c r="E15" s="1"/>
      <c r="F15" s="1"/>
    </row>
    <row r="16" spans="1:6" x14ac:dyDescent="0.45">
      <c r="A16" s="1"/>
      <c r="B16" s="38" t="s">
        <v>199</v>
      </c>
      <c r="C16" s="12">
        <f>C15*(1+'Fane 14. Nøgletal'!C13)^2</f>
        <v>1736494.9605825695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89" t="s">
        <v>178</v>
      </c>
      <c r="C19" s="90"/>
      <c r="D19" s="91"/>
      <c r="E19" s="1"/>
      <c r="F19" s="1"/>
    </row>
    <row r="20" spans="1:6" x14ac:dyDescent="0.4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89"/>
      <c r="C24" s="90"/>
      <c r="D24" s="9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89" t="s">
        <v>146</v>
      </c>
      <c r="C27" s="90"/>
      <c r="D27" s="91"/>
      <c r="E27" s="1"/>
      <c r="F27" s="1"/>
    </row>
    <row r="28" spans="1:6" x14ac:dyDescent="0.4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89"/>
      <c r="C32" s="90"/>
      <c r="D32" s="9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XwBaU95em7VeaWVu0VPzouJTnreK4x75OibRKFTCZmywRe+ZPRAfHTrM+zLBKGPFpk7yz16ldv7jz0UVfwdEOA==" saltValue="ErZuyVc57YM52rlrF+jUg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9921875" defaultRowHeight="14.25" x14ac:dyDescent="0.45"/>
  <cols>
    <col min="1" max="1" width="3.53125" style="2" customWidth="1"/>
    <col min="2" max="3" width="9.19921875" style="2"/>
    <col min="4" max="4" width="45.796875" style="2" customWidth="1"/>
    <col min="5" max="5" width="10.73046875" style="2" customWidth="1"/>
    <col min="6" max="6" width="3.265625" style="2" customWidth="1"/>
    <col min="7" max="7" width="2.464843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51"/>
      <c r="C5" s="51"/>
      <c r="D5" s="51"/>
      <c r="E5" s="51"/>
      <c r="F5" s="51"/>
      <c r="G5" s="1"/>
    </row>
    <row r="6" spans="1:7" ht="15" customHeight="1" x14ac:dyDescent="0.45">
      <c r="A6" s="1"/>
      <c r="B6" s="51"/>
      <c r="C6" s="51"/>
      <c r="D6" s="51"/>
      <c r="E6" s="51"/>
      <c r="F6" s="5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137</v>
      </c>
      <c r="C8" s="90"/>
      <c r="D8" s="90"/>
      <c r="E8" s="90"/>
      <c r="F8" s="91"/>
      <c r="G8" s="1"/>
    </row>
    <row r="9" spans="1:7" x14ac:dyDescent="0.45">
      <c r="A9" s="1"/>
      <c r="B9" s="92" t="s">
        <v>138</v>
      </c>
      <c r="C9" s="93"/>
      <c r="D9" s="94"/>
      <c r="E9" s="9">
        <v>94070003.769807026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75204698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82" t="s">
        <v>140</v>
      </c>
      <c r="C12" s="83"/>
      <c r="D12" s="101"/>
      <c r="E12" s="10">
        <f>E9-(E10-E11)</f>
        <v>18865305.769807026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9" t="s">
        <v>52</v>
      </c>
      <c r="C16" s="90"/>
      <c r="D16" s="90"/>
      <c r="E16" s="90"/>
      <c r="F16" s="91"/>
      <c r="G16" s="1"/>
    </row>
    <row r="17" spans="1:7" x14ac:dyDescent="0.45">
      <c r="A17" s="1"/>
      <c r="B17" s="92" t="s">
        <v>53</v>
      </c>
      <c r="C17" s="93"/>
      <c r="D17" s="94"/>
      <c r="E17" s="9">
        <v>98748855.378116488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80331472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82" t="s">
        <v>55</v>
      </c>
      <c r="C20" s="83"/>
      <c r="D20" s="101"/>
      <c r="E20" s="10">
        <f>E17-(E18-E19)</f>
        <v>18417383.378116488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9" t="s">
        <v>245</v>
      </c>
      <c r="C24" s="90"/>
      <c r="D24" s="90"/>
      <c r="E24" s="90"/>
      <c r="F24" s="91"/>
      <c r="G24" s="1"/>
    </row>
    <row r="25" spans="1:7" x14ac:dyDescent="0.45">
      <c r="A25" s="1"/>
      <c r="B25" s="92" t="s">
        <v>246</v>
      </c>
      <c r="C25" s="93"/>
      <c r="D25" s="94"/>
      <c r="E25" s="9">
        <v>92831734.186685547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88523250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82" t="s">
        <v>248</v>
      </c>
      <c r="C28" s="83"/>
      <c r="D28" s="101"/>
      <c r="E28" s="10">
        <f>E25-(E26-E27)</f>
        <v>4308484.1866855472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9" t="s">
        <v>250</v>
      </c>
      <c r="C31" s="90"/>
      <c r="D31" s="90"/>
      <c r="E31" s="90"/>
      <c r="F31" s="91"/>
      <c r="G31" s="1"/>
    </row>
    <row r="32" spans="1:7" x14ac:dyDescent="0.4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9"/>
      <c r="C33" s="90"/>
      <c r="D33" s="90"/>
      <c r="E33" s="90"/>
      <c r="F33" s="91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9" t="s">
        <v>249</v>
      </c>
      <c r="C35" s="90"/>
      <c r="D35" s="90"/>
      <c r="E35" s="90"/>
      <c r="F35" s="91"/>
      <c r="G35" s="1"/>
    </row>
    <row r="36" spans="1:7" x14ac:dyDescent="0.45">
      <c r="A36" s="1"/>
      <c r="B36" s="102" t="s">
        <v>273</v>
      </c>
      <c r="C36" s="103"/>
      <c r="D36" s="104"/>
      <c r="E36" s="9">
        <v>1</v>
      </c>
      <c r="F36" s="14"/>
      <c r="G36" s="1"/>
    </row>
    <row r="37" spans="1:7" x14ac:dyDescent="0.45">
      <c r="A37" s="1"/>
      <c r="B37" s="102" t="s">
        <v>274</v>
      </c>
      <c r="C37" s="103"/>
      <c r="D37" s="104"/>
      <c r="E37" s="9">
        <v>1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zvSqCJwPS1BX2/RCpKlENIqvRsSgXbvvC9TCMG4KmZGLMz58VxGAW8M/4EXAJQ8FTjw2D98PRbAsQ6TP6+S/DQ==" saltValue="zdLgjxGL1BmaGw5Gn0AA1g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9921875" defaultRowHeight="14.25" x14ac:dyDescent="0.45"/>
  <cols>
    <col min="1" max="1" width="3.53125" style="2" customWidth="1"/>
    <col min="2" max="3" width="9.19921875" style="2"/>
    <col min="4" max="4" width="45.53125" style="2" customWidth="1"/>
    <col min="5" max="5" width="12.73046875" style="2" bestFit="1" customWidth="1"/>
    <col min="6" max="6" width="3.265625" style="2" customWidth="1"/>
    <col min="7" max="7" width="2.464843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9" t="s">
        <v>202</v>
      </c>
      <c r="C9" s="90"/>
      <c r="D9" s="90"/>
      <c r="E9" s="90"/>
      <c r="F9" s="91"/>
      <c r="G9" s="1"/>
    </row>
    <row r="10" spans="1:7" x14ac:dyDescent="0.4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4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45">
      <c r="A13" s="1"/>
      <c r="B13" s="89" t="s">
        <v>134</v>
      </c>
      <c r="C13" s="90"/>
      <c r="D13" s="90"/>
      <c r="E13" s="90"/>
      <c r="F13" s="91"/>
      <c r="G13" s="1"/>
    </row>
    <row r="14" spans="1:7" x14ac:dyDescent="0.4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DKYlSh57Z+V47PtJoZAJfx8zMLohCyqNAQud9a7eeHuGvSLftDGuVhb2cQuPlpm+8UWt8/ZzEBbkPvu/lEGaQ==" saltValue="PVZTl/9YJOkxrqoLndPT2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1"/>
  <sheetViews>
    <sheetView showGridLines="0" view="pageLayout" zoomScaleNormal="100" workbookViewId="0"/>
  </sheetViews>
  <sheetFormatPr defaultColWidth="9.19921875" defaultRowHeight="14.25" x14ac:dyDescent="0.45"/>
  <cols>
    <col min="1" max="1" width="4.73046875" style="2" customWidth="1"/>
    <col min="2" max="2" width="22.53125" style="2" customWidth="1"/>
    <col min="3" max="3" width="8.265625" style="2" customWidth="1"/>
    <col min="4" max="6" width="10.73046875" style="2" customWidth="1"/>
    <col min="7" max="7" width="11.19921875" style="2" customWidth="1"/>
    <col min="8" max="8" width="3.265625" style="2" customWidth="1"/>
    <col min="9" max="9" width="4.796875" style="2" customWidth="1"/>
    <col min="10" max="16384" width="9.1992187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45">
      <c r="A10" s="1"/>
      <c r="B10" s="56" t="s">
        <v>276</v>
      </c>
      <c r="C10" s="112" t="s">
        <v>277</v>
      </c>
      <c r="D10" s="9">
        <v>581951.84</v>
      </c>
      <c r="E10" s="9">
        <f>IFERROR(D10/C10,0)</f>
        <v>7759.3578666666663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56" t="s">
        <v>278</v>
      </c>
      <c r="C11" s="112" t="s">
        <v>277</v>
      </c>
      <c r="D11" s="9">
        <v>981369.01</v>
      </c>
      <c r="E11" s="9">
        <f t="shared" ref="E11:E33" si="0">IFERROR(D11/C11,0)</f>
        <v>13084.920133333333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56" t="s">
        <v>279</v>
      </c>
      <c r="C12" s="112" t="s">
        <v>277</v>
      </c>
      <c r="D12" s="9">
        <v>1744057.03</v>
      </c>
      <c r="E12" s="9">
        <f t="shared" si="0"/>
        <v>23254.093733333335</v>
      </c>
      <c r="F12" s="9">
        <v>0</v>
      </c>
      <c r="G12" s="9">
        <v>0</v>
      </c>
      <c r="H12" s="14" t="s">
        <v>3</v>
      </c>
      <c r="I12" s="1"/>
    </row>
    <row r="13" spans="1:9" x14ac:dyDescent="0.45">
      <c r="A13" s="1"/>
      <c r="B13" s="56" t="s">
        <v>276</v>
      </c>
      <c r="C13" s="112" t="s">
        <v>277</v>
      </c>
      <c r="D13" s="9">
        <v>2311265.04</v>
      </c>
      <c r="E13" s="9">
        <f t="shared" si="0"/>
        <v>30816.867200000001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56" t="s">
        <v>278</v>
      </c>
      <c r="C14" s="112" t="s">
        <v>277</v>
      </c>
      <c r="D14" s="9">
        <v>2188870.56</v>
      </c>
      <c r="E14" s="9">
        <f t="shared" si="0"/>
        <v>29184.9408</v>
      </c>
      <c r="F14" s="9">
        <v>0</v>
      </c>
      <c r="G14" s="9">
        <v>0</v>
      </c>
      <c r="H14" s="14" t="s">
        <v>3</v>
      </c>
      <c r="I14" s="1"/>
    </row>
    <row r="15" spans="1:9" ht="26.65" x14ac:dyDescent="0.45">
      <c r="A15" s="1"/>
      <c r="B15" s="56" t="s">
        <v>279</v>
      </c>
      <c r="C15" s="112" t="s">
        <v>277</v>
      </c>
      <c r="D15" s="9">
        <v>149654.41</v>
      </c>
      <c r="E15" s="9">
        <f t="shared" si="0"/>
        <v>1995.3921333333333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56" t="s">
        <v>280</v>
      </c>
      <c r="C16" s="112" t="s">
        <v>281</v>
      </c>
      <c r="D16" s="9">
        <v>240000</v>
      </c>
      <c r="E16" s="9">
        <f t="shared" si="0"/>
        <v>8000</v>
      </c>
      <c r="F16" s="9">
        <v>0</v>
      </c>
      <c r="G16" s="9">
        <v>0</v>
      </c>
      <c r="H16" s="14" t="s">
        <v>3</v>
      </c>
      <c r="I16" s="1"/>
    </row>
    <row r="17" spans="1:9" x14ac:dyDescent="0.45">
      <c r="A17" s="1"/>
      <c r="B17" s="56" t="s">
        <v>276</v>
      </c>
      <c r="C17" s="112" t="s">
        <v>277</v>
      </c>
      <c r="D17" s="9">
        <v>501034.6</v>
      </c>
      <c r="E17" s="9">
        <f t="shared" si="0"/>
        <v>6680.4613333333327</v>
      </c>
      <c r="F17" s="9">
        <v>0</v>
      </c>
      <c r="G17" s="9">
        <v>0</v>
      </c>
      <c r="H17" s="14" t="s">
        <v>3</v>
      </c>
      <c r="I17" s="1"/>
    </row>
    <row r="18" spans="1:9" ht="26.65" x14ac:dyDescent="0.45">
      <c r="A18" s="1"/>
      <c r="B18" s="56" t="s">
        <v>279</v>
      </c>
      <c r="C18" s="112" t="s">
        <v>277</v>
      </c>
      <c r="D18" s="9">
        <v>402477.44</v>
      </c>
      <c r="E18" s="9">
        <f t="shared" si="0"/>
        <v>5366.365866666667</v>
      </c>
      <c r="F18" s="9">
        <v>0</v>
      </c>
      <c r="G18" s="9">
        <v>0</v>
      </c>
      <c r="H18" s="14" t="s">
        <v>3</v>
      </c>
      <c r="I18" s="1"/>
    </row>
    <row r="19" spans="1:9" x14ac:dyDescent="0.45">
      <c r="A19" s="1"/>
      <c r="B19" s="56" t="s">
        <v>278</v>
      </c>
      <c r="C19" s="112" t="s">
        <v>277</v>
      </c>
      <c r="D19" s="9">
        <v>228444.28</v>
      </c>
      <c r="E19" s="9">
        <f t="shared" si="0"/>
        <v>3045.9237333333335</v>
      </c>
      <c r="F19" s="9">
        <v>0</v>
      </c>
      <c r="G19" s="9">
        <v>0</v>
      </c>
      <c r="H19" s="14" t="s">
        <v>3</v>
      </c>
      <c r="I19" s="1"/>
    </row>
    <row r="20" spans="1:9" x14ac:dyDescent="0.45">
      <c r="A20" s="1"/>
      <c r="B20" s="56" t="s">
        <v>276</v>
      </c>
      <c r="C20" s="112" t="s">
        <v>277</v>
      </c>
      <c r="D20" s="9">
        <v>546235.38</v>
      </c>
      <c r="E20" s="9">
        <f t="shared" si="0"/>
        <v>7283.1383999999998</v>
      </c>
      <c r="F20" s="9">
        <v>0</v>
      </c>
      <c r="G20" s="9">
        <v>0</v>
      </c>
      <c r="H20" s="14" t="s">
        <v>3</v>
      </c>
      <c r="I20" s="1"/>
    </row>
    <row r="21" spans="1:9" x14ac:dyDescent="0.45">
      <c r="A21" s="1"/>
      <c r="B21" s="56" t="s">
        <v>278</v>
      </c>
      <c r="C21" s="112" t="s">
        <v>277</v>
      </c>
      <c r="D21" s="9">
        <v>917866.9</v>
      </c>
      <c r="E21" s="9">
        <f t="shared" si="0"/>
        <v>12238.225333333334</v>
      </c>
      <c r="F21" s="9">
        <v>0</v>
      </c>
      <c r="G21" s="9">
        <v>0</v>
      </c>
      <c r="H21" s="14" t="s">
        <v>3</v>
      </c>
      <c r="I21" s="1"/>
    </row>
    <row r="22" spans="1:9" ht="26.65" x14ac:dyDescent="0.45">
      <c r="A22" s="1"/>
      <c r="B22" s="56" t="s">
        <v>279</v>
      </c>
      <c r="C22" s="112" t="s">
        <v>277</v>
      </c>
      <c r="D22" s="9">
        <v>919213.02</v>
      </c>
      <c r="E22" s="9">
        <f t="shared" si="0"/>
        <v>12256.1736</v>
      </c>
      <c r="F22" s="9">
        <v>0</v>
      </c>
      <c r="G22" s="9">
        <v>0</v>
      </c>
      <c r="H22" s="14" t="s">
        <v>3</v>
      </c>
      <c r="I22" s="1"/>
    </row>
    <row r="23" spans="1:9" x14ac:dyDescent="0.45">
      <c r="A23" s="1"/>
      <c r="B23" s="56" t="s">
        <v>276</v>
      </c>
      <c r="C23" s="112" t="s">
        <v>277</v>
      </c>
      <c r="D23" s="9">
        <v>1436418.45</v>
      </c>
      <c r="E23" s="9">
        <f t="shared" si="0"/>
        <v>19152.245999999999</v>
      </c>
      <c r="F23" s="9">
        <v>0</v>
      </c>
      <c r="G23" s="9">
        <v>0</v>
      </c>
      <c r="H23" s="14" t="s">
        <v>3</v>
      </c>
      <c r="I23" s="1"/>
    </row>
    <row r="24" spans="1:9" x14ac:dyDescent="0.45">
      <c r="A24" s="1"/>
      <c r="B24" s="56" t="s">
        <v>278</v>
      </c>
      <c r="C24" s="112" t="s">
        <v>277</v>
      </c>
      <c r="D24" s="9">
        <v>2931653.42</v>
      </c>
      <c r="E24" s="9">
        <f t="shared" si="0"/>
        <v>39088.712266666669</v>
      </c>
      <c r="F24" s="9">
        <v>0</v>
      </c>
      <c r="G24" s="9">
        <v>0</v>
      </c>
      <c r="H24" s="14" t="s">
        <v>3</v>
      </c>
      <c r="I24" s="1"/>
    </row>
    <row r="25" spans="1:9" ht="26.65" x14ac:dyDescent="0.45">
      <c r="A25" s="1"/>
      <c r="B25" s="56" t="s">
        <v>282</v>
      </c>
      <c r="C25" s="112" t="s">
        <v>283</v>
      </c>
      <c r="D25" s="9">
        <v>1244896.01</v>
      </c>
      <c r="E25" s="9">
        <f t="shared" si="0"/>
        <v>124489.601</v>
      </c>
      <c r="F25" s="9">
        <v>0</v>
      </c>
      <c r="G25" s="9">
        <v>0</v>
      </c>
      <c r="H25" s="14" t="s">
        <v>3</v>
      </c>
      <c r="I25" s="1"/>
    </row>
    <row r="26" spans="1:9" ht="26.65" x14ac:dyDescent="0.45">
      <c r="A26" s="1"/>
      <c r="B26" s="56" t="s">
        <v>279</v>
      </c>
      <c r="C26" s="112" t="s">
        <v>277</v>
      </c>
      <c r="D26" s="9">
        <v>1946693.84</v>
      </c>
      <c r="E26" s="9">
        <f t="shared" si="0"/>
        <v>25955.917866666667</v>
      </c>
      <c r="F26" s="9">
        <v>0</v>
      </c>
      <c r="G26" s="9">
        <v>0</v>
      </c>
      <c r="H26" s="14" t="s">
        <v>3</v>
      </c>
      <c r="I26" s="1"/>
    </row>
    <row r="27" spans="1:9" ht="26.65" x14ac:dyDescent="0.45">
      <c r="A27" s="1"/>
      <c r="B27" s="56" t="s">
        <v>284</v>
      </c>
      <c r="C27" s="112" t="s">
        <v>277</v>
      </c>
      <c r="D27" s="9">
        <v>2841251.33</v>
      </c>
      <c r="E27" s="9">
        <f t="shared" si="0"/>
        <v>37883.35106666667</v>
      </c>
      <c r="F27" s="9">
        <v>0</v>
      </c>
      <c r="G27" s="9">
        <v>0</v>
      </c>
      <c r="H27" s="14" t="s">
        <v>3</v>
      </c>
      <c r="I27" s="1"/>
    </row>
    <row r="28" spans="1:9" x14ac:dyDescent="0.45">
      <c r="A28" s="1"/>
      <c r="B28" s="56" t="s">
        <v>276</v>
      </c>
      <c r="C28" s="112" t="s">
        <v>277</v>
      </c>
      <c r="D28" s="9">
        <v>111974</v>
      </c>
      <c r="E28" s="9">
        <f t="shared" si="0"/>
        <v>1492.9866666666667</v>
      </c>
      <c r="F28" s="9">
        <v>0</v>
      </c>
      <c r="G28" s="9">
        <v>0</v>
      </c>
      <c r="H28" s="14" t="s">
        <v>3</v>
      </c>
      <c r="I28" s="1"/>
    </row>
    <row r="29" spans="1:9" x14ac:dyDescent="0.45">
      <c r="A29" s="1"/>
      <c r="B29" s="56" t="s">
        <v>278</v>
      </c>
      <c r="C29" s="112" t="s">
        <v>277</v>
      </c>
      <c r="D29" s="9">
        <v>159822.98000000001</v>
      </c>
      <c r="E29" s="9">
        <f t="shared" si="0"/>
        <v>2130.9730666666669</v>
      </c>
      <c r="F29" s="9">
        <v>0</v>
      </c>
      <c r="G29" s="9">
        <v>0</v>
      </c>
      <c r="H29" s="14" t="s">
        <v>3</v>
      </c>
      <c r="I29" s="1"/>
    </row>
    <row r="30" spans="1:9" ht="26.65" x14ac:dyDescent="0.45">
      <c r="A30" s="1"/>
      <c r="B30" s="56" t="s">
        <v>279</v>
      </c>
      <c r="C30" s="112" t="s">
        <v>277</v>
      </c>
      <c r="D30" s="9">
        <v>86681.61</v>
      </c>
      <c r="E30" s="9">
        <f t="shared" si="0"/>
        <v>1155.7547999999999</v>
      </c>
      <c r="F30" s="9">
        <v>0</v>
      </c>
      <c r="G30" s="9">
        <v>0</v>
      </c>
      <c r="H30" s="14" t="s">
        <v>3</v>
      </c>
      <c r="I30" s="1"/>
    </row>
    <row r="31" spans="1:9" x14ac:dyDescent="0.45">
      <c r="A31" s="1"/>
      <c r="B31" s="56" t="s">
        <v>276</v>
      </c>
      <c r="C31" s="112" t="s">
        <v>277</v>
      </c>
      <c r="D31" s="9">
        <v>1432535.66</v>
      </c>
      <c r="E31" s="9">
        <f t="shared" si="0"/>
        <v>19100.475466666667</v>
      </c>
      <c r="F31" s="9">
        <v>0</v>
      </c>
      <c r="G31" s="9">
        <v>0</v>
      </c>
      <c r="H31" s="14" t="s">
        <v>3</v>
      </c>
      <c r="I31" s="1"/>
    </row>
    <row r="32" spans="1:9" x14ac:dyDescent="0.45">
      <c r="A32" s="1"/>
      <c r="B32" s="56" t="s">
        <v>285</v>
      </c>
      <c r="C32" s="112" t="s">
        <v>286</v>
      </c>
      <c r="D32" s="9">
        <v>87663.02</v>
      </c>
      <c r="E32" s="9">
        <f t="shared" si="0"/>
        <v>1753.2604000000001</v>
      </c>
      <c r="F32" s="9">
        <v>0</v>
      </c>
      <c r="G32" s="9">
        <v>0</v>
      </c>
      <c r="H32" s="14" t="s">
        <v>3</v>
      </c>
      <c r="I32" s="1"/>
    </row>
    <row r="33" spans="1:9" ht="26.65" x14ac:dyDescent="0.45">
      <c r="A33" s="1"/>
      <c r="B33" s="56" t="s">
        <v>287</v>
      </c>
      <c r="C33" s="112" t="s">
        <v>286</v>
      </c>
      <c r="D33" s="9">
        <v>2344588.83</v>
      </c>
      <c r="E33" s="9">
        <f t="shared" si="0"/>
        <v>46891.776600000005</v>
      </c>
      <c r="F33" s="9">
        <v>0</v>
      </c>
      <c r="G33" s="9">
        <v>0</v>
      </c>
      <c r="H33" s="14" t="s">
        <v>3</v>
      </c>
      <c r="I33" s="1"/>
    </row>
    <row r="34" spans="1:9" ht="26.65" x14ac:dyDescent="0.45">
      <c r="A34" s="1"/>
      <c r="B34" s="56" t="s">
        <v>288</v>
      </c>
      <c r="C34" s="112" t="s">
        <v>289</v>
      </c>
      <c r="D34" s="9">
        <v>1624288.82</v>
      </c>
      <c r="E34" s="9">
        <f t="shared" ref="E34:E35" si="1">IFERROR(D34/C34,0)</f>
        <v>81214.441000000006</v>
      </c>
      <c r="F34" s="9">
        <v>0</v>
      </c>
      <c r="G34" s="9">
        <v>0</v>
      </c>
      <c r="H34" s="14" t="s">
        <v>3</v>
      </c>
      <c r="I34" s="1"/>
    </row>
    <row r="35" spans="1:9" ht="26.65" x14ac:dyDescent="0.45">
      <c r="A35" s="1"/>
      <c r="B35" s="56" t="s">
        <v>282</v>
      </c>
      <c r="C35" s="112" t="s">
        <v>283</v>
      </c>
      <c r="D35" s="9">
        <v>465381.97</v>
      </c>
      <c r="E35" s="9">
        <f t="shared" si="1"/>
        <v>46538.197</v>
      </c>
      <c r="F35" s="9">
        <v>0</v>
      </c>
      <c r="G35" s="9">
        <v>0</v>
      </c>
      <c r="H35" s="14" t="s">
        <v>3</v>
      </c>
      <c r="I35" s="1"/>
    </row>
    <row r="36" spans="1:9" x14ac:dyDescent="0.45">
      <c r="A36" s="1"/>
      <c r="B36" s="89" t="s">
        <v>238</v>
      </c>
      <c r="C36" s="90"/>
      <c r="D36" s="91"/>
      <c r="E36" s="12">
        <f>SUM(E10:E35)</f>
        <v>607813.55333333346</v>
      </c>
      <c r="F36" s="12">
        <f t="shared" ref="F36:G36" si="2">SUM(F10:F35)</f>
        <v>0</v>
      </c>
      <c r="G36" s="12">
        <f t="shared" si="2"/>
        <v>0</v>
      </c>
      <c r="H36" s="13" t="s">
        <v>3</v>
      </c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5">
      <c r="A71" s="1"/>
      <c r="B71" s="1"/>
      <c r="C71" s="1"/>
      <c r="D71" s="1"/>
      <c r="E71" s="1"/>
      <c r="F71" s="1"/>
      <c r="G71" s="1"/>
      <c r="H71" s="1"/>
      <c r="I71" s="1"/>
    </row>
  </sheetData>
  <sheetProtection algorithmName="SHA-512" hashValue="5cUJwyBzoinNCZgdS35UbjOnvvlFV6e4CA8crloDRA1IJt3WaubOUMB4VGwoVRE1e9mHuXrd7rW/iw82JQRp1Q==" saltValue="RWvOhW4WtkRbGgPpOL/1zg==" spinCount="100000" sheet="1" objects="1" scenarios="1"/>
  <mergeCells count="3">
    <mergeCell ref="B3:H4"/>
    <mergeCell ref="B36:D3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34.46484375" style="2" customWidth="1"/>
    <col min="3" max="3" width="16.265625" style="2" customWidth="1"/>
    <col min="4" max="4" width="3.265625" style="2" customWidth="1"/>
    <col min="5" max="5" width="19.19921875" style="2" customWidth="1"/>
    <col min="6" max="6" width="3.265625" style="2" customWidth="1"/>
    <col min="7" max="7" width="5.199218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Anlægsprojekter'!F36</f>
        <v>0</v>
      </c>
      <c r="D10" s="14" t="s">
        <v>3</v>
      </c>
      <c r="E10" s="9">
        <f>SUM('Fane 9. Anlægsprojekter'!E36,'Fane 9. Anlægsprojekter'!G36)</f>
        <v>607813.55333333346</v>
      </c>
      <c r="F10" s="14" t="s">
        <v>3</v>
      </c>
      <c r="G10" s="1"/>
    </row>
    <row r="11" spans="1:7" x14ac:dyDescent="0.4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607813.55333333346</v>
      </c>
      <c r="F11" s="13" t="s">
        <v>3</v>
      </c>
      <c r="G11" s="1"/>
    </row>
    <row r="12" spans="1:7" x14ac:dyDescent="0.4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615228.87868400011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mKQz+zG5FKIvoGGRZsTt+BYuavklOukEuyRC+eUdi/PQ8tavfOYQKQaF1KJtCSNvgyyS5wG7mZzbGr6OpZWj1Q==" saltValue="BmjxjH5xlZQue/hWZOnV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34.46484375" style="2" customWidth="1"/>
    <col min="3" max="3" width="16.265625" style="2" customWidth="1"/>
    <col min="4" max="4" width="3.46484375" style="2" bestFit="1" customWidth="1"/>
    <col min="5" max="5" width="17.73046875" style="2" bestFit="1" customWidth="1"/>
    <col min="6" max="6" width="3.265625" style="2" customWidth="1"/>
    <col min="7" max="7" width="5.199218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141</v>
      </c>
      <c r="C8" s="90"/>
      <c r="D8" s="90"/>
      <c r="E8" s="90"/>
      <c r="F8" s="91"/>
      <c r="G8" s="1"/>
    </row>
    <row r="9" spans="1:7" x14ac:dyDescent="0.4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4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9" t="s">
        <v>142</v>
      </c>
      <c r="C16" s="90"/>
      <c r="D16" s="90"/>
      <c r="E16" s="90"/>
      <c r="F16" s="91"/>
      <c r="G16" s="1"/>
    </row>
    <row r="17" spans="1:7" x14ac:dyDescent="0.4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4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9" t="s">
        <v>143</v>
      </c>
      <c r="C24" s="90"/>
      <c r="D24" s="90"/>
      <c r="E24" s="90"/>
      <c r="F24" s="91"/>
      <c r="G24" s="1"/>
    </row>
    <row r="25" spans="1:7" x14ac:dyDescent="0.4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4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223</v>
      </c>
      <c r="C32" s="90"/>
      <c r="D32" s="90"/>
      <c r="E32" s="90"/>
      <c r="F32" s="91"/>
      <c r="G32" s="1"/>
    </row>
    <row r="33" spans="1:7" x14ac:dyDescent="0.4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4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BM2K7e+UDCD5AoFehFn63nkPUT0W5/m77i7LPVML7XRH9lpllur7SnNx06Y6ame/HvdE5hfmvPJoGXRVPsC8Zw==" saltValue="/GlSriM/NrCbPM3KLwmyu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34.46484375" style="2" customWidth="1"/>
    <col min="3" max="3" width="16.265625" style="2" customWidth="1"/>
    <col min="4" max="4" width="3.265625" style="2" customWidth="1"/>
    <col min="5" max="5" width="19.19921875" style="2" customWidth="1"/>
    <col min="6" max="6" width="3.265625" style="2" customWidth="1"/>
    <col min="7" max="7" width="5.199218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86"/>
      <c r="C5" s="86"/>
      <c r="D5" s="86"/>
      <c r="E5" s="86"/>
      <c r="F5" s="8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125</v>
      </c>
      <c r="C8" s="90"/>
      <c r="D8" s="90"/>
      <c r="E8" s="90"/>
      <c r="F8" s="91"/>
      <c r="G8" s="1"/>
    </row>
    <row r="9" spans="1:7" x14ac:dyDescent="0.45">
      <c r="A9" s="1"/>
      <c r="B9" s="109" t="s">
        <v>275</v>
      </c>
      <c r="C9" s="110"/>
      <c r="D9" s="111"/>
      <c r="E9" s="9">
        <v>478410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7"/>
      <c r="E11" s="9">
        <f>-E9*'Fane 14. Nøgletal'!C27</f>
        <v>-9568.2000000000007</v>
      </c>
      <c r="F11" s="14" t="s">
        <v>3</v>
      </c>
      <c r="G11" s="1"/>
    </row>
    <row r="12" spans="1:7" x14ac:dyDescent="0.45">
      <c r="A12" s="1"/>
      <c r="B12" s="89" t="s">
        <v>128</v>
      </c>
      <c r="C12" s="90"/>
      <c r="D12" s="91"/>
      <c r="E12" s="12">
        <f>SUM(E9:E11)*(1+'Fane 14. Nøgletal'!C12)^3</f>
        <v>497099.79329292499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126</v>
      </c>
      <c r="C14" s="90"/>
      <c r="D14" s="90"/>
      <c r="E14" s="90"/>
      <c r="F14" s="91"/>
      <c r="G14" s="1"/>
    </row>
    <row r="15" spans="1:7" x14ac:dyDescent="0.45">
      <c r="A15" s="1"/>
      <c r="B15" s="109" t="s">
        <v>207</v>
      </c>
      <c r="C15" s="110"/>
      <c r="D15" s="111"/>
      <c r="E15" s="9">
        <v>449073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7"/>
      <c r="E17" s="9">
        <f>-E15*'Fane 14. Nøgletal'!C27</f>
        <v>-8981.4600000000009</v>
      </c>
      <c r="F17" s="14" t="s">
        <v>3</v>
      </c>
      <c r="G17" s="1"/>
    </row>
    <row r="18" spans="1:7" x14ac:dyDescent="0.45">
      <c r="A18" s="1"/>
      <c r="B18" s="89" t="s">
        <v>129</v>
      </c>
      <c r="C18" s="90"/>
      <c r="D18" s="91"/>
      <c r="E18" s="12">
        <f>SUM(E15:E17)*(1+'Fane 14. Nøgletal'!C13)^3</f>
        <v>456396.19917778351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127</v>
      </c>
      <c r="C20" s="90"/>
      <c r="D20" s="90"/>
      <c r="E20" s="90"/>
      <c r="F20" s="91"/>
      <c r="G20" s="1"/>
    </row>
    <row r="21" spans="1:7" x14ac:dyDescent="0.45">
      <c r="A21" s="1"/>
      <c r="B21" s="109" t="s">
        <v>207</v>
      </c>
      <c r="C21" s="110"/>
      <c r="D21" s="111"/>
      <c r="E21" s="9">
        <v>449073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7"/>
      <c r="E23" s="9">
        <f>-E21*'Fane 14. Nøgletal'!C27</f>
        <v>-8981.4600000000009</v>
      </c>
      <c r="F23" s="14" t="s">
        <v>3</v>
      </c>
      <c r="G23" s="1"/>
    </row>
    <row r="24" spans="1:7" x14ac:dyDescent="0.45">
      <c r="A24" s="1"/>
      <c r="B24" s="89" t="s">
        <v>130</v>
      </c>
      <c r="C24" s="90"/>
      <c r="D24" s="91"/>
      <c r="E24" s="12">
        <f>SUM(E21:E23)*(1+'Fane 14. Nøgletal'!C13)^4</f>
        <v>461964.2328077525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208</v>
      </c>
      <c r="C26" s="90"/>
      <c r="D26" s="90"/>
      <c r="E26" s="90"/>
      <c r="F26" s="91"/>
      <c r="G26" s="1"/>
    </row>
    <row r="27" spans="1:7" x14ac:dyDescent="0.45">
      <c r="A27" s="1"/>
      <c r="B27" s="109" t="s">
        <v>207</v>
      </c>
      <c r="C27" s="110"/>
      <c r="D27" s="111"/>
      <c r="E27" s="9">
        <v>449073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7"/>
      <c r="E29" s="9">
        <f>-E27*'Fane 14. Nøgletal'!C27</f>
        <v>-8981.4600000000009</v>
      </c>
      <c r="F29" s="14" t="s">
        <v>3</v>
      </c>
      <c r="G29" s="1"/>
    </row>
    <row r="30" spans="1:7" x14ac:dyDescent="0.45">
      <c r="A30" s="1"/>
      <c r="B30" s="89" t="s">
        <v>209</v>
      </c>
      <c r="C30" s="90"/>
      <c r="D30" s="91"/>
      <c r="E30" s="12">
        <f>SUM(E27:E29)*(1+'Fane 14. Nøgletal'!C13)^5</f>
        <v>467600.19644800707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IjsFzeEr1COM/RGPj2Rw8CfkOiBQAHHe/5JSIHUbdhXg7w/TgPzaZo84q1yNYSoN0eVwAYLdbU4EY0HuzBz4nQ==" saltValue="gQVAgaN7w2jfnkmTr6XgK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992187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265625" style="2" customWidth="1"/>
    <col min="5" max="5" width="17.19921875" style="2" customWidth="1"/>
    <col min="6" max="6" width="3.265625" style="2" customWidth="1"/>
    <col min="7" max="7" width="5.7968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0qSUvlL1ANW892VpvSbdpm2v+T5y2G75YZlDWXWdm4XVRszSl7y/fOoeNjoa4crsSUxmORLr3M0DkmiTWV/u1g==" saltValue="4wRrdlJ4pspITOrD+xnzN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36.46484375" style="2" customWidth="1"/>
    <col min="3" max="3" width="15.73046875" style="2" customWidth="1"/>
    <col min="4" max="4" width="3.265625" style="2" customWidth="1"/>
    <col min="5" max="5" width="18.46484375" style="2" customWidth="1"/>
    <col min="6" max="6" width="3.265625" style="2" customWidth="1"/>
    <col min="7" max="7" width="5.199218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131</v>
      </c>
      <c r="C14" s="90"/>
      <c r="D14" s="90"/>
      <c r="E14" s="90"/>
      <c r="F14" s="9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133</v>
      </c>
      <c r="C20" s="90"/>
      <c r="D20" s="90"/>
      <c r="E20" s="90"/>
      <c r="F20" s="9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227</v>
      </c>
      <c r="C26" s="90"/>
      <c r="D26" s="90"/>
      <c r="E26" s="90"/>
      <c r="F26" s="9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ZQ3xJglJq0o2v1Cpqkszp1qsyFxut8q+WCcB1A06e5A1pMBzJRBgSaINZXroy/FIP53K55KpA12e+qd23WeVxw==" saltValue="d85ZZ8DT0Wj4HcIVmPBsA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9921875" defaultRowHeight="14.25" x14ac:dyDescent="0.45"/>
  <cols>
    <col min="1" max="1" width="11.19921875" style="2" customWidth="1"/>
    <col min="2" max="2" width="55.46484375" style="2" customWidth="1"/>
    <col min="3" max="3" width="6.265625" style="2" customWidth="1"/>
    <col min="4" max="4" width="12.265625" style="2" customWidth="1"/>
    <col min="5" max="16384" width="9.1992187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257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s/KwihbLQmqnDcB/H9YWyVQgQb85j9G/v87rNm8mwHD4n44WlfXxFbYNF9UPmlgYQV/64NDhNwkGxgx5GV5WFQ==" saltValue="XhGSQjyW1lbpOUaqfbqke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992187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796875" style="2" bestFit="1" customWidth="1"/>
    <col min="5" max="5" width="6.265625" style="2" customWidth="1"/>
    <col min="6" max="16384" width="9.1992187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95752439.229517043</v>
      </c>
      <c r="D9" s="8" t="s">
        <v>3</v>
      </c>
      <c r="E9" s="1"/>
    </row>
    <row r="10" spans="1:5" ht="17.2" customHeight="1" x14ac:dyDescent="0.4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2" customHeight="1" x14ac:dyDescent="0.45">
      <c r="A11" s="1"/>
      <c r="B11" s="48" t="s">
        <v>49</v>
      </c>
      <c r="C11" s="9">
        <f>'Fane 10.1. Varige tillæg'!E12</f>
        <v>615228.87868400011</v>
      </c>
      <c r="D11" s="8" t="s">
        <v>3</v>
      </c>
      <c r="E11" s="1"/>
    </row>
    <row r="12" spans="1:5" ht="17.2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2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2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2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2" customHeight="1" x14ac:dyDescent="0.45">
      <c r="A16" s="1"/>
      <c r="B16" s="48" t="s">
        <v>20</v>
      </c>
      <c r="C16" s="9">
        <f>C9*'Fane 14. Nøgletal'!C12+SUM(C10:C15)*'Fane 14. Nøgletal'!C13</f>
        <v>1893828.8451414304</v>
      </c>
      <c r="D16" s="8" t="s">
        <v>3</v>
      </c>
      <c r="E16" s="1"/>
    </row>
    <row r="17" spans="1:5" ht="17.2" customHeight="1" x14ac:dyDescent="0.4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2" customHeight="1" x14ac:dyDescent="0.45">
      <c r="A18" s="1"/>
      <c r="B18" s="48" t="s">
        <v>29</v>
      </c>
      <c r="C18" s="9">
        <f>-'Fane 4.1. Gen. krav - drift'!G34</f>
        <v>-630100.25408907351</v>
      </c>
      <c r="D18" s="8" t="s">
        <v>3</v>
      </c>
      <c r="E18" s="1"/>
    </row>
    <row r="19" spans="1:5" ht="17.2" customHeight="1" x14ac:dyDescent="0.45">
      <c r="A19" s="1"/>
      <c r="B19" s="48" t="s">
        <v>30</v>
      </c>
      <c r="C19" s="9">
        <f>-'Fane 4.2. Gen. krav - anlæg'!G31</f>
        <v>-1950088.9196331052</v>
      </c>
      <c r="D19" s="8" t="s">
        <v>3</v>
      </c>
      <c r="E19" s="1"/>
    </row>
    <row r="20" spans="1:5" ht="17.2" customHeight="1" x14ac:dyDescent="0.45">
      <c r="A20" s="1"/>
      <c r="B20" s="52" t="s">
        <v>22</v>
      </c>
      <c r="C20" s="10">
        <f>SUM(C9:C19)</f>
        <v>95681307.77962029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1736494.9605825695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52" t="s">
        <v>114</v>
      </c>
      <c r="C24" s="10">
        <f>'Fane 11. Periodevise driftsomk.'!E12</f>
        <v>497099.79329292499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97914902.533495784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I/0joxrKyVtKRsRVPo8GEG66AGaLs+qi2Y3mmqLZDSV39gsISay81goYHnYFOwHNehZJcwFeJSSwcvONIShstQ==" saltValue="+GV750pg/AxC2EbzpDZj8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60.796875" style="2" customWidth="1"/>
    <col min="3" max="3" width="12.265625" style="2" bestFit="1" customWidth="1"/>
    <col min="4" max="4" width="3.265625" style="2" customWidth="1"/>
    <col min="5" max="5" width="5.19921875" style="2" customWidth="1"/>
    <col min="6" max="16384" width="9.1992187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95681307.77962029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1167311.9549113675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-625031.727645181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-1857595.0900285579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94365992.916857928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1757680.1991016767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driftsomk.'!E18</f>
        <v>456396.19917778351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96580069.315137386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QFXkCHzlEtvgvc+UyMbchVjyLOVhF+RvGltniCISxoVOh+8Zpo44gs/CyCuaSFrJ74BrHIEeZnk5oQr3pOeT7g==" saltValue="Cjs3NUTNYdhHvRDTTGJU+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62.19921875" style="2" customWidth="1"/>
    <col min="3" max="3" width="10.796875" style="2" bestFit="1" customWidth="1"/>
    <col min="4" max="4" width="3.265625" style="2" customWidth="1"/>
    <col min="5" max="5" width="5.19921875" style="2" customWidth="1"/>
    <col min="6" max="16384" width="9.1992187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94365992.916857928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1151265.1135856668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-620003.97242800321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-1828550.6619984165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93068703.396017164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1779123.8975307173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driftsomk.'!E24</f>
        <v>461964.2328077525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95309791.526355639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pRGONMvej0xSUL0Kgi2prAwWTUUK+WZnm4vDI85ozimj0mWrB9LQqNyxfTlX1Vxeriown+1KMlpdrMuVMRPtVw==" saltValue="ADs/PpHX5YAe/n4bEvrt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9921875" defaultRowHeight="14.25" x14ac:dyDescent="0.45"/>
  <cols>
    <col min="1" max="1" width="5.19921875" style="2" customWidth="1"/>
    <col min="2" max="2" width="62.53125" style="2" customWidth="1"/>
    <col min="3" max="3" width="10.796875" style="2" bestFit="1" customWidth="1"/>
    <col min="4" max="4" width="3.265625" style="2" customWidth="1"/>
    <col min="5" max="5" width="5.19921875" style="2" customWidth="1"/>
    <col min="6" max="16384" width="9.1992187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93068703.396017164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1135438.1814314094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-615016.66047379235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-1799960.3581227404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91789164.558852047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1800829.209080592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driftsomk.'!E30</f>
        <v>467600.19644800707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94057593.964380652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95zJpkTQ89CZg+xf8x1krknjXZVQXX+SDHDYfB3HmU6QSzMh1eOJn7kZMYbJWt/c1NvYc3et5bp2zaz5rQXf1g==" saltValue="9m6g6+y9a0cc+CPh6f+/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9921875" defaultRowHeight="14.25" x14ac:dyDescent="0.45"/>
  <cols>
    <col min="1" max="1" width="7.796875" style="2" customWidth="1"/>
    <col min="2" max="2" width="12.265625" style="2" customWidth="1"/>
    <col min="3" max="3" width="12" style="2" customWidth="1"/>
    <col min="4" max="4" width="31.73046875" style="2" customWidth="1"/>
    <col min="5" max="5" width="10.796875" style="2" customWidth="1"/>
    <col min="6" max="6" width="3.53125" style="2" bestFit="1" customWidth="1"/>
    <col min="7" max="7" width="7.796875" style="2" customWidth="1"/>
    <col min="8" max="16384" width="9.1992187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96408414.332189411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7"/>
      <c r="E11" s="9">
        <v>25837.221413520005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1899754.7556059777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-630537.84735513804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-1951029.2323367342</v>
      </c>
      <c r="F19" s="8" t="s">
        <v>3</v>
      </c>
      <c r="G19" s="1"/>
    </row>
    <row r="20" spans="1:7" ht="15" customHeight="1" x14ac:dyDescent="0.45">
      <c r="A20" s="1"/>
      <c r="B20" s="52" t="s">
        <v>22</v>
      </c>
      <c r="C20" s="53"/>
      <c r="D20" s="55"/>
      <c r="E20" s="10">
        <f>SUM(E9:E19)</f>
        <v>95752439.229517043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4" t="s">
        <v>13</v>
      </c>
      <c r="C22" s="85"/>
      <c r="D22" s="88"/>
      <c r="E22" s="10">
        <v>1355458.3960311902</v>
      </c>
      <c r="F22" s="11" t="s">
        <v>3</v>
      </c>
      <c r="G22" s="1"/>
    </row>
    <row r="23" spans="1:7" ht="15" customHeight="1" x14ac:dyDescent="0.4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45">
      <c r="A24" s="1"/>
      <c r="B24" s="52" t="s">
        <v>114</v>
      </c>
      <c r="C24" s="44"/>
      <c r="D24" s="45"/>
      <c r="E24" s="10">
        <v>577495.80215612042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4" t="s">
        <v>260</v>
      </c>
      <c r="C30" s="85"/>
      <c r="D30" s="85"/>
      <c r="E30" s="46">
        <v>-4898935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4" t="s">
        <v>264</v>
      </c>
      <c r="C34" s="85"/>
      <c r="D34" s="88"/>
      <c r="E34" s="10">
        <v>32397.767897614394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92818856.19560197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hAH1u3KSi8V29VdWj0+Y4cZytgJ5fgXLVgtvPBVJfjTI0j7OIb/a6i6v6dmWKIjX4FfN1ceKJwjOFBDti2oFiQ==" saltValue="Lg9eN0ZfJyBZ5WwCEaZcbQ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9921875" defaultRowHeight="14.25" x14ac:dyDescent="0.45"/>
  <cols>
    <col min="1" max="1" width="6.19921875" style="2" customWidth="1"/>
    <col min="2" max="5" width="9.1992187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992187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4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31411795.835707571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962065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647477.21671415144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31302694.194825806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347830.02632941125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566732.23750000005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644345.12917310442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31548787.226091806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630975.74452183617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31526892.367756899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630537.84735513804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31505012.704453677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630100.25408907351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31251586.382259052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625031.727645181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31000198.621400159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620003.97242800321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30750833.023689616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615016.66047379235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ay7I7lbG3Q1ltewS9rmyTvIvAtXcTzZ6fN2ofjmmzi6V1Ln+fAFU6+fKWuJVwdW14H1rt0ICqZdBLMzFxIYCug==" saltValue="YMSIzrNfDYorqdQK3JXK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9921875" defaultRowHeight="14.25" x14ac:dyDescent="0.45"/>
  <cols>
    <col min="1" max="1" width="6.19921875" style="2" customWidth="1"/>
    <col min="2" max="5" width="9.1992187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992187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67070704.414758794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610343.41017430509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67623417.322164729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877879.01331424364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1212472.9451379778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68466377.799671978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91439.020064249984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1212650.406528753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68671866.191547662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26346.214675366351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1951029.2323367342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68062102.682411849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622734.67100394494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1950088.9196331052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67548912.364674836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1857595.0900285579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66492751.345396966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1828550.6619984165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65453103.931736015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1799960.3581227404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EGArvycibQg+/P8Q0vOOBPrAakwQwkz8E+yeKUZk2WsB1Otp7V027wT4cHoP/JFG4PqjrUwF27ZI/u6MrKHbmA==" saltValue="g1XekCmzdIUECoOvn6Kxc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9921875" defaultRowHeight="14.25" x14ac:dyDescent="0.45"/>
  <cols>
    <col min="1" max="1" width="7.796875" style="2" customWidth="1"/>
    <col min="2" max="5" width="9.19921875" style="2"/>
    <col min="6" max="6" width="19.796875" style="2" customWidth="1"/>
    <col min="7" max="7" width="10.265625" style="2" customWidth="1"/>
    <col min="8" max="8" width="3.265625" style="2" customWidth="1"/>
    <col min="9" max="9" width="7.796875" style="2" customWidth="1"/>
    <col min="10" max="16384" width="9.1992187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2.3292110876153402E-3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8.132926275294208E-3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sN0ZM4PMVVwMSgKmBJa9UAM/HXSqG33MZidYKyJ15A+dLKJ7mGMzhXNT2SJ06lkGY7OvHMEHDn5sSH/0P9h65A==" saltValue="noA6alLSPkPDkpkvB6tmBA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2020-10-27T08:35:08Z</dcterms:modified>
</cp:coreProperties>
</file>