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Herlev AS (S043)\ØR2024\"/>
    </mc:Choice>
  </mc:AlternateContent>
  <xr:revisionPtr revIDLastSave="0" documentId="13_ncr:1_{7EF3DF73-AFC7-4F25-8AFD-20BFE143439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5" i="30" l="1"/>
  <c r="G19" i="30" s="1"/>
  <c r="G21" i="30" l="1"/>
  <c r="G25" i="30" l="1"/>
  <c r="C10" i="37" l="1"/>
  <c r="C19" i="37" s="1"/>
  <c r="C20" i="37" s="1"/>
  <c r="C10" i="2" l="1"/>
  <c r="G53" i="30" l="1"/>
  <c r="G27" i="30" l="1"/>
  <c r="G31" i="30" l="1"/>
  <c r="E10" i="37"/>
  <c r="E19" i="37" s="1"/>
  <c r="E20" i="37" s="1"/>
  <c r="G33" i="30" l="1"/>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<sst xmlns="http://schemas.openxmlformats.org/spreadsheetml/2006/main" count="654" uniqueCount="290">
  <si>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</si>
  <si>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</si>
  <si>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</si>
  <si>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</si>
  <si>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</si>
  <si>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</si>
  <si>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</si>
  <si>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</si>
  <si>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</si>
  <si>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</si>
  <si>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</si>
  <si>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</si>
  <si>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</si>
  <si>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</si>
  <si>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</si>
  <si>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</si>
  <si>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</si>
  <si>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</si>
  <si>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</si>
  <si>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</si>
  <si>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</si>
  <si>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</si>
  <si>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</si>
  <si>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</si>
  <si>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</si>
  <si>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</si>
  <si>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</si>
  <si>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</si>
  <si>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</si>
  <si>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</si>
  <si>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</si>
  <si>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</si>
  <si>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</si>
  <si>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</si>
  <si>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</si>
  <si>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</si>
  <si>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</si>
  <si>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</si>
  <si>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</si>
  <si>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</si>
  <si>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</si>
  <si>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</si>
  <si>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</si>
  <si>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</si>
  <si>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</si>
  <si>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</si>
  <si>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</si>
  <si>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</si>
  <si>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</si>
  <si>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</si>
  <si>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</si>
  <si>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</si>
  <si>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</si>
  <si>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</si>
  <si>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</si>
  <si>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</si>
  <si>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</si>
  <si>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</si>
  <si>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</si>
  <si>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</si>
  <si>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</si>
  <si>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</si>
  <si>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</si>
  <si>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</si>
  <si>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</si>
  <si>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</si>
  <si>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</si>
  <si>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</si>
  <si>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</si>
  <si>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</si>
  <si>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</si>
  <si>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</si>
  <si>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</si>
  <si>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</si>
  <si>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</si>
  <si>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</si>
  <si>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</si>
  <si>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</si>
  <si>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</si>
  <si>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</si>
  <si>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</si>
  <si>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</si>
  <si>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</si>
  <si>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</si>
  <si>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</si>
  <si>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</si>
  <si>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</si>
  <si>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</si>
  <si>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</si>
  <si>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</si>
  <si>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</si>
  <si>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</si>
  <si>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</si>
  <si>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</si>
  <si>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</si>
  <si>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</si>
  <si>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</si>
  <si>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</si>
  <si>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</si>
  <si>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</si>
  <si>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</si>
  <si>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</si>
  <si>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</si>
  <si>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</si>
  <si>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</si>
  <si>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</si>
  <si>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</si>
  <si>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</si>
  <si>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</si>
  <si>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</si>
  <si>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</si>
  <si>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</si>
  <si>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</si>
  <si>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</si>
  <si>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</si>
  <si>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</si>
  <si>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</si>
  <si>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</si>
  <si>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</si>
  <si>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</si>
  <si>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</si>
  <si>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</si>
  <si>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</si>
  <si>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</si>
  <si>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</si>
  <si>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</si>
  <si>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</si>
  <si>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</si>
  <si>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</si>
  <si>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</si>
  <si>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</si>
  <si>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</si>
  <si>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</si>
  <si>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</si>
  <si>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</si>
  <si>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</si>
  <si>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</si>
  <si>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</si>
  <si>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</si>
  <si>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</si>
  <si>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</si>
  <si>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</si>
  <si>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</si>
  <si>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</si>
  <si>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</si>
  <si>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</si>
  <si>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</si>
  <si>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</si>
  <si>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</si>
  <si>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</si>
  <si>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</si>
  <si>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</si>
  <si>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</si>
  <si>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</si>
  <si>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</si>
  <si>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</si>
  <si>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</si>
  <si>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</si>
  <si>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</si>
  <si>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</si>
  <si>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</si>
  <si>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</si>
  <si>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</si>
  <si>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</si>
  <si>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</si>
  <si>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</si>
  <si>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</si>
  <si>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</si>
  <si>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</si>
  <si>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</si>
  <si>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</si>
  <si>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</si>
  <si>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</si>
  <si>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</si>
  <si>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</si>
  <si>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</si>
  <si>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</si>
  <si>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</si>
  <si>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</si>
  <si>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</si>
  <si>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</si>
  <si>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</si>
  <si>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</si>
  <si>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</si>
  <si>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</si>
  <si>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</si>
  <si>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</si>
  <si>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</si>
  <si>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</si>
  <si>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</si>
  <si>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</si>
  <si>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</si>
  <si>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</si>
  <si>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</si>
  <si>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</si>
  <si>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</si>
  <si>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</si>
  <si>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</si>
  <si>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</si>
  <si>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</si>
  <si>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</si>
  <si>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</si>
  <si>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</si>
  <si>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</si>
  <si>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</si>
  <si>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</si>
  <si>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</si>
  <si>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</si>
  <si>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</si>
  <si>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</si>
  <si>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</si>
  <si>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</si>
  <si>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</si>
  <si>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</si>
  <si>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</si>
  <si>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</si>
  <si>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</si>
  <si>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</si>
  <si>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</si>
  <si>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</si>
  <si>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</si>
  <si>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</si>
  <si>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</si>
  <si>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</si>
  <si>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</si>
  <si>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</si>
  <si>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</si>
  <si>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</si>
  <si>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</si>
  <si>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</si>
  <si>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</si>
  <si>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</si>
  <si>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</si>
  <si>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</si>
  <si>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</si>
  <si>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</si>
  <si>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</si>
  <si>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</si>
  <si>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</si>
  <si>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</si>
  <si>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</si>
  <si>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</si>
  <si>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</si>
  <si>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</si>
  <si>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</si>
  <si>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</si>
  <si>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</si>
  <si>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</si>
  <si>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</si>
  <si>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</si>
  <si>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</si>
  <si>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</si>
  <si>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</si>
  <si>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</si>
  <si>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</si>
  <si>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</si>
  <si>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</si>
  <si>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</si>
  <si>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</si>
  <si>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</si>
  <si>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</si>
  <si>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</si>
  <si>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</si>
  <si>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</si>
  <si>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</si>
  <si>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</si>
  <si>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</si>
  <si>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</si>
  <si>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</si>
  <si>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</si>
  <si>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</si>
  <si>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</si>
  <si>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</si>
  <si>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</si>
  <si>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</si>
  <si>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</si>
  <si>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</si>
  <si>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</si>
  <si>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</si>
  <si>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</si>
  <si>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</si>
  <si>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</si>
  <si>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</si>
  <si>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</si>
  <si>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</si>
  <si>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</si>
  <si>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</si>
  <si>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Øget antal forbrugere</t>
  </si>
  <si>
    <t>Ingen engangstillæg</t>
  </si>
  <si>
    <t>Dækselhævninger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</si>
</sst>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252</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8" t="s">
        <v>197</v>
      </c>
      <c r="E14" s="99"/>
      <c r="F14" s="99"/>
      <c r="G14" s="100"/>
      <c r="H14" s="5"/>
      <c r="I14" s="1"/>
    </row>
    <row r="15" spans="1:9" x14ac:dyDescent="0.25">
      <c r="A15" s="1"/>
      <c r="B15" s="1"/>
      <c r="C15" s="6" t="s">
        <v>31</v>
      </c>
      <c r="D15" s="98" t="s">
        <v>262</v>
      </c>
      <c r="E15" s="99"/>
      <c r="F15" s="99"/>
      <c r="G15" s="100"/>
      <c r="H15" s="5"/>
      <c r="I15" s="1"/>
    </row>
    <row r="16" spans="1:9" x14ac:dyDescent="0.25">
      <c r="A16" s="1"/>
      <c r="B16" s="1"/>
      <c r="C16" s="6" t="s">
        <v>32</v>
      </c>
      <c r="D16" s="98" t="s">
        <v>263</v>
      </c>
      <c r="E16" s="99"/>
      <c r="F16" s="99"/>
      <c r="G16" s="100"/>
      <c r="H16" s="5"/>
      <c r="I16" s="1"/>
    </row>
    <row r="17" spans="1:9" x14ac:dyDescent="0.25">
      <c r="A17" s="1"/>
      <c r="B17" s="1"/>
      <c r="C17" s="6" t="s">
        <v>101</v>
      </c>
      <c r="D17" s="98" t="s">
        <v>198</v>
      </c>
      <c r="E17" s="99"/>
      <c r="F17" s="99"/>
      <c r="G17" s="100"/>
      <c r="H17" s="5"/>
      <c r="I17" s="1"/>
    </row>
    <row r="18" spans="1:9" x14ac:dyDescent="0.25">
      <c r="A18" s="1"/>
      <c r="B18" s="1"/>
      <c r="C18" s="6" t="s">
        <v>88</v>
      </c>
      <c r="D18" s="95" t="s">
        <v>79</v>
      </c>
      <c r="E18" s="96"/>
      <c r="F18" s="96"/>
      <c r="G18" s="97"/>
      <c r="H18" s="5"/>
      <c r="I18" s="1"/>
    </row>
    <row r="19" spans="1:9" x14ac:dyDescent="0.25">
      <c r="A19" s="1"/>
      <c r="B19" s="1"/>
      <c r="C19" s="6" t="s">
        <v>89</v>
      </c>
      <c r="D19" s="95" t="s">
        <v>80</v>
      </c>
      <c r="E19" s="96"/>
      <c r="F19" s="96"/>
      <c r="G19" s="97"/>
      <c r="H19" s="5"/>
      <c r="I19" s="1"/>
    </row>
    <row r="20" spans="1:9" x14ac:dyDescent="0.25">
      <c r="A20" s="1"/>
      <c r="B20" s="1"/>
      <c r="C20" s="6" t="s">
        <v>7</v>
      </c>
      <c r="D20" s="95" t="s">
        <v>10</v>
      </c>
      <c r="E20" s="96"/>
      <c r="F20" s="96"/>
      <c r="G20" s="97"/>
      <c r="H20" s="5"/>
      <c r="I20" s="1"/>
    </row>
    <row r="21" spans="1:9" x14ac:dyDescent="0.25">
      <c r="A21" s="1"/>
      <c r="B21" s="1"/>
      <c r="C21" s="6" t="s">
        <v>90</v>
      </c>
      <c r="D21" s="102" t="s">
        <v>12</v>
      </c>
      <c r="E21" s="103"/>
      <c r="F21" s="103"/>
      <c r="G21" s="104"/>
      <c r="H21" s="5"/>
      <c r="I21" s="1"/>
    </row>
    <row r="22" spans="1:9" x14ac:dyDescent="0.25">
      <c r="A22" s="1"/>
      <c r="B22" s="1"/>
      <c r="C22" s="6" t="s">
        <v>71</v>
      </c>
      <c r="D22" s="89" t="s">
        <v>199</v>
      </c>
      <c r="E22" s="90"/>
      <c r="F22" s="90"/>
      <c r="G22" s="91"/>
      <c r="H22" s="5"/>
      <c r="I22" s="1"/>
    </row>
    <row r="23" spans="1:9" x14ac:dyDescent="0.25">
      <c r="A23" s="1"/>
      <c r="B23" s="1"/>
      <c r="C23" s="6" t="s">
        <v>8</v>
      </c>
      <c r="D23" s="89" t="s">
        <v>181</v>
      </c>
      <c r="E23" s="90"/>
      <c r="F23" s="90"/>
      <c r="G23" s="91"/>
      <c r="H23" s="5"/>
      <c r="I23" s="1"/>
    </row>
    <row r="24" spans="1:9" x14ac:dyDescent="0.25">
      <c r="A24" s="1"/>
      <c r="B24" s="1"/>
      <c r="C24" s="6" t="s">
        <v>9</v>
      </c>
      <c r="D24" s="89" t="s">
        <v>200</v>
      </c>
      <c r="E24" s="90"/>
      <c r="F24" s="90"/>
      <c r="G24" s="91"/>
      <c r="H24" s="5"/>
      <c r="I24" s="1"/>
    </row>
    <row r="25" spans="1:9" x14ac:dyDescent="0.25">
      <c r="A25" s="1"/>
      <c r="B25" s="1"/>
      <c r="C25" s="6" t="s">
        <v>166</v>
      </c>
      <c r="D25" s="89" t="s">
        <v>160</v>
      </c>
      <c r="E25" s="90"/>
      <c r="F25" s="90"/>
      <c r="G25" s="91"/>
      <c r="H25" s="1"/>
      <c r="I25" s="1"/>
    </row>
    <row r="26" spans="1:9" x14ac:dyDescent="0.25">
      <c r="A26" s="1"/>
      <c r="B26" s="1"/>
      <c r="C26" s="6" t="s">
        <v>167</v>
      </c>
      <c r="D26" s="89" t="s">
        <v>72</v>
      </c>
      <c r="E26" s="90"/>
      <c r="F26" s="90"/>
      <c r="G26" s="91"/>
      <c r="H26" s="1"/>
      <c r="I26" s="1"/>
    </row>
    <row r="27" spans="1:9" x14ac:dyDescent="0.25">
      <c r="A27" s="1"/>
      <c r="B27" s="1"/>
      <c r="C27" s="6" t="s">
        <v>168</v>
      </c>
      <c r="D27" s="89" t="s">
        <v>73</v>
      </c>
      <c r="E27" s="90"/>
      <c r="F27" s="90"/>
      <c r="G27" s="91"/>
      <c r="H27" s="1"/>
      <c r="I27" s="1"/>
    </row>
    <row r="28" spans="1:9" x14ac:dyDescent="0.25">
      <c r="A28" s="1"/>
      <c r="B28" s="1"/>
      <c r="C28" s="6" t="s">
        <v>15</v>
      </c>
      <c r="D28" s="89" t="s">
        <v>74</v>
      </c>
      <c r="E28" s="90"/>
      <c r="F28" s="90"/>
      <c r="G28" s="91"/>
      <c r="H28" s="1"/>
      <c r="I28" s="1"/>
    </row>
    <row r="29" spans="1:9" x14ac:dyDescent="0.25">
      <c r="A29" s="1"/>
      <c r="B29" s="1"/>
      <c r="C29" s="6" t="s">
        <v>34</v>
      </c>
      <c r="D29" s="89" t="s">
        <v>114</v>
      </c>
      <c r="E29" s="90"/>
      <c r="F29" s="90"/>
      <c r="G29" s="91"/>
      <c r="H29" s="1"/>
      <c r="I29" s="1"/>
    </row>
    <row r="30" spans="1:9" x14ac:dyDescent="0.25">
      <c r="A30" s="1"/>
      <c r="B30" s="1"/>
      <c r="C30" s="6" t="s">
        <v>35</v>
      </c>
      <c r="D30" s="89" t="s">
        <v>33</v>
      </c>
      <c r="E30" s="90"/>
      <c r="F30" s="90"/>
      <c r="G30" s="91"/>
      <c r="H30" s="1"/>
      <c r="I30" s="1"/>
    </row>
    <row r="31" spans="1:9" x14ac:dyDescent="0.25">
      <c r="A31" s="1"/>
      <c r="B31" s="1"/>
      <c r="C31" s="6" t="s">
        <v>169</v>
      </c>
      <c r="D31" s="92" t="s">
        <v>87</v>
      </c>
      <c r="E31" s="93"/>
      <c r="F31" s="93"/>
      <c r="G31" s="9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h8UZZnJ5y1n2tHjYq9wXtOajy4hF4U68b0nJwlEvvXif06H08RcKgW5zmEUpVM5drbkKiNhlqFkW5zkQLCbU4Q==" saltValue="SvoOZ4IyfN4eIjezKwi2l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224</v>
      </c>
      <c r="C8" s="115"/>
      <c r="D8" s="116"/>
      <c r="E8" s="1"/>
      <c r="F8" s="1"/>
    </row>
    <row r="9" spans="1:6" ht="15" customHeight="1" x14ac:dyDescent="0.25">
      <c r="A9" s="1"/>
      <c r="B9" s="27" t="s">
        <v>29</v>
      </c>
      <c r="C9" s="50" t="s">
        <v>225</v>
      </c>
      <c r="D9" s="11"/>
      <c r="E9" s="1"/>
      <c r="F9" s="1"/>
    </row>
    <row r="10" spans="1:6" ht="15" customHeight="1" x14ac:dyDescent="0.25">
      <c r="A10" s="1"/>
      <c r="B10" s="81" t="s">
        <v>272</v>
      </c>
      <c r="C10" s="9">
        <v>85149</v>
      </c>
      <c r="D10" s="14" t="s">
        <v>3</v>
      </c>
      <c r="E10" s="1"/>
      <c r="F10" s="1"/>
    </row>
    <row r="11" spans="1:6" ht="26.25" x14ac:dyDescent="0.25">
      <c r="A11" s="1"/>
      <c r="B11" s="29" t="s">
        <v>273</v>
      </c>
      <c r="C11" s="9">
        <v>10971399</v>
      </c>
      <c r="D11" s="14" t="s">
        <v>3</v>
      </c>
      <c r="E11" s="1"/>
      <c r="F11" s="1"/>
    </row>
    <row r="12" spans="1:6" x14ac:dyDescent="0.25">
      <c r="A12" s="1"/>
      <c r="B12" s="81" t="s">
        <v>274</v>
      </c>
      <c r="C12" s="9">
        <v>566662</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11623210</v>
      </c>
      <c r="D20" s="13" t="s">
        <v>3</v>
      </c>
      <c r="E20" s="1"/>
      <c r="F20" s="1"/>
    </row>
    <row r="21" spans="1:6" x14ac:dyDescent="0.25">
      <c r="A21" s="1"/>
      <c r="B21" s="33" t="s">
        <v>227</v>
      </c>
      <c r="C21" s="12">
        <f>C20*(1+'Fane 15. Nøgletal'!C16)^2</f>
        <v>13577404.4897344</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4" t="s">
        <v>99</v>
      </c>
      <c r="C24" s="115"/>
      <c r="D24" s="116"/>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4"/>
      <c r="C29" s="115"/>
      <c r="D29" s="116"/>
      <c r="E29" s="1"/>
      <c r="F29" s="1"/>
    </row>
    <row r="30" spans="1:6" x14ac:dyDescent="0.25">
      <c r="A30" s="1"/>
      <c r="B30" s="1"/>
      <c r="C30" s="1"/>
      <c r="D30" s="1"/>
      <c r="E30" s="1"/>
      <c r="F30" s="1"/>
    </row>
    <row r="31" spans="1:6" x14ac:dyDescent="0.25">
      <c r="A31" s="1"/>
      <c r="B31" s="1"/>
      <c r="C31" s="1"/>
      <c r="D31" s="1"/>
      <c r="E31" s="1"/>
      <c r="F31" s="1"/>
    </row>
    <row r="32" spans="1:6" x14ac:dyDescent="0.25">
      <c r="A32" s="1"/>
      <c r="B32" s="114" t="s">
        <v>81</v>
      </c>
      <c r="C32" s="115"/>
      <c r="D32" s="116"/>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4"/>
      <c r="C37" s="115"/>
      <c r="D37" s="116"/>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s1Cm1DZctoR1DJOaX6Il5Q94wmUmbfKeKlXsRw0zwa5h5/D78AgfzPbMXT6dzYuoWyqhNFaw0dzGRtgtXnrFrg==" saltValue="pfwD7Ucq1V4yWiWNGRVE8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E023C-64A1-4FDE-8D3B-AC57A260F4A7}">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275</v>
      </c>
      <c r="C9" s="118"/>
      <c r="D9" s="119"/>
      <c r="E9" s="9">
        <v>2328317</v>
      </c>
      <c r="F9" s="14" t="s">
        <v>3</v>
      </c>
      <c r="G9" s="1"/>
    </row>
    <row r="10" spans="1:7" ht="15" customHeight="1" x14ac:dyDescent="0.25">
      <c r="A10" s="1"/>
      <c r="B10" s="117" t="s">
        <v>143</v>
      </c>
      <c r="C10" s="118"/>
      <c r="D10" s="119"/>
      <c r="E10" s="9">
        <v>437609</v>
      </c>
      <c r="F10" s="14" t="s">
        <v>3</v>
      </c>
      <c r="G10" s="1"/>
    </row>
    <row r="11" spans="1:7" ht="15" customHeight="1" x14ac:dyDescent="0.25">
      <c r="A11" s="1"/>
      <c r="B11" s="117" t="s">
        <v>276</v>
      </c>
      <c r="C11" s="118"/>
      <c r="D11" s="119"/>
      <c r="E11" s="9">
        <v>246544</v>
      </c>
      <c r="F11" s="14" t="s">
        <v>3</v>
      </c>
      <c r="G11" s="1"/>
    </row>
    <row r="12" spans="1:7" x14ac:dyDescent="0.25">
      <c r="A12" s="1"/>
      <c r="B12" s="33"/>
      <c r="C12" s="28"/>
      <c r="D12" s="28"/>
      <c r="E12" s="28"/>
      <c r="F12" s="19"/>
      <c r="G12" s="1"/>
    </row>
    <row r="13" spans="1:7" ht="42" customHeight="1" x14ac:dyDescent="0.25">
      <c r="A13" s="1"/>
      <c r="B13" s="126" t="s">
        <v>277</v>
      </c>
      <c r="C13" s="127"/>
      <c r="D13" s="127"/>
      <c r="E13" s="127"/>
      <c r="F13" s="128"/>
      <c r="G13" s="1"/>
    </row>
    <row r="14" spans="1:7" ht="15" customHeight="1" x14ac:dyDescent="0.25">
      <c r="A14" s="1"/>
      <c r="B14" s="1"/>
      <c r="C14" s="1"/>
      <c r="D14" s="1"/>
      <c r="E14" s="1"/>
      <c r="F14" s="1"/>
      <c r="G14" s="1"/>
    </row>
    <row r="15" spans="1:7" x14ac:dyDescent="0.25">
      <c r="A15" s="1"/>
      <c r="B15" s="75" t="s">
        <v>278</v>
      </c>
      <c r="C15" s="76"/>
      <c r="D15" s="76"/>
      <c r="E15" s="76"/>
      <c r="F15" s="77"/>
      <c r="G15" s="1"/>
    </row>
    <row r="16" spans="1:7" x14ac:dyDescent="0.25">
      <c r="A16" s="1"/>
      <c r="B16" s="78" t="s">
        <v>279</v>
      </c>
      <c r="C16" s="79"/>
      <c r="D16" s="80"/>
      <c r="E16" s="9">
        <f>IF(E11&lt;0,E11,0)</f>
        <v>0</v>
      </c>
      <c r="F16" s="14" t="s">
        <v>3</v>
      </c>
      <c r="G16" s="1"/>
    </row>
    <row r="17" spans="1:7" x14ac:dyDescent="0.25">
      <c r="A17" s="1"/>
      <c r="B17" s="78" t="s">
        <v>280</v>
      </c>
      <c r="C17" s="79"/>
      <c r="D17" s="80"/>
      <c r="E17" s="9">
        <f>IF(SUM(E10)&gt;0,SUM(E10),0)</f>
        <v>437609</v>
      </c>
      <c r="F17" s="14" t="s">
        <v>3</v>
      </c>
      <c r="G17" s="1"/>
    </row>
    <row r="18" spans="1:7" x14ac:dyDescent="0.25">
      <c r="A18" s="1"/>
      <c r="B18" s="82" t="s">
        <v>281</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282</v>
      </c>
      <c r="C21" s="76"/>
      <c r="D21" s="76"/>
      <c r="E21" s="76"/>
      <c r="F21" s="77"/>
      <c r="G21" s="1"/>
    </row>
    <row r="22" spans="1:7" x14ac:dyDescent="0.25">
      <c r="A22" s="1"/>
      <c r="B22" s="78" t="s">
        <v>283</v>
      </c>
      <c r="C22" s="79"/>
      <c r="D22" s="80"/>
      <c r="E22" s="9">
        <v>38880611</v>
      </c>
      <c r="F22" s="14" t="s">
        <v>3</v>
      </c>
      <c r="G22" s="1"/>
    </row>
    <row r="23" spans="1:7" x14ac:dyDescent="0.25">
      <c r="A23" s="1"/>
      <c r="B23" s="78" t="s">
        <v>284</v>
      </c>
      <c r="C23" s="79"/>
      <c r="D23" s="80"/>
      <c r="E23" s="9">
        <v>39515639</v>
      </c>
      <c r="F23" s="14" t="s">
        <v>3</v>
      </c>
      <c r="G23" s="1"/>
    </row>
    <row r="24" spans="1:7" x14ac:dyDescent="0.25">
      <c r="A24" s="1"/>
      <c r="B24" s="78" t="s">
        <v>30</v>
      </c>
      <c r="C24" s="79"/>
      <c r="D24" s="80"/>
      <c r="E24" s="9">
        <v>0</v>
      </c>
      <c r="F24" s="14" t="s">
        <v>3</v>
      </c>
      <c r="G24" s="1"/>
    </row>
    <row r="25" spans="1:7" x14ac:dyDescent="0.25">
      <c r="A25" s="1"/>
      <c r="B25" s="82" t="s">
        <v>285</v>
      </c>
      <c r="C25" s="83"/>
      <c r="D25" s="84"/>
      <c r="E25" s="62">
        <f>E22-E23-E24</f>
        <v>-635028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286</v>
      </c>
      <c r="C28" s="115"/>
      <c r="D28" s="115"/>
      <c r="E28" s="115"/>
      <c r="F28" s="116"/>
      <c r="G28" s="1"/>
    </row>
    <row r="29" spans="1:7" x14ac:dyDescent="0.25">
      <c r="A29" s="1"/>
      <c r="B29" s="132" t="s">
        <v>116</v>
      </c>
      <c r="C29" s="133"/>
      <c r="D29" s="134"/>
      <c r="E29" s="9">
        <f>IF(E18&lt;0,IF(E25&lt;0,SUM(E18,E25),IF(E10&gt;0,SUM(E10:E11),E18)),IF(AND(E25&lt;0,SUM(E25,E11)&lt;0),IF(E11&lt;0,E25,IF(SUM(E10:E11)&gt;0,SUM(E25,E11),IF(AND(E25&lt;0,E18=0,E11&gt;0),IF(SUM(E9:E11)&gt;0,E25+E11,E25)))),0))</f>
        <v>-388484</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-194242</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T0Ec9z2vMXMOO7USwPm+aPfa30xNfm46rqQQNWhTvXR6sXkB2KzvkMQTeUjNVPY2S8LcMiTp7hO/LTJ8/iWDVQ==" saltValue="5U1q7yP6NGNM5v2p9qoyj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yRaDO1gagS6qzsuaKsU7LaU/Hbatk+eIFavoUVUIzCj8JsCq3J+fHIGrm3L0/i//mD1yAaIzcro5xEOwX0Ckbg==" saltValue="fCBG97RzhTl88AIqLkRCX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228</v>
      </c>
      <c r="C9" s="115"/>
      <c r="D9" s="115"/>
      <c r="E9" s="115"/>
      <c r="F9" s="116"/>
      <c r="G9" s="1"/>
    </row>
    <row r="10" spans="1:7" x14ac:dyDescent="0.25">
      <c r="A10" s="1"/>
      <c r="B10" s="126" t="s">
        <v>82</v>
      </c>
      <c r="C10" s="127"/>
      <c r="D10" s="128"/>
      <c r="E10" s="7">
        <v>0</v>
      </c>
      <c r="F10" s="8" t="s">
        <v>3</v>
      </c>
      <c r="G10" s="1"/>
    </row>
    <row r="11" spans="1:7" x14ac:dyDescent="0.25">
      <c r="A11" s="1"/>
      <c r="B11" s="117" t="s">
        <v>229</v>
      </c>
      <c r="C11" s="118"/>
      <c r="D11" s="119"/>
      <c r="E11" s="7">
        <v>0</v>
      </c>
      <c r="F11" s="8" t="s">
        <v>3</v>
      </c>
      <c r="G11" s="1"/>
    </row>
    <row r="12" spans="1:7" x14ac:dyDescent="0.25">
      <c r="A12" s="1"/>
      <c r="B12" s="135" t="s">
        <v>83</v>
      </c>
      <c r="C12" s="136"/>
      <c r="D12" s="137"/>
      <c r="E12" s="10">
        <f>E11-E10</f>
        <v>0</v>
      </c>
      <c r="F12" s="11" t="s">
        <v>3</v>
      </c>
      <c r="G12" s="1"/>
    </row>
    <row r="13" spans="1:7" x14ac:dyDescent="0.25">
      <c r="A13" s="1"/>
      <c r="B13" s="114" t="s">
        <v>78</v>
      </c>
      <c r="C13" s="115"/>
      <c r="D13" s="115"/>
      <c r="E13" s="115"/>
      <c r="F13" s="116"/>
      <c r="G13" s="1"/>
    </row>
    <row r="14" spans="1:7" x14ac:dyDescent="0.25">
      <c r="A14" s="1"/>
      <c r="B14" s="117" t="s">
        <v>230</v>
      </c>
      <c r="C14" s="118"/>
      <c r="D14" s="119"/>
      <c r="E14" s="7">
        <v>0</v>
      </c>
      <c r="F14" s="8" t="s">
        <v>3</v>
      </c>
      <c r="G14" s="1"/>
    </row>
    <row r="15" spans="1:7" x14ac:dyDescent="0.25">
      <c r="A15" s="1"/>
      <c r="B15" s="126" t="s">
        <v>231</v>
      </c>
      <c r="C15" s="127"/>
      <c r="D15" s="128"/>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Zd8CXhRNGZvx5TkJ7gyzjTqmjhSZh+zDcdM/BvvDOVdHFHjlJmxFfUOGr8683dVNbh8q1TiD1kwoP6owsbMHQ==" saltValue="/LPY59kJz1VQHoX9dU0Ll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OMDGROP5608hpjS5P1zu2KTBZoS+cV4ADiLoEbtNzlAsQQfvIaYpKFOkHA2PPCDyuKhq/XfhrBHk35RKWK/0Q==" saltValue="z2tzfLdrZ8YsYLkFUUfSj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0</v>
      </c>
      <c r="D11" s="14" t="s">
        <v>3</v>
      </c>
      <c r="E11" s="9">
        <v>2566623</v>
      </c>
      <c r="F11" s="14" t="s">
        <v>3</v>
      </c>
      <c r="G11" s="1"/>
    </row>
    <row r="12" spans="1:7" x14ac:dyDescent="0.25">
      <c r="A12" s="1"/>
      <c r="B12" s="24" t="s">
        <v>287</v>
      </c>
      <c r="C12" s="21">
        <v>994130</v>
      </c>
      <c r="D12" s="14" t="s">
        <v>3</v>
      </c>
      <c r="E12" s="9">
        <v>0</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994130</v>
      </c>
      <c r="D19" s="13" t="s">
        <v>3</v>
      </c>
      <c r="E19" s="12">
        <f>SUM(E10:E18)</f>
        <v>2566623</v>
      </c>
      <c r="F19" s="13" t="s">
        <v>3</v>
      </c>
      <c r="G19" s="1"/>
    </row>
    <row r="20" spans="1:7" x14ac:dyDescent="0.25">
      <c r="A20" s="1"/>
      <c r="B20" s="33" t="s">
        <v>233</v>
      </c>
      <c r="C20" s="12">
        <f>C19*(1+'Fane 15. Nøgletal'!C16)</f>
        <v>1074455.7039999999</v>
      </c>
      <c r="D20" s="13" t="s">
        <v>3</v>
      </c>
      <c r="E20" s="12">
        <f>E19*(1+'Fane 15. Nøgletal'!C16)</f>
        <v>2774006.1384000001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Rw17A9vUgE+UOCEK9NnBzIRnbdEGgfyro6TOZ8bhpfrJy6WhGwj8Zl3WYTmmz1vTAhYuulGN8/Cp0mwFMyFig==" saltValue="xi7p/OD8linpIHxp4rNhp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260</v>
      </c>
      <c r="C8" s="115"/>
      <c r="D8" s="115"/>
      <c r="E8" s="115"/>
      <c r="F8" s="116"/>
      <c r="G8" s="1"/>
    </row>
    <row r="9" spans="1:7" x14ac:dyDescent="0.25">
      <c r="A9" s="1"/>
      <c r="B9" s="86" t="s">
        <v>17</v>
      </c>
      <c r="C9" s="86" t="s">
        <v>11</v>
      </c>
      <c r="D9" s="87"/>
      <c r="E9" s="86" t="s">
        <v>28</v>
      </c>
      <c r="F9" s="32"/>
      <c r="G9" s="1"/>
    </row>
    <row r="10" spans="1:7" x14ac:dyDescent="0.25">
      <c r="A10" s="1"/>
      <c r="B10" s="24" t="s">
        <v>288</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Ev3bBaVnMLaHhtOxH7srtV1BQ9eMViDcIbwdGLPSMdklVCU+QubKq1bWORv8P7xFPkE3ZLV2OrXDr52vw06jg==" saltValue="874Q6HYCwhHB4880n7om0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41" t="s">
        <v>236</v>
      </c>
      <c r="C10" s="142"/>
      <c r="D10" s="143"/>
      <c r="E10" s="9">
        <v>138544.95592834029</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-2770.899118566806</v>
      </c>
      <c r="F12" s="14" t="s">
        <v>3</v>
      </c>
      <c r="G12" s="1"/>
    </row>
    <row r="13" spans="1:7" x14ac:dyDescent="0.25">
      <c r="A13" s="1"/>
      <c r="B13" s="114" t="s">
        <v>111</v>
      </c>
      <c r="C13" s="115"/>
      <c r="D13" s="116"/>
      <c r="E13" s="12">
        <f>SUM(E10:E12)*(1+'Fane 15. Nøgletal'!C16)^2</f>
        <v>158601.56432848345</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41" t="s">
        <v>236</v>
      </c>
      <c r="C16" s="142"/>
      <c r="D16" s="143"/>
      <c r="E16" s="9">
        <v>138544.95592834029</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-2770.899118566806</v>
      </c>
      <c r="F18" s="14" t="s">
        <v>3</v>
      </c>
      <c r="G18" s="1"/>
    </row>
    <row r="19" spans="1:7" x14ac:dyDescent="0.25">
      <c r="A19" s="1"/>
      <c r="B19" s="114" t="s">
        <v>125</v>
      </c>
      <c r="C19" s="115"/>
      <c r="D19" s="116"/>
      <c r="E19" s="12">
        <f>SUM(E16:E18)*(1+'Fane 15. Nøgletal'!C16)^3</f>
        <v>171416.57072622489</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41" t="s">
        <v>236</v>
      </c>
      <c r="C22" s="142"/>
      <c r="D22" s="143"/>
      <c r="E22" s="9">
        <v>138544.95592834029</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-2770.899118566806</v>
      </c>
      <c r="F24" s="14" t="s">
        <v>3</v>
      </c>
      <c r="G24" s="1"/>
    </row>
    <row r="25" spans="1:7" x14ac:dyDescent="0.25">
      <c r="A25" s="1"/>
      <c r="B25" s="114" t="s">
        <v>146</v>
      </c>
      <c r="C25" s="115"/>
      <c r="D25" s="116"/>
      <c r="E25" s="12">
        <f>SUM(E22:E24)*(1+'Fane 15. Nøgletal'!C16)^4</f>
        <v>185267.02964090387</v>
      </c>
      <c r="F25" s="13" t="s">
        <v>3</v>
      </c>
      <c r="G25" s="1"/>
    </row>
    <row r="26" spans="1:7" x14ac:dyDescent="0.25">
      <c r="A26" s="1"/>
      <c r="B26" s="1"/>
      <c r="C26" s="1"/>
      <c r="D26" s="1"/>
      <c r="E26" s="1"/>
      <c r="F26" s="1"/>
      <c r="G26" s="1"/>
    </row>
    <row r="27" spans="1:7" ht="15" customHeight="1" x14ac:dyDescent="0.25">
      <c r="A27" s="1"/>
      <c r="B27" s="114" t="s">
        <v>237</v>
      </c>
      <c r="C27" s="115"/>
      <c r="D27" s="115"/>
      <c r="E27" s="115"/>
      <c r="F27" s="116"/>
      <c r="G27" s="1"/>
    </row>
    <row r="28" spans="1:7" ht="14.25" customHeight="1" x14ac:dyDescent="0.25">
      <c r="A28" s="1"/>
      <c r="B28" s="141" t="s">
        <v>236</v>
      </c>
      <c r="C28" s="142"/>
      <c r="D28" s="143"/>
      <c r="E28" s="9">
        <v>138544.95592834029</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-2770.899118566806</v>
      </c>
      <c r="F30" s="14" t="s">
        <v>3</v>
      </c>
      <c r="G30" s="1"/>
    </row>
    <row r="31" spans="1:7" x14ac:dyDescent="0.25">
      <c r="A31" s="1"/>
      <c r="B31" s="114" t="s">
        <v>238</v>
      </c>
      <c r="C31" s="115"/>
      <c r="D31" s="116"/>
      <c r="E31" s="12">
        <f>SUM(E28:E30)*(1+'Fane 15. Nøgletal'!C16)^5</f>
        <v>200236.60563588887</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n1yEtI8A1YVxGrlbmfR6LEqNXL0JY6LTtq5WSMqqSt0AHEoy/CGZsPAWWjqw8zViJFm0Ci/5bGedyR8/6bi9A==" saltValue="TwhfnEna9vBdrmZXZQUzy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MHEr3gtRePIAeP2TCB4hJgyF8GG13/TVzWS5zgFPdTeW4BiJ8zam64s3e4QxB97ufyJ4U2zxZuaCe/WXxTLvHQ==" saltValue="31xMHvX4q5Accl+VDrsux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240</v>
      </c>
      <c r="C9" s="115"/>
      <c r="D9" s="115"/>
      <c r="E9" s="115"/>
      <c r="F9" s="116"/>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BI97VmUFV4NeMvy3LHk8V3YvhmmBg8cuBXrcxpFwTQ6lOivVoLZpch+lipJsYZw1PUTUGwipnH7cuVJoKCARw==" saltValue="Y82hHc0domJe6WoE5ESJp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25800247.437537659</v>
      </c>
      <c r="D9" s="8" t="s">
        <v>3</v>
      </c>
      <c r="E9" s="1"/>
    </row>
    <row r="10" spans="1:5" ht="17.25" customHeight="1" x14ac:dyDescent="0.25">
      <c r="A10" s="1"/>
      <c r="B10" s="88" t="s">
        <v>36</v>
      </c>
      <c r="C10" s="7">
        <f>'Fane 11.1. Varige tillæg'!C20</f>
        <v>1074455.7039999999</v>
      </c>
      <c r="D10" s="8" t="s">
        <v>3</v>
      </c>
      <c r="E10" s="1"/>
    </row>
    <row r="11" spans="1:5" ht="17.25" customHeight="1" x14ac:dyDescent="0.25">
      <c r="A11" s="1"/>
      <c r="B11" s="88" t="s">
        <v>37</v>
      </c>
      <c r="C11" s="9">
        <f>'Fane 11.1. Varige tillæg'!E20</f>
        <v>2774006.1384000001</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2395615.709818963</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-169224.05529487884</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31875100.934461743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13577404.4897344</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158601.56432848345</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-194242</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45416864.988524631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KDzC97AKWp/MkHsRZPcEFS4aJFrZMZq8S5axIzKsAqO3SrhXnDPYS78JyGM4R8YGcRKgeQKmxnxoSq/ElVRNQ==" saltValue="SCuEHQtgJmLEUFsVrbcT7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Gb+dbsWoza/CJxkJXVtvGRlV0nVH2npQlxuAHOObTCsuk77BLwqUS2gds0GUtoGQgvx6aD/IgXyS8iQJe1L5WQ==" saltValue="iYPxBbntGnrFhZldwDDu7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31875100.934461743</v>
      </c>
      <c r="D9" s="8" t="s">
        <v>3</v>
      </c>
      <c r="E9" s="1"/>
    </row>
    <row r="10" spans="1:5" ht="15" customHeight="1" x14ac:dyDescent="0.25">
      <c r="A10" s="1"/>
      <c r="B10" s="26" t="s">
        <v>19</v>
      </c>
      <c r="C10" s="7">
        <f>SUM(C9:C9)*'Fane 15. Nøgletal'!C16</f>
        <v>2575508.1555045089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-179239.41178345095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34271369.678182803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14674458.772504939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171416.57072622489</v>
      </c>
      <c r="D18" s="11" t="s">
        <v>3</v>
      </c>
      <c r="E18" s="1"/>
    </row>
    <row r="19" spans="1:5" x14ac:dyDescent="0.25">
      <c r="A19" s="1"/>
      <c r="B19" s="33" t="s">
        <v>116</v>
      </c>
      <c r="C19" s="28"/>
      <c r="D19" s="19"/>
      <c r="E19" s="1"/>
    </row>
    <row r="20" spans="1:5" ht="15" customHeight="1" x14ac:dyDescent="0.25">
      <c r="A20" s="1"/>
      <c r="B20" s="31" t="s">
        <v>138</v>
      </c>
      <c r="C20" s="10">
        <f>'Fane 7. Kontrol af ØR2022'!E31</f>
        <v>-194242</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48923003.021413967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TLpUjjILces12EMR9HvwakCHoiUK9hajrJ8Zb8lFFOhynmflKKVv0G+EqvUi43wI0gug1WS10If9u1XGU2/6w==" saltValue="3Y6qL2ui41zlyBFRa7fwR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34271369.678182803</v>
      </c>
      <c r="D9" s="8" t="s">
        <v>3</v>
      </c>
      <c r="E9" s="1"/>
    </row>
    <row r="10" spans="1:5" ht="15" customHeight="1" x14ac:dyDescent="0.25">
      <c r="A10" s="1"/>
      <c r="B10" s="26" t="s">
        <v>19</v>
      </c>
      <c r="C10" s="7">
        <f>SUM(C9:C9)*'Fane 15. Nøgletal'!C16</f>
        <v>2769126.6699971706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-189847.51713044272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36850648.831049532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15860155.041323338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185267.02964090387</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52896070.902013771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ff4aOG3YDAFUfAMo/Cu8GVHxL2QYXmDApnRQKGvQjrQ/G3+nNZ6GVGdIsP/uHIRFivcUgHawod/q1hr1U4KDg==" saltValue="+a/p9myKb47RgU3YzAnXz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36850648.831049532</v>
      </c>
      <c r="D9" s="8" t="s">
        <v>3</v>
      </c>
      <c r="E9" s="1"/>
      <c r="F9" s="1"/>
    </row>
    <row r="10" spans="1:6" ht="15" customHeight="1" x14ac:dyDescent="0.25">
      <c r="A10" s="1"/>
      <c r="B10" s="26" t="s">
        <v>19</v>
      </c>
      <c r="C10" s="7">
        <f>SUM(C9:C9)*'Fane 15. Nøgletal'!C16</f>
        <v>2977532.4255488021</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-201083.45258429085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39627097.804014042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17141655.568662263</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200236.60563588887</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56968989.978312194</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Nilzltjqv6D++7TWQ+Wqo7FRgbG+BI/+egIAeML7Me4TMb2GCgGwPkV9S8lcbjZiOIoyUYcNtuyHcc1rCvRMg==" saltValue="ZMZ5VbkcuMzoUR7Rz7zdc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26596837.199216202</v>
      </c>
      <c r="D9" s="8" t="s">
        <v>3</v>
      </c>
      <c r="E9" s="1"/>
    </row>
    <row r="10" spans="1:5" x14ac:dyDescent="0.25">
      <c r="A10" s="1"/>
      <c r="B10" s="88" t="s">
        <v>36</v>
      </c>
      <c r="C10" s="7">
        <v>0</v>
      </c>
      <c r="D10" s="8" t="s">
        <v>3</v>
      </c>
      <c r="E10" s="1"/>
    </row>
    <row r="11" spans="1:5" x14ac:dyDescent="0.25">
      <c r="A11" s="1"/>
      <c r="B11" s="88" t="s">
        <v>37</v>
      </c>
      <c r="C11" s="9">
        <v>0</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87769.562757413471</v>
      </c>
      <c r="D16" s="8" t="s">
        <v>3</v>
      </c>
      <c r="E16" s="1"/>
    </row>
    <row r="17" spans="1:5" x14ac:dyDescent="0.25">
      <c r="A17" s="1"/>
      <c r="B17" s="88" t="s">
        <v>10</v>
      </c>
      <c r="C17" s="41">
        <v>-430876.37464942614</v>
      </c>
      <c r="D17" s="8" t="s">
        <v>3</v>
      </c>
      <c r="E17" s="1"/>
    </row>
    <row r="18" spans="1:5" x14ac:dyDescent="0.25">
      <c r="A18" s="1"/>
      <c r="B18" s="88" t="s">
        <v>23</v>
      </c>
      <c r="C18" s="41">
        <v>-137840.65922183008</v>
      </c>
      <c r="D18" s="8" t="s">
        <v>3</v>
      </c>
      <c r="E18" s="1"/>
    </row>
    <row r="19" spans="1:5" x14ac:dyDescent="0.25">
      <c r="A19" s="1"/>
      <c r="B19" s="88" t="s">
        <v>24</v>
      </c>
      <c r="C19" s="41">
        <v>-315642.29056469671</v>
      </c>
      <c r="D19" s="8" t="s">
        <v>3</v>
      </c>
      <c r="E19" s="47"/>
    </row>
    <row r="20" spans="1:5" x14ac:dyDescent="0.25">
      <c r="A20" s="1"/>
      <c r="B20" s="82" t="s">
        <v>21</v>
      </c>
      <c r="C20" s="10">
        <v>25800247.437537659</v>
      </c>
      <c r="D20" s="11" t="s">
        <v>3</v>
      </c>
      <c r="E20" s="1"/>
    </row>
    <row r="21" spans="1:5" x14ac:dyDescent="0.25">
      <c r="A21" s="1"/>
      <c r="B21" s="33" t="s">
        <v>12</v>
      </c>
      <c r="C21" s="28"/>
      <c r="D21" s="19"/>
      <c r="E21" s="1"/>
    </row>
    <row r="22" spans="1:5" x14ac:dyDescent="0.25">
      <c r="A22" s="1"/>
      <c r="B22" s="31" t="s">
        <v>12</v>
      </c>
      <c r="C22" s="10">
        <v>15567081.44127408</v>
      </c>
      <c r="D22" s="11" t="s">
        <v>3</v>
      </c>
      <c r="E22" s="1"/>
    </row>
    <row r="23" spans="1:5" x14ac:dyDescent="0.25">
      <c r="A23" s="1"/>
      <c r="B23" s="33" t="s">
        <v>74</v>
      </c>
      <c r="C23" s="28"/>
      <c r="D23" s="19"/>
      <c r="E23" s="1"/>
    </row>
    <row r="24" spans="1:5" x14ac:dyDescent="0.25">
      <c r="A24" s="1"/>
      <c r="B24" s="82" t="s">
        <v>74</v>
      </c>
      <c r="C24" s="10">
        <v>142742.99115286471</v>
      </c>
      <c r="D24" s="11" t="s">
        <v>3</v>
      </c>
      <c r="E24" s="1"/>
    </row>
    <row r="25" spans="1:5" x14ac:dyDescent="0.25">
      <c r="A25" s="1"/>
      <c r="B25" s="44" t="s">
        <v>73</v>
      </c>
      <c r="C25" s="42"/>
      <c r="D25" s="43"/>
      <c r="E25" s="1"/>
    </row>
    <row r="26" spans="1:5" x14ac:dyDescent="0.25">
      <c r="A26" s="1"/>
      <c r="B26" s="88" t="s">
        <v>158</v>
      </c>
      <c r="C26" s="69">
        <v>973683.4639377601</v>
      </c>
      <c r="D26" s="8" t="s">
        <v>3</v>
      </c>
      <c r="E26" s="1"/>
    </row>
    <row r="27" spans="1:5" x14ac:dyDescent="0.25">
      <c r="A27" s="1"/>
      <c r="B27" s="88" t="s">
        <v>70</v>
      </c>
      <c r="C27" s="69">
        <v>0</v>
      </c>
      <c r="D27" s="8" t="s">
        <v>3</v>
      </c>
      <c r="E27" s="1"/>
    </row>
    <row r="28" spans="1:5" x14ac:dyDescent="0.25">
      <c r="A28" s="1"/>
      <c r="B28" s="88" t="s">
        <v>161</v>
      </c>
      <c r="C28" s="69">
        <v>-35195.737238754176</v>
      </c>
      <c r="D28" s="8" t="s">
        <v>3</v>
      </c>
      <c r="E28" s="1"/>
    </row>
    <row r="29" spans="1:5" x14ac:dyDescent="0.25">
      <c r="A29" s="1"/>
      <c r="B29" s="88" t="s">
        <v>162</v>
      </c>
      <c r="C29" s="69">
        <v>0</v>
      </c>
      <c r="D29" s="8" t="s">
        <v>3</v>
      </c>
      <c r="E29" s="1"/>
    </row>
    <row r="30" spans="1:5" x14ac:dyDescent="0.25">
      <c r="A30" s="1"/>
      <c r="B30" s="70" t="s">
        <v>75</v>
      </c>
      <c r="C30" s="10">
        <v>938487.72669900593</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42448559.596663609</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tXYB3URZLlTZS3G7kaS6nazk5HaDgjYFCTyodVAAGLg08O4mkwcUI41RbacUqy5uJU9J9PeeebZhroqXxLaBg==" saltValue="Xg4BIVPb/k7i1HSUA4k7S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4" t="s">
        <v>46</v>
      </c>
      <c r="C4" s="115"/>
      <c r="D4" s="115"/>
      <c r="E4" s="115"/>
      <c r="F4" s="115"/>
      <c r="G4" s="115"/>
      <c r="H4" s="116"/>
      <c r="I4" s="1"/>
    </row>
    <row r="5" spans="1:9" x14ac:dyDescent="0.25">
      <c r="A5" s="1"/>
      <c r="B5" s="117" t="s">
        <v>38</v>
      </c>
      <c r="C5" s="118"/>
      <c r="D5" s="118"/>
      <c r="E5" s="118"/>
      <c r="F5" s="119"/>
      <c r="G5" s="63">
        <v>6721990.5510394657</v>
      </c>
      <c r="H5" s="14" t="s">
        <v>3</v>
      </c>
      <c r="I5" s="1"/>
    </row>
    <row r="6" spans="1:9" x14ac:dyDescent="0.25">
      <c r="A6" s="1"/>
      <c r="B6" s="126" t="s">
        <v>102</v>
      </c>
      <c r="C6" s="127"/>
      <c r="D6" s="127"/>
      <c r="E6" s="127"/>
      <c r="F6" s="128"/>
      <c r="G6" s="66">
        <v>129304</v>
      </c>
      <c r="H6" s="14" t="s">
        <v>3</v>
      </c>
      <c r="I6" s="1"/>
    </row>
    <row r="7" spans="1:9" x14ac:dyDescent="0.25">
      <c r="A7" s="1"/>
      <c r="B7" s="117" t="s">
        <v>39</v>
      </c>
      <c r="C7" s="118"/>
      <c r="D7" s="118"/>
      <c r="E7" s="118"/>
      <c r="F7" s="119"/>
      <c r="G7" s="23">
        <f>SUM(G5:G6)*'Fane 15. Nøgletal'!C33</f>
        <v>137025.89102078931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6700201.5415690029</v>
      </c>
      <c r="H11" s="14" t="s">
        <v>3</v>
      </c>
      <c r="I11" s="1"/>
    </row>
    <row r="12" spans="1:9" ht="15" customHeight="1" x14ac:dyDescent="0.25">
      <c r="A12" s="1"/>
      <c r="B12" s="117" t="s">
        <v>103</v>
      </c>
      <c r="C12" s="118"/>
      <c r="D12" s="118"/>
      <c r="E12" s="118"/>
      <c r="F12" s="119"/>
      <c r="G12" s="66">
        <v>352568.46109080839</v>
      </c>
      <c r="H12" s="14" t="s">
        <v>3</v>
      </c>
      <c r="I12" s="1"/>
    </row>
    <row r="13" spans="1:9" x14ac:dyDescent="0.25">
      <c r="A13" s="1"/>
      <c r="B13" s="126" t="s">
        <v>100</v>
      </c>
      <c r="C13" s="127"/>
      <c r="D13" s="127"/>
      <c r="E13" s="127"/>
      <c r="F13" s="128"/>
      <c r="G13" s="66">
        <v>131566.82</v>
      </c>
      <c r="H13" s="14" t="s">
        <v>3</v>
      </c>
      <c r="I13" s="1"/>
    </row>
    <row r="14" spans="1:9" x14ac:dyDescent="0.25">
      <c r="A14" s="1"/>
      <c r="B14" s="123" t="s">
        <v>244</v>
      </c>
      <c r="C14" s="124"/>
      <c r="D14" s="124"/>
      <c r="E14" s="124"/>
      <c r="F14" s="125"/>
      <c r="G14" s="66">
        <v>0</v>
      </c>
      <c r="H14" s="14" t="s">
        <v>3</v>
      </c>
      <c r="I14" s="1"/>
    </row>
    <row r="15" spans="1:9" x14ac:dyDescent="0.25">
      <c r="A15" s="1"/>
      <c r="B15" s="117" t="s">
        <v>41</v>
      </c>
      <c r="C15" s="118"/>
      <c r="D15" s="118"/>
      <c r="E15" s="118"/>
      <c r="F15" s="119"/>
      <c r="G15" s="23">
        <f>SUM(G11:G14)*'Fane 15. Nøgletal'!C33</f>
        <v>143686.73645319624</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7029992.2233652314</v>
      </c>
      <c r="H19" s="14" t="s">
        <v>3</v>
      </c>
      <c r="I19" s="1"/>
    </row>
    <row r="20" spans="1:9" x14ac:dyDescent="0.25">
      <c r="A20" s="1"/>
      <c r="B20" s="123" t="s">
        <v>245</v>
      </c>
      <c r="C20" s="124"/>
      <c r="D20" s="124"/>
      <c r="E20" s="124"/>
      <c r="F20" s="125"/>
      <c r="G20" s="66">
        <v>0</v>
      </c>
      <c r="H20" s="14" t="s">
        <v>3</v>
      </c>
      <c r="I20" s="1"/>
    </row>
    <row r="21" spans="1:9" x14ac:dyDescent="0.25">
      <c r="A21" s="1"/>
      <c r="B21" s="117" t="s">
        <v>43</v>
      </c>
      <c r="C21" s="118"/>
      <c r="D21" s="118"/>
      <c r="E21" s="118"/>
      <c r="F21" s="119"/>
      <c r="G21" s="23">
        <f>SUM(G19:G20)*'Fane 15. Nøgletal'!C33</f>
        <v>140599.84446730462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7025113.4087622166</v>
      </c>
      <c r="H25" s="14" t="s">
        <v>3</v>
      </c>
      <c r="I25" s="1"/>
    </row>
    <row r="26" spans="1:9" x14ac:dyDescent="0.25">
      <c r="A26" s="1"/>
      <c r="B26" s="123" t="s">
        <v>246</v>
      </c>
      <c r="C26" s="124"/>
      <c r="D26" s="124"/>
      <c r="E26" s="124"/>
      <c r="F26" s="125"/>
      <c r="G26" s="66">
        <v>17127.389418480001</v>
      </c>
      <c r="H26" s="14" t="s">
        <v>3</v>
      </c>
      <c r="I26" s="1"/>
    </row>
    <row r="27" spans="1:9" x14ac:dyDescent="0.25">
      <c r="A27" s="1"/>
      <c r="B27" s="117" t="s">
        <v>45</v>
      </c>
      <c r="C27" s="118"/>
      <c r="D27" s="118"/>
      <c r="E27" s="118"/>
      <c r="F27" s="119"/>
      <c r="G27" s="23">
        <f>(G25+G26)*'Fane 15. Nøgletal'!C33</f>
        <v>140844.81596361395</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7037353.48306676</v>
      </c>
      <c r="H31" s="14" t="s">
        <v>3</v>
      </c>
      <c r="I31" s="1"/>
    </row>
    <row r="32" spans="1:9" x14ac:dyDescent="0.25">
      <c r="A32" s="1"/>
      <c r="B32" s="117" t="s">
        <v>243</v>
      </c>
      <c r="C32" s="118"/>
      <c r="D32" s="118"/>
      <c r="E32" s="118"/>
      <c r="F32" s="119"/>
      <c r="G32" s="63">
        <v>91727.857645199998</v>
      </c>
      <c r="H32" s="14" t="s">
        <v>3</v>
      </c>
      <c r="I32" s="1"/>
    </row>
    <row r="33" spans="1:9" x14ac:dyDescent="0.25">
      <c r="A33" s="1"/>
      <c r="B33" s="117" t="s">
        <v>54</v>
      </c>
      <c r="C33" s="118"/>
      <c r="D33" s="118"/>
      <c r="E33" s="118"/>
      <c r="F33" s="119"/>
      <c r="G33" s="23">
        <f>(G31+G32)*'Fane 15. Nøgletal'!C33</f>
        <v>142581.62681423919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7009555.1629535826</v>
      </c>
      <c r="H37" s="14" t="s">
        <v>3</v>
      </c>
      <c r="I37" s="1"/>
    </row>
    <row r="38" spans="1:9" x14ac:dyDescent="0.25">
      <c r="A38" s="1"/>
      <c r="B38" s="117" t="s">
        <v>242</v>
      </c>
      <c r="C38" s="118"/>
      <c r="D38" s="118"/>
      <c r="E38" s="118"/>
      <c r="F38" s="119"/>
      <c r="G38" s="63">
        <v>0</v>
      </c>
      <c r="H38" s="14" t="s">
        <v>3</v>
      </c>
      <c r="I38" s="1"/>
    </row>
    <row r="39" spans="1:9" x14ac:dyDescent="0.25">
      <c r="A39" s="1"/>
      <c r="B39" s="117" t="s">
        <v>128</v>
      </c>
      <c r="C39" s="118"/>
      <c r="D39" s="118"/>
      <c r="E39" s="118"/>
      <c r="F39" s="119"/>
      <c r="G39" s="23">
        <f>(G37+G38)*'Fane 15. Nøgletal'!C33</f>
        <v>140191.10325907165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6892032.9610915035</v>
      </c>
      <c r="H43" s="14" t="s">
        <v>3</v>
      </c>
      <c r="I43" s="1"/>
    </row>
    <row r="44" spans="1:9" x14ac:dyDescent="0.25">
      <c r="A44" s="1"/>
      <c r="B44" s="120" t="s">
        <v>157</v>
      </c>
      <c r="C44" s="121"/>
      <c r="D44" s="121"/>
      <c r="E44" s="121"/>
      <c r="F44" s="122"/>
      <c r="G44" s="63">
        <v>0</v>
      </c>
      <c r="H44" s="14" t="s">
        <v>3</v>
      </c>
      <c r="I44" s="1"/>
    </row>
    <row r="45" spans="1:9" x14ac:dyDescent="0.25">
      <c r="A45" s="1"/>
      <c r="B45" s="117" t="s">
        <v>129</v>
      </c>
      <c r="C45" s="118"/>
      <c r="D45" s="118"/>
      <c r="E45" s="118"/>
      <c r="F45" s="119"/>
      <c r="G45" s="23">
        <f>SUM(G43:G44)*'Fane 15. Nøgletal'!C33</f>
        <v>137840.65922183008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7299931.0398607431</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1161271.7248831999</v>
      </c>
      <c r="H53" s="14" t="s">
        <v>3</v>
      </c>
      <c r="I53" s="1"/>
    </row>
    <row r="54" spans="1:9" x14ac:dyDescent="0.25">
      <c r="A54" s="1"/>
      <c r="B54" s="117" t="s">
        <v>210</v>
      </c>
      <c r="C54" s="118"/>
      <c r="D54" s="118"/>
      <c r="E54" s="118"/>
      <c r="F54" s="119"/>
      <c r="G54" s="23">
        <f>(G52)*'Fane 15. Nøgletal'!C33+(G53)*'Fane 15. Nøgletal'!C33</f>
        <v>169224.05529487884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8" t="s">
        <v>212</v>
      </c>
      <c r="C58" s="79"/>
      <c r="D58" s="79"/>
      <c r="E58" s="79"/>
      <c r="F58" s="80"/>
      <c r="G58" s="23">
        <f>(G52+G53-G54)*(1+'Fane 15. Nøgletal'!C16)</f>
        <v>8961970.5891725477</v>
      </c>
      <c r="H58" s="14" t="s">
        <v>3</v>
      </c>
      <c r="I58" s="1"/>
    </row>
    <row r="59" spans="1:9" x14ac:dyDescent="0.25">
      <c r="A59" s="1"/>
      <c r="B59" s="78" t="s">
        <v>211</v>
      </c>
      <c r="C59" s="79"/>
      <c r="D59" s="79"/>
      <c r="E59" s="79"/>
      <c r="F59" s="80"/>
      <c r="G59" s="23">
        <f>(G58)*'Fane 15. Nøgletal'!C33</f>
        <v>179239.41178345095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256</v>
      </c>
      <c r="C62" s="115"/>
      <c r="D62" s="115"/>
      <c r="E62" s="115"/>
      <c r="F62" s="115"/>
      <c r="G62" s="115"/>
      <c r="H62" s="116"/>
      <c r="I62" s="1"/>
    </row>
    <row r="63" spans="1:9" x14ac:dyDescent="0.25">
      <c r="A63" s="1"/>
      <c r="B63" s="78" t="s">
        <v>213</v>
      </c>
      <c r="C63" s="79"/>
      <c r="D63" s="79"/>
      <c r="E63" s="79"/>
      <c r="F63" s="80"/>
      <c r="G63" s="23">
        <f>(G58-G59)*(1+'Fane 15. Nøgletal'!C16)</f>
        <v>9492375.8565221354</v>
      </c>
      <c r="H63" s="14" t="s">
        <v>3</v>
      </c>
      <c r="I63" s="1"/>
    </row>
    <row r="64" spans="1:9" x14ac:dyDescent="0.25">
      <c r="A64" s="1"/>
      <c r="B64" s="78" t="s">
        <v>214</v>
      </c>
      <c r="C64" s="79"/>
      <c r="D64" s="79"/>
      <c r="E64" s="79"/>
      <c r="F64" s="80"/>
      <c r="G64" s="23">
        <f>(G63)*'Fane 15. Nøgletal'!C33</f>
        <v>189847.51713044272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257</v>
      </c>
      <c r="C67" s="115"/>
      <c r="D67" s="115"/>
      <c r="E67" s="115"/>
      <c r="F67" s="115"/>
      <c r="G67" s="115"/>
      <c r="H67" s="116"/>
      <c r="I67" s="1"/>
    </row>
    <row r="68" spans="1:9" x14ac:dyDescent="0.25">
      <c r="A68" s="1"/>
      <c r="B68" s="78" t="s">
        <v>213</v>
      </c>
      <c r="C68" s="79"/>
      <c r="D68" s="79"/>
      <c r="E68" s="79"/>
      <c r="F68" s="80"/>
      <c r="G68" s="23">
        <f>(G63-G64)*(1+'Fane 15. Nøgletal'!C16)</f>
        <v>10054172.629214542</v>
      </c>
      <c r="H68" s="14" t="s">
        <v>3</v>
      </c>
      <c r="I68" s="1"/>
    </row>
    <row r="69" spans="1:9" x14ac:dyDescent="0.25">
      <c r="A69" s="1"/>
      <c r="B69" s="78" t="s">
        <v>214</v>
      </c>
      <c r="C69" s="79"/>
      <c r="D69" s="79"/>
      <c r="E69" s="79"/>
      <c r="F69" s="80"/>
      <c r="G69" s="23">
        <f>(G68)*'Fane 15. Nøgletal'!C33</f>
        <v>201083.45258429085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rw+VOTke13tNRtdDz2Fn8+0fp6skCdaqVJdNAdzH7K+cxyp7gVowRKAX5mRXvXTOE6SmXX2erNFw7ffGAEVv6g==" saltValue="8IXXhhTxkYVW+mbQygkDBA=="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4" t="s">
        <v>50</v>
      </c>
      <c r="C4" s="115"/>
      <c r="D4" s="115"/>
      <c r="E4" s="115"/>
      <c r="F4" s="115"/>
      <c r="G4" s="115"/>
      <c r="H4" s="116"/>
      <c r="I4" s="1"/>
    </row>
    <row r="5" spans="1:9" x14ac:dyDescent="0.25">
      <c r="A5" s="1"/>
      <c r="B5" s="117" t="s">
        <v>55</v>
      </c>
      <c r="C5" s="118"/>
      <c r="D5" s="118"/>
      <c r="E5" s="118"/>
      <c r="F5" s="119"/>
      <c r="G5" s="63">
        <v>0</v>
      </c>
      <c r="H5" s="14" t="s">
        <v>3</v>
      </c>
      <c r="I5" s="1"/>
    </row>
    <row r="6" spans="1:9" x14ac:dyDescent="0.25">
      <c r="A6" s="1"/>
      <c r="B6" s="117" t="s">
        <v>51</v>
      </c>
      <c r="C6" s="118"/>
      <c r="D6" s="118"/>
      <c r="E6" s="118"/>
      <c r="F6" s="119"/>
      <c r="G6" s="63">
        <v>0</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63">
        <v>0</v>
      </c>
      <c r="H10" s="14" t="s">
        <v>3</v>
      </c>
      <c r="I10" s="1"/>
    </row>
    <row r="11" spans="1:9" x14ac:dyDescent="0.25">
      <c r="A11" s="1"/>
      <c r="B11" s="117" t="s">
        <v>104</v>
      </c>
      <c r="C11" s="118"/>
      <c r="D11" s="118"/>
      <c r="E11" s="118"/>
      <c r="F11" s="119"/>
      <c r="G11" s="63">
        <v>0</v>
      </c>
      <c r="H11" s="14" t="s">
        <v>3</v>
      </c>
      <c r="I11" s="1"/>
    </row>
    <row r="12" spans="1:9" x14ac:dyDescent="0.25">
      <c r="A12" s="1"/>
      <c r="B12" s="123" t="s">
        <v>247</v>
      </c>
      <c r="C12" s="124"/>
      <c r="D12" s="124"/>
      <c r="E12" s="124"/>
      <c r="F12" s="125"/>
      <c r="G12" s="63">
        <v>0</v>
      </c>
      <c r="H12" s="14" t="s">
        <v>3</v>
      </c>
      <c r="I12" s="1"/>
    </row>
    <row r="13" spans="1:9" x14ac:dyDescent="0.25">
      <c r="A13" s="1"/>
      <c r="B13" s="117" t="s">
        <v>58</v>
      </c>
      <c r="C13" s="118"/>
      <c r="D13" s="118"/>
      <c r="E13" s="118"/>
      <c r="F13" s="119"/>
      <c r="G13" s="63">
        <v>0</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63">
        <v>0</v>
      </c>
      <c r="H17" s="14" t="s">
        <v>3</v>
      </c>
      <c r="I17" s="1"/>
    </row>
    <row r="18" spans="1:9" x14ac:dyDescent="0.25">
      <c r="A18" s="1"/>
      <c r="B18" s="123" t="s">
        <v>248</v>
      </c>
      <c r="C18" s="124"/>
      <c r="D18" s="124"/>
      <c r="E18" s="124"/>
      <c r="F18" s="125"/>
      <c r="G18" s="63">
        <v>0</v>
      </c>
      <c r="H18" s="14" t="s">
        <v>3</v>
      </c>
      <c r="I18" s="1"/>
    </row>
    <row r="19" spans="1:9" x14ac:dyDescent="0.25">
      <c r="A19" s="1"/>
      <c r="B19" s="117" t="s">
        <v>61</v>
      </c>
      <c r="C19" s="118"/>
      <c r="D19" s="118"/>
      <c r="E19" s="118"/>
      <c r="F19" s="119"/>
      <c r="G19" s="63">
        <v>0</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63">
        <v>0</v>
      </c>
      <c r="H23" s="14" t="s">
        <v>3</v>
      </c>
      <c r="I23" s="1"/>
    </row>
    <row r="24" spans="1:9" x14ac:dyDescent="0.25">
      <c r="A24" s="1"/>
      <c r="B24" s="123" t="s">
        <v>249</v>
      </c>
      <c r="C24" s="124"/>
      <c r="D24" s="124"/>
      <c r="E24" s="124"/>
      <c r="F24" s="125"/>
      <c r="G24" s="63">
        <v>0</v>
      </c>
      <c r="H24" s="14" t="s">
        <v>3</v>
      </c>
      <c r="I24" s="1"/>
    </row>
    <row r="25" spans="1:9" x14ac:dyDescent="0.25">
      <c r="A25" s="1"/>
      <c r="B25" s="117" t="s">
        <v>64</v>
      </c>
      <c r="C25" s="118"/>
      <c r="D25" s="118"/>
      <c r="E25" s="118"/>
      <c r="F25" s="119"/>
      <c r="G25" s="63">
        <v>0</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63">
        <v>0</v>
      </c>
      <c r="H29" s="14" t="s">
        <v>3</v>
      </c>
      <c r="I29" s="1"/>
    </row>
    <row r="30" spans="1:9" x14ac:dyDescent="0.25">
      <c r="A30" s="1"/>
      <c r="B30" s="117" t="s">
        <v>250</v>
      </c>
      <c r="C30" s="118"/>
      <c r="D30" s="118"/>
      <c r="E30" s="118"/>
      <c r="F30" s="119"/>
      <c r="G30" s="63">
        <v>0</v>
      </c>
      <c r="H30" s="14" t="s">
        <v>3</v>
      </c>
      <c r="I30" s="1"/>
    </row>
    <row r="31" spans="1:9" x14ac:dyDescent="0.25">
      <c r="A31" s="1"/>
      <c r="B31" s="117" t="s">
        <v>67</v>
      </c>
      <c r="C31" s="118"/>
      <c r="D31" s="118"/>
      <c r="E31" s="118"/>
      <c r="F31" s="119"/>
      <c r="G31" s="63">
        <v>0</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215</v>
      </c>
      <c r="C35" s="118"/>
      <c r="D35" s="118"/>
      <c r="E35" s="118"/>
      <c r="F35" s="119"/>
      <c r="G35" s="63">
        <v>0</v>
      </c>
      <c r="H35" s="14" t="s">
        <v>3</v>
      </c>
      <c r="I35" s="1"/>
    </row>
    <row r="36" spans="1:9" x14ac:dyDescent="0.25">
      <c r="A36" s="1"/>
      <c r="B36" s="117" t="s">
        <v>251</v>
      </c>
      <c r="C36" s="118"/>
      <c r="D36" s="118"/>
      <c r="E36" s="118"/>
      <c r="F36" s="119"/>
      <c r="G36" s="63">
        <v>0</v>
      </c>
      <c r="H36" s="14" t="s">
        <v>3</v>
      </c>
      <c r="I36" s="1"/>
    </row>
    <row r="37" spans="1:9" x14ac:dyDescent="0.25">
      <c r="A37" s="1"/>
      <c r="B37" s="117" t="s">
        <v>131</v>
      </c>
      <c r="C37" s="118"/>
      <c r="D37" s="118"/>
      <c r="E37" s="118"/>
      <c r="F37" s="119"/>
      <c r="G37" s="63">
        <v>0</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216</v>
      </c>
      <c r="C41" s="118"/>
      <c r="D41" s="118"/>
      <c r="E41" s="118"/>
      <c r="F41" s="119"/>
      <c r="G41" s="63">
        <v>0</v>
      </c>
      <c r="H41" s="14" t="s">
        <v>3</v>
      </c>
      <c r="I41" s="1"/>
    </row>
    <row r="42" spans="1:9" x14ac:dyDescent="0.25">
      <c r="A42" s="1"/>
      <c r="B42" s="40" t="s">
        <v>156</v>
      </c>
      <c r="C42" s="79"/>
      <c r="D42" s="79"/>
      <c r="E42" s="79"/>
      <c r="F42" s="80"/>
      <c r="G42" s="63">
        <v>0</v>
      </c>
      <c r="H42" s="14" t="s">
        <v>3</v>
      </c>
      <c r="I42" s="1"/>
    </row>
    <row r="43" spans="1:9" x14ac:dyDescent="0.25">
      <c r="A43" s="1"/>
      <c r="B43" s="117" t="s">
        <v>132</v>
      </c>
      <c r="C43" s="118"/>
      <c r="D43" s="118"/>
      <c r="E43" s="118"/>
      <c r="F43" s="119"/>
      <c r="G43" s="63">
        <v>0</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259</v>
      </c>
      <c r="C52" s="115"/>
      <c r="D52" s="115"/>
      <c r="E52" s="115"/>
      <c r="F52" s="115"/>
      <c r="G52" s="115"/>
      <c r="H52" s="116"/>
      <c r="I52" s="1"/>
    </row>
    <row r="53" spans="1:9" x14ac:dyDescent="0.25">
      <c r="A53" s="1"/>
      <c r="B53" s="117" t="s">
        <v>217</v>
      </c>
      <c r="C53" s="118"/>
      <c r="D53" s="118"/>
      <c r="E53" s="118"/>
      <c r="F53" s="119"/>
      <c r="G53" s="63">
        <v>0</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2998145.8343827198</v>
      </c>
      <c r="H54" s="14" t="s">
        <v>3</v>
      </c>
      <c r="I54" s="1"/>
    </row>
    <row r="55" spans="1:9" x14ac:dyDescent="0.25">
      <c r="A55" s="1"/>
      <c r="B55" s="117" t="s">
        <v>218</v>
      </c>
      <c r="C55" s="118"/>
      <c r="D55" s="118"/>
      <c r="E55" s="118"/>
      <c r="F55" s="119"/>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258</v>
      </c>
      <c r="C58" s="115"/>
      <c r="D58" s="115"/>
      <c r="E58" s="115"/>
      <c r="F58" s="115"/>
      <c r="G58" s="115"/>
      <c r="H58" s="116"/>
      <c r="I58" s="1"/>
    </row>
    <row r="59" spans="1:9" x14ac:dyDescent="0.25">
      <c r="A59" s="1"/>
      <c r="B59" s="117" t="s">
        <v>219</v>
      </c>
      <c r="C59" s="118"/>
      <c r="D59" s="118"/>
      <c r="E59" s="118"/>
      <c r="F59" s="119"/>
      <c r="G59" s="23">
        <f>(G53+G54-G55)*(1+'Fane 15. Nøgletal'!C16)</f>
        <v>3240396.0178008433</v>
      </c>
      <c r="H59" s="14" t="s">
        <v>3</v>
      </c>
      <c r="I59" s="1"/>
    </row>
    <row r="60" spans="1:9" x14ac:dyDescent="0.25">
      <c r="A60" s="1"/>
      <c r="B60" s="117" t="s">
        <v>220</v>
      </c>
      <c r="C60" s="118"/>
      <c r="D60" s="118"/>
      <c r="E60" s="118"/>
      <c r="F60" s="119"/>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221</v>
      </c>
      <c r="C64" s="118"/>
      <c r="D64" s="118"/>
      <c r="E64" s="118"/>
      <c r="F64" s="119"/>
      <c r="G64" s="23">
        <f>(G59-G60)*(1+'Fane 15. Nøgletal'!C16)</f>
        <v>3502220.0160391512</v>
      </c>
      <c r="H64" s="14" t="s">
        <v>3</v>
      </c>
      <c r="I64" s="1"/>
    </row>
    <row r="65" spans="1:9" x14ac:dyDescent="0.25">
      <c r="A65" s="1"/>
      <c r="B65" s="117" t="s">
        <v>222</v>
      </c>
      <c r="C65" s="118"/>
      <c r="D65" s="118"/>
      <c r="E65" s="118"/>
      <c r="F65" s="119"/>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223</v>
      </c>
      <c r="C68" s="115"/>
      <c r="D68" s="115"/>
      <c r="E68" s="115"/>
      <c r="F68" s="115"/>
      <c r="G68" s="115"/>
      <c r="H68" s="116"/>
      <c r="I68" s="1"/>
    </row>
    <row r="69" spans="1:9" x14ac:dyDescent="0.25">
      <c r="A69" s="1"/>
      <c r="B69" s="117" t="s">
        <v>221</v>
      </c>
      <c r="C69" s="118"/>
      <c r="D69" s="118"/>
      <c r="E69" s="118"/>
      <c r="F69" s="119"/>
      <c r="G69" s="23">
        <f>(G64-G65)*(1+'Fane 15. Nøgletal'!C16)</f>
        <v>3785199.3933351147</v>
      </c>
      <c r="H69" s="14" t="s">
        <v>3</v>
      </c>
      <c r="I69" s="1"/>
    </row>
    <row r="70" spans="1:9" x14ac:dyDescent="0.25">
      <c r="A70" s="1"/>
      <c r="B70" s="117" t="s">
        <v>222</v>
      </c>
      <c r="C70" s="118"/>
      <c r="D70" s="118"/>
      <c r="E70" s="118"/>
      <c r="F70" s="119"/>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PTC2sGF1ZRCcnUkZJFJmhLlDoNGaSKI9bccXXIIWQMS7ZGywKnVUCPUmoAMu4UMIKfPC0of8LjgN9DRCgPvmPA==" saltValue="ktzO3RaGCForEW1B1VnQBw=="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271</v>
      </c>
      <c r="C9" s="118"/>
      <c r="D9" s="118"/>
      <c r="E9" s="118"/>
      <c r="F9" s="119"/>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y7URgNSHB9bWrOP8egykOLJ+ChOXZlqcqfOr2V3cExN4weAFp+R493iM2edXggHNdkLP3/XAknqfVIxAR+0FFg==" saltValue="P4NgRBCRm2iwl5TW1UNzo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2023-11-20T12:09:32Z</dcterms:modified>
</cp:coreProperties>
</file>