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Sønderborg Spildevandsforsyning AS (S093)\ØR2025\"/>
    </mc:Choice>
  </mc:AlternateContent>
  <xr:revisionPtr revIDLastSave="0" documentId="13_ncr:1_{8EFE6892-285F-45B6-B5CD-CC1B92C817F5}"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9" i="20" l="1"/>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18" i="19"/>
  <c r="C19"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<sst xmlns="http://schemas.openxmlformats.org/spreadsheetml/2006/main" count="553" uniqueCount="240">
  <si>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</si>
  <si>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</si>
  <si>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</si>
  <si>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</si>
  <si>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</si>
  <si>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</si>
  <si>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</si>
  <si>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</si>
  <si>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</si>
  <si>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</si>
  <si>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</si>
  <si>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</si>
  <si>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</si>
  <si>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</si>
  <si>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</si>
  <si>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</si>
  <si>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</si>
  <si>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</si>
  <si>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</si>
  <si>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</si>
  <si>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</si>
  <si>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</si>
  <si>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</si>
  <si>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</si>
  <si>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</si>
  <si>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</si>
  <si>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</si>
  <si>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</si>
  <si>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</si>
  <si>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</si>
  <si>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</si>
  <si>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</si>
  <si>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</si>
  <si>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</si>
  <si>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</si>
  <si>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</si>
  <si>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</si>
  <si>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</si>
  <si>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</si>
  <si>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</si>
  <si>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</si>
  <si>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</si>
  <si>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</si>
  <si>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</si>
  <si>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</si>
  <si>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</si>
  <si>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</si>
  <si>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</si>
  <si>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</si>
  <si>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</si>
  <si>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</si>
  <si>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</si>
  <si>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</si>
  <si>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</si>
  <si>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</si>
  <si>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</si>
  <si>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</si>
  <si>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</si>
  <si>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</si>
  <si>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</si>
  <si>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</si>
  <si>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</si>
  <si>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</si>
  <si>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</si>
  <si>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</si>
  <si>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</si>
  <si>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</si>
  <si>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</si>
  <si>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</si>
  <si>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</si>
  <si>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</si>
  <si>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</si>
  <si>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</si>
  <si>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</si>
  <si>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</si>
  <si>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</si>
  <si>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</si>
  <si>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</si>
  <si>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</si>
  <si>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</si>
  <si>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</si>
  <si>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</si>
  <si>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</si>
  <si>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</si>
  <si>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</si>
  <si>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</si>
  <si>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</si>
  <si>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</si>
  <si>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</si>
  <si>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</si>
  <si>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</si>
  <si>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</si>
  <si>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</si>
  <si>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</si>
  <si>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</si>
  <si>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</si>
  <si>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</si>
  <si>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</si>
  <si>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</si>
  <si>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</si>
  <si>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</si>
  <si>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</si>
  <si>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</si>
  <si>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</si>
  <si>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</si>
  <si>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</si>
  <si>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</si>
  <si>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</si>
  <si>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</si>
  <si>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</si>
  <si>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</si>
  <si>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</si>
  <si>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</si>
  <si>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</si>
  <si>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</si>
  <si>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</si>
  <si>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</si>
  <si>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</si>
  <si>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</si>
  <si>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</si>
  <si>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</si>
  <si>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</si>
  <si>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</si>
  <si>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</si>
  <si>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</si>
  <si>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</si>
  <si>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</si>
  <si>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</si>
  <si>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</si>
  <si>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</si>
  <si>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</si>
  <si>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</si>
  <si>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</si>
  <si>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</si>
  <si>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</si>
  <si>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</si>
  <si>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</si>
  <si>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</si>
  <si>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</si>
  <si>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</si>
  <si>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</si>
  <si>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</si>
  <si>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</si>
  <si>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</si>
  <si>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</si>
  <si>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</si>
  <si>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</si>
  <si>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</si>
  <si>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</si>
  <si>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</si>
  <si>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</si>
  <si>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</si>
  <si>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</si>
  <si>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</si>
  <si>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</si>
  <si>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</si>
  <si>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</si>
  <si>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</si>
  <si>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</si>
  <si>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</si>
  <si>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</si>
  <si>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</si>
  <si>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</si>
  <si>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</si>
  <si>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</si>
  <si>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</si>
  <si>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</si>
  <si>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</si>
  <si>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</si>
  <si>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</si>
  <si>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</si>
  <si>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</si>
  <si>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</si>
  <si>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</si>
  <si>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</si>
  <si>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</si>
  <si>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</si>
  <si>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</si>
  <si>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</si>
  <si>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</si>
  <si>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</si>
  <si>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</si>
  <si>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</si>
  <si>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</si>
  <si>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</si>
  <si>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</si>
  <si>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</si>
  <si>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</si>
  <si>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</si>
  <si>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</si>
  <si>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</si>
  <si>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</si>
  <si>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</si>
  <si>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</si>
  <si>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</si>
  <si>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</si>
  <si>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</si>
  <si>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</si>
  <si>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</si>
  <si>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</si>
  <si>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</si>
  <si>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</si>
  <si>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</si>
  <si>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</si>
  <si>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</si>
  <si>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</si>
  <si>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</si>
  <si>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</si>
  <si>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</si>
  <si>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</si>
  <si>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</si>
  <si>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</si>
  <si>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</si>
  <si>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</si>
  <si>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</si>
  <si>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</si>
  <si>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</si>
  <si>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</si>
  <si>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</si>
  <si>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</si>
  <si>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</si>
  <si>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</si>
  <si>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</si>
  <si>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</si>
  <si>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</si>
  <si>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</si>
  <si>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</si>
  <si>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</si>
  <si>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</si>
  <si>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Kloakering samlet 2023</t>
  </si>
  <si>
    <t>Separatkloakeringer samlet for 2023</t>
  </si>
  <si>
    <t>Minirens samlet for 2023</t>
  </si>
  <si>
    <t>Nye Kunder tillæg, øget driftsomkostninger 2023</t>
  </si>
  <si>
    <t>Ingen engangstillæg</t>
  </si>
  <si>
    <t>Spildevandsafgift</t>
  </si>
  <si>
    <t>Afgift til Forsyningssekretariatet</t>
  </si>
  <si>
    <t>Køb af ydelser og produkter fra andre vandselskaber reguleret af vandsektorloven</t>
  </si>
  <si>
    <t>Ejendomsskatter</t>
  </si>
  <si>
    <t>Erstatninger</t>
  </si>
  <si>
    <t>Gebyr til Miljøstyrelsen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</si>
</sst>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7" t="s">
        <v>4</v>
      </c>
      <c r="D6" s="87"/>
      <c r="E6" s="87"/>
      <c r="F6" s="87"/>
      <c r="G6" s="3"/>
    </row>
    <row r="7" spans="1:7" ht="15" customHeight="1" x14ac:dyDescent="0.25">
      <c r="A7" s="1"/>
      <c r="B7" s="3"/>
      <c r="C7" s="87"/>
      <c r="D7" s="87"/>
      <c r="E7" s="87"/>
      <c r="F7" s="87"/>
      <c r="G7" s="3"/>
    </row>
    <row r="8" spans="1:7" ht="15.75" x14ac:dyDescent="0.25">
      <c r="A8" s="1"/>
      <c r="B8" s="4"/>
      <c r="C8" s="95" t="s">
        <v>228</v>
      </c>
      <c r="D8" s="95"/>
      <c r="E8" s="95"/>
      <c r="F8" s="95"/>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4" t="s">
        <v>5</v>
      </c>
      <c r="D11" s="94"/>
      <c r="E11" s="94"/>
      <c r="F11" s="94"/>
      <c r="G11" s="5"/>
    </row>
    <row r="12" spans="1:7" x14ac:dyDescent="0.25">
      <c r="A12" s="1"/>
      <c r="B12" s="1"/>
      <c r="C12" s="1"/>
      <c r="D12" s="1"/>
      <c r="E12" s="1"/>
      <c r="F12" s="1"/>
      <c r="G12" s="5"/>
    </row>
    <row r="13" spans="1:7" x14ac:dyDescent="0.25">
      <c r="A13" s="1"/>
      <c r="B13" s="6" t="s">
        <v>6</v>
      </c>
      <c r="C13" s="99" t="s">
        <v>127</v>
      </c>
      <c r="D13" s="100"/>
      <c r="E13" s="100"/>
      <c r="F13" s="101"/>
      <c r="G13" s="5"/>
    </row>
    <row r="14" spans="1:7" x14ac:dyDescent="0.25">
      <c r="A14" s="1"/>
      <c r="B14" s="6" t="s">
        <v>16</v>
      </c>
      <c r="C14" s="84" t="s">
        <v>186</v>
      </c>
      <c r="D14" s="85"/>
      <c r="E14" s="85"/>
      <c r="F14" s="86"/>
      <c r="G14" s="5"/>
    </row>
    <row r="15" spans="1:7" x14ac:dyDescent="0.25">
      <c r="A15" s="1"/>
      <c r="B15" s="6" t="s">
        <v>30</v>
      </c>
      <c r="C15" s="84" t="s">
        <v>149</v>
      </c>
      <c r="D15" s="85"/>
      <c r="E15" s="85"/>
      <c r="F15" s="86"/>
      <c r="G15" s="5"/>
    </row>
    <row r="16" spans="1:7" x14ac:dyDescent="0.25">
      <c r="A16" s="1"/>
      <c r="B16" s="6" t="s">
        <v>31</v>
      </c>
      <c r="C16" s="84" t="s">
        <v>151</v>
      </c>
      <c r="D16" s="85"/>
      <c r="E16" s="85"/>
      <c r="F16" s="86"/>
      <c r="G16" s="5"/>
    </row>
    <row r="17" spans="1:8" x14ac:dyDescent="0.25">
      <c r="A17" s="1"/>
      <c r="B17" s="6" t="s">
        <v>61</v>
      </c>
      <c r="C17" s="84" t="s">
        <v>152</v>
      </c>
      <c r="D17" s="85"/>
      <c r="E17" s="85"/>
      <c r="F17" s="86"/>
      <c r="G17" s="5"/>
    </row>
    <row r="18" spans="1:8" x14ac:dyDescent="0.25">
      <c r="A18" s="1"/>
      <c r="B18" s="6" t="s">
        <v>53</v>
      </c>
      <c r="C18" s="96" t="s">
        <v>45</v>
      </c>
      <c r="D18" s="97"/>
      <c r="E18" s="97"/>
      <c r="F18" s="98"/>
      <c r="G18" s="5"/>
    </row>
    <row r="19" spans="1:8" x14ac:dyDescent="0.25">
      <c r="A19" s="1"/>
      <c r="B19" s="6" t="s">
        <v>54</v>
      </c>
      <c r="C19" s="96" t="s">
        <v>46</v>
      </c>
      <c r="D19" s="97"/>
      <c r="E19" s="97"/>
      <c r="F19" s="98"/>
      <c r="G19" s="5"/>
    </row>
    <row r="20" spans="1:8" x14ac:dyDescent="0.25">
      <c r="A20" s="1"/>
      <c r="B20" s="6" t="s">
        <v>7</v>
      </c>
      <c r="C20" s="96" t="s">
        <v>10</v>
      </c>
      <c r="D20" s="97"/>
      <c r="E20" s="97"/>
      <c r="F20" s="98"/>
      <c r="G20" s="5"/>
    </row>
    <row r="21" spans="1:8" x14ac:dyDescent="0.25">
      <c r="A21" s="1"/>
      <c r="B21" s="6" t="s">
        <v>55</v>
      </c>
      <c r="C21" s="88" t="s">
        <v>12</v>
      </c>
      <c r="D21" s="89"/>
      <c r="E21" s="89"/>
      <c r="F21" s="90"/>
      <c r="G21" s="5"/>
    </row>
    <row r="22" spans="1:8" x14ac:dyDescent="0.25">
      <c r="A22" s="1"/>
      <c r="B22" s="6" t="s">
        <v>39</v>
      </c>
      <c r="C22" s="91" t="s">
        <v>153</v>
      </c>
      <c r="D22" s="92"/>
      <c r="E22" s="92"/>
      <c r="F22" s="93"/>
      <c r="G22" s="5"/>
    </row>
    <row r="23" spans="1:8" x14ac:dyDescent="0.25">
      <c r="A23" s="1"/>
      <c r="B23" s="6" t="s">
        <v>8</v>
      </c>
      <c r="C23" s="91" t="s">
        <v>112</v>
      </c>
      <c r="D23" s="92"/>
      <c r="E23" s="92"/>
      <c r="F23" s="93"/>
      <c r="G23" s="5"/>
    </row>
    <row r="24" spans="1:8" x14ac:dyDescent="0.25">
      <c r="A24" s="1"/>
      <c r="B24" s="6" t="s">
        <v>9</v>
      </c>
      <c r="C24" s="91" t="s">
        <v>154</v>
      </c>
      <c r="D24" s="92"/>
      <c r="E24" s="92"/>
      <c r="F24" s="93"/>
      <c r="G24" s="5"/>
    </row>
    <row r="25" spans="1:8" x14ac:dyDescent="0.25">
      <c r="A25" s="1"/>
      <c r="B25" s="6" t="s">
        <v>97</v>
      </c>
      <c r="C25" s="91" t="s">
        <v>91</v>
      </c>
      <c r="D25" s="92"/>
      <c r="E25" s="92"/>
      <c r="F25" s="93"/>
      <c r="G25" s="1"/>
    </row>
    <row r="26" spans="1:8" x14ac:dyDescent="0.25">
      <c r="A26" s="1"/>
      <c r="B26" s="6" t="s">
        <v>98</v>
      </c>
      <c r="C26" s="91" t="s">
        <v>40</v>
      </c>
      <c r="D26" s="92"/>
      <c r="E26" s="92"/>
      <c r="F26" s="93"/>
      <c r="G26" s="1"/>
    </row>
    <row r="27" spans="1:8" x14ac:dyDescent="0.25">
      <c r="A27" s="1"/>
      <c r="B27" s="6" t="s">
        <v>99</v>
      </c>
      <c r="C27" s="91" t="s">
        <v>41</v>
      </c>
      <c r="D27" s="92"/>
      <c r="E27" s="92"/>
      <c r="F27" s="93"/>
      <c r="G27" s="1"/>
    </row>
    <row r="28" spans="1:8" x14ac:dyDescent="0.25">
      <c r="A28" s="1"/>
      <c r="B28" s="6" t="s">
        <v>15</v>
      </c>
      <c r="C28" s="91" t="s">
        <v>42</v>
      </c>
      <c r="D28" s="92"/>
      <c r="E28" s="92"/>
      <c r="F28" s="93"/>
      <c r="G28" s="1"/>
      <c r="H28" s="2" t="s">
        <v>150</v>
      </c>
    </row>
    <row r="29" spans="1:8" x14ac:dyDescent="0.25">
      <c r="A29" s="1"/>
      <c r="B29" s="6" t="s">
        <v>33</v>
      </c>
      <c r="C29" s="91" t="s">
        <v>68</v>
      </c>
      <c r="D29" s="92"/>
      <c r="E29" s="92"/>
      <c r="F29" s="93"/>
      <c r="G29" s="1"/>
    </row>
    <row r="30" spans="1:8" x14ac:dyDescent="0.25">
      <c r="A30" s="1"/>
      <c r="B30" s="6" t="s">
        <v>34</v>
      </c>
      <c r="C30" s="91" t="s">
        <v>32</v>
      </c>
      <c r="D30" s="92"/>
      <c r="E30" s="92"/>
      <c r="F30" s="93"/>
      <c r="G30" s="1"/>
    </row>
    <row r="31" spans="1:8" x14ac:dyDescent="0.25">
      <c r="A31" s="1"/>
      <c r="B31" s="6" t="s">
        <v>100</v>
      </c>
      <c r="C31" s="102" t="s">
        <v>52</v>
      </c>
      <c r="D31" s="103"/>
      <c r="E31" s="103"/>
      <c r="F31" s="104"/>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pza++wTj0y8wo4THAexsjrItAirwfIl/8MAtG3puHiZFjDoqWxSvX1AHB6m42mm2Kc+tnMJFurTQ8YJ7hMXsyw==" saltValue="Mz9acSw3mMoJX21HkPhLHw=="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58</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9" t="s">
        <v>165</v>
      </c>
      <c r="C8" s="110"/>
      <c r="D8" s="111"/>
      <c r="E8" s="1"/>
    </row>
    <row r="9" spans="1:5" ht="15" customHeight="1" x14ac:dyDescent="0.25">
      <c r="A9" s="1"/>
      <c r="B9" s="27" t="s">
        <v>28</v>
      </c>
      <c r="C9" s="67" t="s">
        <v>166</v>
      </c>
      <c r="D9" s="11"/>
      <c r="E9" s="1"/>
    </row>
    <row r="10" spans="1:5" ht="15" customHeight="1" x14ac:dyDescent="0.25">
      <c r="A10" s="1"/>
      <c r="B10" s="72" t="s">
        <v>234</v>
      </c>
      <c r="C10" s="73">
        <v>2467757</v>
      </c>
      <c r="D10" s="14" t="s">
        <v>3</v>
      </c>
      <c r="E10" s="1"/>
    </row>
    <row r="11" spans="1:5" ht="15" customHeight="1" x14ac:dyDescent="0.25">
      <c r="A11" s="1"/>
      <c r="B11" s="72" t="s">
        <v>235</v>
      </c>
      <c r="C11" s="73">
        <v>110643</v>
      </c>
      <c r="D11" s="14" t="s">
        <v>3</v>
      </c>
      <c r="E11" s="1"/>
    </row>
    <row r="12" spans="1:5" ht="25.5" x14ac:dyDescent="0.25">
      <c r="A12" s="1"/>
      <c r="B12" s="72" t="s">
        <v>236</v>
      </c>
      <c r="C12" s="73">
        <v>376086</v>
      </c>
      <c r="D12" s="14" t="s">
        <v>3</v>
      </c>
      <c r="E12" s="1"/>
    </row>
    <row r="13" spans="1:5" x14ac:dyDescent="0.25">
      <c r="A13" s="1"/>
      <c r="B13" s="72" t="s">
        <v>237</v>
      </c>
      <c r="C13" s="73">
        <v>85619</v>
      </c>
      <c r="D13" s="14" t="s">
        <v>3</v>
      </c>
      <c r="E13" s="1"/>
    </row>
    <row r="14" spans="1:5" x14ac:dyDescent="0.25">
      <c r="A14" s="1"/>
      <c r="B14" s="72" t="s">
        <v>238</v>
      </c>
      <c r="C14" s="73">
        <v>467838.6</v>
      </c>
      <c r="D14" s="14" t="s">
        <v>3</v>
      </c>
      <c r="E14" s="1"/>
    </row>
    <row r="15" spans="1:5" x14ac:dyDescent="0.25">
      <c r="A15" s="1"/>
      <c r="B15" s="72" t="s">
        <v>239</v>
      </c>
      <c r="C15" s="73">
        <v>21247.5</v>
      </c>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33" t="s">
        <v>167</v>
      </c>
      <c r="C18" s="12">
        <f>SUM(C10:C17)</f>
        <v>3529191.1</v>
      </c>
      <c r="D18" s="13" t="s">
        <v>3</v>
      </c>
      <c r="E18" s="1"/>
    </row>
    <row r="19" spans="1:5" x14ac:dyDescent="0.25">
      <c r="A19" s="1"/>
      <c r="B19" s="33" t="s">
        <v>168</v>
      </c>
      <c r="C19" s="12">
        <f>C18*(1+'Fane 15. Nøgletal'!C10)^2</f>
        <v>4012675.0698863589</v>
      </c>
      <c r="D19" s="13" t="s">
        <v>3</v>
      </c>
      <c r="E19" s="1"/>
    </row>
    <row r="20" spans="1:5" x14ac:dyDescent="0.25">
      <c r="A20" s="1"/>
      <c r="B20" s="16"/>
      <c r="C20" s="15"/>
      <c r="D20" s="15"/>
      <c r="E20" s="1"/>
    </row>
    <row r="21" spans="1:5" x14ac:dyDescent="0.25">
      <c r="A21" s="1"/>
      <c r="B21" s="16"/>
      <c r="C21" s="15"/>
      <c r="D21" s="15"/>
      <c r="E21" s="1"/>
    </row>
    <row r="22" spans="1:5" x14ac:dyDescent="0.25">
      <c r="A22" s="1"/>
      <c r="B22" s="109" t="s">
        <v>60</v>
      </c>
      <c r="C22" s="110"/>
      <c r="D22" s="111"/>
      <c r="E22" s="1"/>
    </row>
    <row r="23" spans="1:5" x14ac:dyDescent="0.25">
      <c r="A23" s="1"/>
      <c r="B23" s="37" t="s">
        <v>72</v>
      </c>
      <c r="C23" s="9">
        <v>0</v>
      </c>
      <c r="D23" s="14" t="s">
        <v>3</v>
      </c>
      <c r="E23" s="1"/>
    </row>
    <row r="24" spans="1:5" x14ac:dyDescent="0.25">
      <c r="A24" s="1"/>
      <c r="B24" s="37" t="s">
        <v>83</v>
      </c>
      <c r="C24" s="9">
        <v>0</v>
      </c>
      <c r="D24" s="14" t="s">
        <v>3</v>
      </c>
      <c r="E24" s="1"/>
    </row>
    <row r="25" spans="1:5" x14ac:dyDescent="0.25">
      <c r="A25" s="1"/>
      <c r="B25" s="37" t="s">
        <v>148</v>
      </c>
      <c r="C25" s="9">
        <v>0</v>
      </c>
      <c r="D25" s="14" t="s">
        <v>3</v>
      </c>
      <c r="E25" s="1"/>
    </row>
    <row r="26" spans="1:5" x14ac:dyDescent="0.25">
      <c r="A26" s="1"/>
      <c r="B26" s="34" t="s">
        <v>169</v>
      </c>
      <c r="C26" s="9">
        <v>0</v>
      </c>
      <c r="D26" s="36" t="s">
        <v>3</v>
      </c>
      <c r="E26" s="1"/>
    </row>
    <row r="27" spans="1:5" x14ac:dyDescent="0.25">
      <c r="A27" s="1"/>
      <c r="B27" s="109"/>
      <c r="C27" s="110"/>
      <c r="D27" s="111"/>
      <c r="E27" s="1"/>
    </row>
    <row r="28" spans="1:5" x14ac:dyDescent="0.25">
      <c r="A28" s="1"/>
      <c r="B28" s="1"/>
      <c r="C28" s="1"/>
      <c r="D28" s="1"/>
      <c r="E28" s="1"/>
    </row>
    <row r="29" spans="1:5" x14ac:dyDescent="0.25">
      <c r="A29" s="1"/>
      <c r="B29" s="1"/>
      <c r="C29" s="1"/>
      <c r="D29" s="1"/>
      <c r="E29" s="1"/>
    </row>
    <row r="30" spans="1:5" x14ac:dyDescent="0.25">
      <c r="A30" s="1"/>
      <c r="B30" s="109" t="s">
        <v>47</v>
      </c>
      <c r="C30" s="110"/>
      <c r="D30" s="111"/>
      <c r="E30" s="1"/>
    </row>
    <row r="31" spans="1:5" x14ac:dyDescent="0.25">
      <c r="A31" s="1"/>
      <c r="B31" s="37" t="s">
        <v>72</v>
      </c>
      <c r="C31" s="9">
        <v>1914268</v>
      </c>
      <c r="D31" s="14" t="s">
        <v>3</v>
      </c>
      <c r="E31" s="1"/>
    </row>
    <row r="32" spans="1:5" x14ac:dyDescent="0.25">
      <c r="A32" s="1"/>
      <c r="B32" s="37" t="s">
        <v>83</v>
      </c>
      <c r="C32" s="9">
        <v>0</v>
      </c>
      <c r="D32" s="14" t="s">
        <v>3</v>
      </c>
      <c r="E32" s="1"/>
    </row>
    <row r="33" spans="1:5" x14ac:dyDescent="0.25">
      <c r="A33" s="1"/>
      <c r="B33" s="37" t="s">
        <v>148</v>
      </c>
      <c r="C33" s="9">
        <v>0</v>
      </c>
      <c r="D33" s="14" t="s">
        <v>3</v>
      </c>
      <c r="E33" s="1"/>
    </row>
    <row r="34" spans="1:5" x14ac:dyDescent="0.25">
      <c r="A34" s="1"/>
      <c r="B34" s="34" t="s">
        <v>169</v>
      </c>
      <c r="C34" s="9">
        <v>0</v>
      </c>
      <c r="D34" s="36" t="s">
        <v>3</v>
      </c>
      <c r="E34" s="1"/>
    </row>
    <row r="35" spans="1:5" x14ac:dyDescent="0.25">
      <c r="A35" s="1"/>
      <c r="B35" s="109"/>
      <c r="C35" s="110"/>
      <c r="D35" s="11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x14ac:dyDescent="0.25"/>
    <row r="56" spans="1:5" x14ac:dyDescent="0.25"/>
  </sheetData>
  <sheetProtection algorithmName="SHA-512" hashValue="7hPnSDrX9ssvsfIhkhr2v5XzuCYk5f9ndY2whkLRvD1Y5W2CQfHyg53/97SpEXJSMiFIw1fZ2SbC7temJaGVpQ==" saltValue="VcuPmOZAYPunPM9MNl4sSw==" spinCount="100000" sheet="1" objects="1" scenarios="1"/>
  <mergeCells count="6">
    <mergeCell ref="B35:D35"/>
    <mergeCell ref="B3:D4"/>
    <mergeCell ref="B8:D8"/>
    <mergeCell ref="B22:D22"/>
    <mergeCell ref="B30:D30"/>
    <mergeCell ref="B27:D27"/>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201</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5"/>
      <c r="C6" s="75"/>
      <c r="D6" s="75"/>
      <c r="E6" s="1"/>
    </row>
    <row r="7" spans="1:5" x14ac:dyDescent="0.25">
      <c r="A7" s="1"/>
      <c r="B7" s="1"/>
      <c r="C7" s="1"/>
      <c r="D7" s="1"/>
      <c r="E7" s="1"/>
    </row>
    <row r="8" spans="1:5" x14ac:dyDescent="0.25">
      <c r="A8" s="1"/>
      <c r="B8" s="109" t="s">
        <v>77</v>
      </c>
      <c r="C8" s="110"/>
      <c r="D8" s="111"/>
      <c r="E8" s="1"/>
    </row>
    <row r="9" spans="1:5" x14ac:dyDescent="0.25">
      <c r="A9" s="1"/>
      <c r="B9" s="65" t="s">
        <v>204</v>
      </c>
      <c r="C9" s="9">
        <v>10847337.142160714</v>
      </c>
      <c r="D9" s="14" t="s">
        <v>3</v>
      </c>
      <c r="E9" s="1"/>
    </row>
    <row r="10" spans="1:5" x14ac:dyDescent="0.25">
      <c r="A10" s="1"/>
      <c r="B10" s="33"/>
      <c r="C10" s="28"/>
      <c r="D10" s="19"/>
      <c r="E10" s="1"/>
    </row>
    <row r="11" spans="1:5" ht="53.25" customHeight="1" x14ac:dyDescent="0.25">
      <c r="A11" s="1"/>
      <c r="B11" s="120" t="s">
        <v>212</v>
      </c>
      <c r="C11" s="121"/>
      <c r="D11" s="122"/>
      <c r="E11" s="1"/>
    </row>
    <row r="12" spans="1:5" x14ac:dyDescent="0.25">
      <c r="A12" s="1"/>
      <c r="B12" s="1"/>
      <c r="C12" s="1"/>
      <c r="D12" s="1"/>
      <c r="E12" s="1"/>
    </row>
    <row r="13" spans="1:5" x14ac:dyDescent="0.25">
      <c r="A13" s="1"/>
      <c r="B13" s="109" t="s">
        <v>78</v>
      </c>
      <c r="C13" s="110"/>
      <c r="D13" s="111"/>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20" t="s">
        <v>121</v>
      </c>
      <c r="C17" s="121"/>
      <c r="D17" s="122"/>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146901625.5218851</v>
      </c>
      <c r="D20" s="14" t="s">
        <v>3</v>
      </c>
      <c r="E20" s="1"/>
    </row>
    <row r="21" spans="1:5" x14ac:dyDescent="0.25">
      <c r="A21" s="1"/>
      <c r="B21" s="65" t="s">
        <v>207</v>
      </c>
      <c r="C21" s="9">
        <v>151864761</v>
      </c>
      <c r="D21" s="14" t="s">
        <v>3</v>
      </c>
      <c r="E21" s="1"/>
    </row>
    <row r="22" spans="1:5" x14ac:dyDescent="0.25">
      <c r="A22" s="1"/>
      <c r="B22" s="65" t="s">
        <v>29</v>
      </c>
      <c r="C22" s="9">
        <v>-135206</v>
      </c>
      <c r="D22" s="14" t="s">
        <v>3</v>
      </c>
      <c r="E22" s="1"/>
    </row>
    <row r="23" spans="1:5" x14ac:dyDescent="0.25">
      <c r="A23" s="1"/>
      <c r="B23" s="82" t="s">
        <v>208</v>
      </c>
      <c r="C23" s="57">
        <f>C20-C21-C22</f>
        <v>-4827929.478114903</v>
      </c>
      <c r="D23" s="17" t="s">
        <v>3</v>
      </c>
      <c r="E23" s="1"/>
    </row>
    <row r="24" spans="1:5" x14ac:dyDescent="0.25">
      <c r="A24" s="1"/>
      <c r="B24" s="33"/>
      <c r="C24" s="28"/>
      <c r="D24" s="19"/>
      <c r="E24" s="1"/>
    </row>
    <row r="25" spans="1:5" x14ac:dyDescent="0.25">
      <c r="A25" s="1"/>
      <c r="B25" s="1"/>
      <c r="C25" s="1"/>
      <c r="D25" s="1"/>
      <c r="E25" s="1"/>
    </row>
    <row r="26" spans="1:5" x14ac:dyDescent="0.25">
      <c r="A26" s="1"/>
      <c r="B26" s="109" t="s">
        <v>209</v>
      </c>
      <c r="C26" s="110"/>
      <c r="D26" s="111"/>
      <c r="E26" s="1"/>
    </row>
    <row r="27" spans="1:5" x14ac:dyDescent="0.25">
      <c r="A27" s="1"/>
      <c r="B27" s="82" t="s">
        <v>210</v>
      </c>
      <c r="C27" s="57">
        <f>IF(AND(C15&lt;0,C23&gt;0,ABS(SUM(C14:C15))&lt;C23),ABS(C14),IF(AND(C15&lt;0,C23&gt;0,ABS(SUM(C14:C15))&gt;C23),SUM(C14,C23),C15))</f>
        <v>0</v>
      </c>
      <c r="D27" s="17" t="s">
        <v>3</v>
      </c>
      <c r="E27" s="1"/>
    </row>
    <row r="28" spans="1:5" x14ac:dyDescent="0.25">
      <c r="A28" s="1"/>
      <c r="B28" s="109"/>
      <c r="C28" s="110"/>
      <c r="D28" s="111"/>
      <c r="E28" s="1"/>
    </row>
    <row r="29" spans="1:5" x14ac:dyDescent="0.25">
      <c r="A29" s="1"/>
      <c r="B29" s="1"/>
      <c r="C29" s="1"/>
      <c r="D29" s="1"/>
      <c r="E29" s="1"/>
    </row>
    <row r="30" spans="1:5" x14ac:dyDescent="0.25">
      <c r="A30" s="1"/>
      <c r="B30" s="109" t="s">
        <v>211</v>
      </c>
      <c r="C30" s="110"/>
      <c r="D30" s="111"/>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7"/>
      <c r="C34" s="118"/>
      <c r="D34" s="119"/>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aqlUGvcfPyHxKjuixDWnc/oQ20R6L4lvwX1h5jcvY6eGVRpMihANXqbqsRHIDrx8O4HL1gKc4Sr9YDl/QT07ZA==" saltValue="TiEdy7VdJxbTmFid4lDnoA=="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8" t="s">
        <v>101</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x14ac:dyDescent="0.25">
      <c r="A8" s="1"/>
      <c r="B8" s="109" t="s">
        <v>120</v>
      </c>
      <c r="C8" s="110"/>
      <c r="D8" s="111"/>
      <c r="E8" s="1"/>
    </row>
    <row r="9" spans="1:5" ht="15" customHeight="1" x14ac:dyDescent="0.25">
      <c r="A9" s="1"/>
      <c r="B9" s="123" t="s">
        <v>102</v>
      </c>
      <c r="C9" s="124"/>
      <c r="D9" s="125"/>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zl2Dx02JzNSK4PRuYWCDfm2xi1bviEwxzIQAfhkql4SPv6l+9ee+PHKNHwABQauZHRwYV7Y6cIqIRjMfd2PZvQ==" saltValue="stbT2Cjlnp8+k1AxbptRQw=="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170</v>
      </c>
      <c r="C3" s="108"/>
      <c r="D3" s="108"/>
      <c r="E3" s="1"/>
    </row>
    <row r="4" spans="1:5" ht="15" customHeight="1" x14ac:dyDescent="0.25">
      <c r="A4" s="1"/>
      <c r="B4" s="108"/>
      <c r="C4" s="108"/>
      <c r="D4" s="108"/>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9" t="s">
        <v>171</v>
      </c>
      <c r="C8" s="110"/>
      <c r="D8" s="111"/>
      <c r="E8" s="1"/>
    </row>
    <row r="9" spans="1:5" ht="26.25" x14ac:dyDescent="0.25">
      <c r="A9" s="1"/>
      <c r="B9" s="79" t="s">
        <v>217</v>
      </c>
      <c r="C9" s="7">
        <v>833840.83943012194</v>
      </c>
      <c r="D9" s="8" t="s">
        <v>3</v>
      </c>
      <c r="E9" s="1"/>
    </row>
    <row r="10" spans="1:5" ht="14.25" customHeight="1" x14ac:dyDescent="0.25">
      <c r="A10" s="1"/>
      <c r="B10" s="65" t="s">
        <v>172</v>
      </c>
      <c r="C10" s="7">
        <v>2077474.63</v>
      </c>
      <c r="D10" s="8" t="s">
        <v>3</v>
      </c>
      <c r="E10" s="1"/>
    </row>
    <row r="11" spans="1:5" ht="14.25" customHeight="1" x14ac:dyDescent="0.25">
      <c r="A11" s="1"/>
      <c r="B11" s="82" t="s">
        <v>48</v>
      </c>
      <c r="C11" s="10">
        <f>C10-C9</f>
        <v>1243633.790569878</v>
      </c>
      <c r="D11" s="11" t="s">
        <v>3</v>
      </c>
      <c r="E11" s="1"/>
    </row>
    <row r="12" spans="1:5" ht="14.25" customHeight="1" x14ac:dyDescent="0.25">
      <c r="A12" s="1"/>
      <c r="B12" s="109" t="s">
        <v>219</v>
      </c>
      <c r="C12" s="110"/>
      <c r="D12" s="111"/>
      <c r="E12" s="1"/>
    </row>
    <row r="13" spans="1:5" ht="26.25" x14ac:dyDescent="0.25">
      <c r="A13" s="1"/>
      <c r="B13" s="79" t="s">
        <v>218</v>
      </c>
      <c r="C13" s="7">
        <v>0</v>
      </c>
      <c r="D13" s="8" t="s">
        <v>3</v>
      </c>
      <c r="E13" s="1"/>
    </row>
    <row r="14" spans="1:5" ht="14.25" customHeight="1" x14ac:dyDescent="0.25">
      <c r="A14" s="1"/>
      <c r="B14" s="65" t="s">
        <v>173</v>
      </c>
      <c r="C14" s="7">
        <v>0</v>
      </c>
      <c r="D14" s="8" t="s">
        <v>3</v>
      </c>
      <c r="E14" s="1"/>
    </row>
    <row r="15" spans="1:5" ht="14.25" customHeight="1" x14ac:dyDescent="0.25">
      <c r="A15" s="1"/>
      <c r="B15" s="82" t="s">
        <v>48</v>
      </c>
      <c r="C15" s="10">
        <f>C14-C13</f>
        <v>0</v>
      </c>
      <c r="D15" s="11" t="s">
        <v>3</v>
      </c>
      <c r="E15" s="1"/>
    </row>
    <row r="16" spans="1:5" ht="14.25" customHeight="1" x14ac:dyDescent="0.25">
      <c r="A16" s="1"/>
      <c r="B16" s="33" t="s">
        <v>174</v>
      </c>
      <c r="C16" s="12">
        <f>C11+C15</f>
        <v>1243633.790569878</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02PgsC7CjW6wM3KKjENx1zSpDVzQ3nMa9H9QGbv1Wpd/le15Eb66C9Rx8yA65Nlzx4McQxGVUT2NvhsPsEt0BA==" saltValue="B3uUaMuplAz82WYtT+AmO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113</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9" t="s">
        <v>86</v>
      </c>
      <c r="C8" s="110"/>
      <c r="D8" s="110"/>
      <c r="E8" s="110"/>
      <c r="F8" s="110"/>
      <c r="G8" s="110"/>
      <c r="H8" s="110"/>
      <c r="I8" s="110"/>
      <c r="J8" s="110"/>
      <c r="K8" s="111"/>
      <c r="L8" s="1"/>
    </row>
    <row r="9" spans="1:12" ht="39.75" customHeight="1" x14ac:dyDescent="0.25">
      <c r="A9" s="1"/>
      <c r="B9" s="18" t="s">
        <v>0</v>
      </c>
      <c r="C9" s="18" t="s">
        <v>1</v>
      </c>
      <c r="D9" s="126" t="s">
        <v>96</v>
      </c>
      <c r="E9" s="127"/>
      <c r="F9" s="126" t="s">
        <v>2</v>
      </c>
      <c r="G9" s="127"/>
      <c r="H9" s="126" t="s">
        <v>95</v>
      </c>
      <c r="I9" s="127"/>
      <c r="J9" s="126" t="s">
        <v>26</v>
      </c>
      <c r="K9" s="127"/>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76" t="s">
        <v>221</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gT2fuANDblf539uGkc15k06MEztVaBvB3w/tvnVyvD3XJbHYrVN6OolUxuTvKQQd06mYqAWRK0Zs/hXJBztDaQ==" saltValue="+32whg8+oF+SZTeKcNTpA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114</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229</v>
      </c>
      <c r="C11" s="21">
        <v>0</v>
      </c>
      <c r="D11" s="14" t="s">
        <v>3</v>
      </c>
      <c r="E11" s="9">
        <v>35642.520000000004</v>
      </c>
      <c r="F11" s="14" t="s">
        <v>3</v>
      </c>
      <c r="G11" s="1"/>
    </row>
    <row r="12" spans="1:7" x14ac:dyDescent="0.25">
      <c r="A12" s="1"/>
      <c r="B12" s="24" t="s">
        <v>230</v>
      </c>
      <c r="C12" s="21">
        <v>0</v>
      </c>
      <c r="D12" s="14" t="s">
        <v>3</v>
      </c>
      <c r="E12" s="9">
        <v>3122539.4499999997</v>
      </c>
      <c r="F12" s="14" t="s">
        <v>3</v>
      </c>
      <c r="G12" s="1"/>
    </row>
    <row r="13" spans="1:7" x14ac:dyDescent="0.25">
      <c r="A13" s="1"/>
      <c r="B13" s="24" t="s">
        <v>231</v>
      </c>
      <c r="C13" s="21">
        <v>0</v>
      </c>
      <c r="D13" s="14" t="s">
        <v>3</v>
      </c>
      <c r="E13" s="9">
        <v>35706</v>
      </c>
      <c r="F13" s="14" t="s">
        <v>3</v>
      </c>
      <c r="G13" s="1"/>
    </row>
    <row r="14" spans="1:7" x14ac:dyDescent="0.25">
      <c r="A14" s="1"/>
      <c r="B14" s="24" t="s">
        <v>232</v>
      </c>
      <c r="C14" s="21">
        <v>217488</v>
      </c>
      <c r="D14" s="14" t="s">
        <v>3</v>
      </c>
      <c r="E14" s="9">
        <v>0</v>
      </c>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217488</v>
      </c>
      <c r="D19" s="13" t="s">
        <v>3</v>
      </c>
      <c r="E19" s="12">
        <f>SUM(E10:E18)</f>
        <v>3193887.9699999997</v>
      </c>
      <c r="F19" s="13" t="s">
        <v>3</v>
      </c>
      <c r="G19" s="1"/>
    </row>
    <row r="20" spans="1:7" x14ac:dyDescent="0.25">
      <c r="A20" s="1"/>
      <c r="B20" s="33" t="s">
        <v>175</v>
      </c>
      <c r="C20" s="12">
        <f>C19*(1+'Fane 15. Nøgletal'!C10)</f>
        <v>231907.45440000002</v>
      </c>
      <c r="D20" s="13" t="s">
        <v>3</v>
      </c>
      <c r="E20" s="12">
        <f>E19*(1+'Fane 15. Nøgletal'!C10)</f>
        <v>3405642.7424109997</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lahZuOPGFeDAL7ixT3q3zX1phvaGoGZO7imTFXBrKTppzzpstJhPwvE0hde/UUYyER63exgYQrabHfe+7Snpw==" saltValue="MRIMkcxYqVqbqkrLVVVwm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115</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9" t="s">
        <v>176</v>
      </c>
      <c r="C8" s="110"/>
      <c r="D8" s="110"/>
      <c r="E8" s="110"/>
      <c r="F8" s="111"/>
      <c r="G8" s="1"/>
    </row>
    <row r="9" spans="1:7" x14ac:dyDescent="0.25">
      <c r="A9" s="1"/>
      <c r="B9" s="80" t="s">
        <v>17</v>
      </c>
      <c r="C9" s="82" t="s">
        <v>11</v>
      </c>
      <c r="D9" s="81"/>
      <c r="E9" s="82" t="s">
        <v>27</v>
      </c>
      <c r="F9" s="32"/>
      <c r="G9" s="1"/>
    </row>
    <row r="10" spans="1:7" x14ac:dyDescent="0.25">
      <c r="A10" s="1"/>
      <c r="B10" s="24" t="s">
        <v>233</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8"/>
      <c r="C16" s="128"/>
      <c r="D16" s="128"/>
      <c r="E16" s="128"/>
      <c r="F16" s="128"/>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8"/>
      <c r="C29" s="128"/>
      <c r="D29" s="128"/>
      <c r="E29" s="128"/>
      <c r="F29" s="128"/>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lYWrMCAYz1oRFD+V8K6EB9qJzXT2itH/o4BiuWgfc+rcHoiACukpEMQVYXh4ghNRqFdNq/89Xv0Cr87aT3xdQ==" saltValue="6hElBYs3KY2YchFA2oJjMw=="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116</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ht="14.25" customHeight="1" x14ac:dyDescent="0.25">
      <c r="A8" s="1"/>
      <c r="B8" s="109" t="s">
        <v>73</v>
      </c>
      <c r="C8" s="110"/>
      <c r="D8" s="111"/>
      <c r="E8" s="1"/>
    </row>
    <row r="9" spans="1:5" x14ac:dyDescent="0.25">
      <c r="A9" s="1"/>
      <c r="B9" s="68" t="s">
        <v>179</v>
      </c>
      <c r="C9" s="9">
        <f>475953.965113298*(1+'Fane 15. Nøgletal'!C9)</f>
        <v>514411.04549445247</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-10288.220909889049</v>
      </c>
      <c r="D11" s="14" t="s">
        <v>3</v>
      </c>
      <c r="E11" s="1"/>
    </row>
    <row r="12" spans="1:5" x14ac:dyDescent="0.25">
      <c r="A12" s="1"/>
      <c r="B12" s="76" t="s">
        <v>74</v>
      </c>
      <c r="C12" s="12">
        <f>SUM(C9:C11)*(1+'Fane 15. Nøgletal'!C9)^2</f>
        <v>588880.30947492458</v>
      </c>
      <c r="D12" s="13" t="s">
        <v>3</v>
      </c>
      <c r="E12" s="1"/>
    </row>
    <row r="13" spans="1:5" x14ac:dyDescent="0.25">
      <c r="A13" s="1"/>
      <c r="B13" s="1"/>
      <c r="C13" s="1"/>
      <c r="D13" s="1"/>
      <c r="E13" s="1"/>
    </row>
    <row r="14" spans="1:5" ht="15" customHeight="1" x14ac:dyDescent="0.25">
      <c r="A14" s="1"/>
      <c r="B14" s="109" t="s">
        <v>84</v>
      </c>
      <c r="C14" s="110"/>
      <c r="D14" s="111"/>
      <c r="E14" s="1"/>
    </row>
    <row r="15" spans="1:5" x14ac:dyDescent="0.25">
      <c r="A15" s="1"/>
      <c r="B15" s="68" t="s">
        <v>179</v>
      </c>
      <c r="C15" s="9">
        <v>492897.92627133126</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-9857.9585254266258</v>
      </c>
      <c r="D17" s="14" t="s">
        <v>3</v>
      </c>
      <c r="E17" s="1"/>
    </row>
    <row r="18" spans="1:5" x14ac:dyDescent="0.25">
      <c r="A18" s="1"/>
      <c r="B18" s="76" t="s">
        <v>85</v>
      </c>
      <c r="C18" s="12">
        <f>SUM(C15:C17)*(1+'Fane 15. Nøgletal'!C10)^3</f>
        <v>585627.27358729905</v>
      </c>
      <c r="D18" s="13" t="s">
        <v>3</v>
      </c>
      <c r="E18" s="1"/>
    </row>
    <row r="19" spans="1:5" x14ac:dyDescent="0.25">
      <c r="A19" s="1"/>
      <c r="B19" s="1"/>
      <c r="C19" s="1"/>
      <c r="D19" s="1"/>
      <c r="E19" s="1"/>
    </row>
    <row r="20" spans="1:5" ht="15" customHeight="1" x14ac:dyDescent="0.25">
      <c r="A20" s="1"/>
      <c r="B20" s="109" t="s">
        <v>140</v>
      </c>
      <c r="C20" s="110"/>
      <c r="D20" s="111"/>
      <c r="E20" s="1"/>
    </row>
    <row r="21" spans="1:5" x14ac:dyDescent="0.25">
      <c r="A21" s="1"/>
      <c r="B21" s="68" t="s">
        <v>179</v>
      </c>
      <c r="C21" s="9">
        <v>492897.92627133126</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-9857.9585254266258</v>
      </c>
      <c r="D23" s="14" t="s">
        <v>3</v>
      </c>
      <c r="E23" s="1"/>
    </row>
    <row r="24" spans="1:5" x14ac:dyDescent="0.25">
      <c r="A24" s="1"/>
      <c r="B24" s="76" t="s">
        <v>141</v>
      </c>
      <c r="C24" s="12">
        <f>SUM(C21:C23)*(1+'Fane 15. Nøgletal'!C10)^4</f>
        <v>624454.36182613694</v>
      </c>
      <c r="D24" s="13" t="s">
        <v>3</v>
      </c>
      <c r="E24" s="1"/>
    </row>
    <row r="25" spans="1:5" x14ac:dyDescent="0.25">
      <c r="A25" s="1"/>
      <c r="B25" s="1"/>
      <c r="C25" s="1"/>
      <c r="D25" s="1"/>
      <c r="E25" s="1"/>
    </row>
    <row r="26" spans="1:5" ht="15" customHeight="1" x14ac:dyDescent="0.25">
      <c r="A26" s="1"/>
      <c r="B26" s="109" t="s">
        <v>180</v>
      </c>
      <c r="C26" s="110"/>
      <c r="D26" s="111"/>
      <c r="E26" s="1"/>
    </row>
    <row r="27" spans="1:5" ht="14.25" customHeight="1" x14ac:dyDescent="0.25">
      <c r="A27" s="1"/>
      <c r="B27" s="68" t="s">
        <v>179</v>
      </c>
      <c r="C27" s="9">
        <v>492897.92627133126</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-9857.9585254266258</v>
      </c>
      <c r="D29" s="14" t="s">
        <v>3</v>
      </c>
      <c r="E29" s="1"/>
    </row>
    <row r="30" spans="1:5" x14ac:dyDescent="0.25">
      <c r="A30" s="1"/>
      <c r="B30" s="76" t="s">
        <v>181</v>
      </c>
      <c r="C30" s="12">
        <f>SUM(C27:C29)*(1+'Fane 15. Nøgletal'!C10)^5</f>
        <v>665855.68601520977</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EPa90tM7TfFYQXlGfgdOY8/WKvfeYDVQ43eVy14tq9T8HCl5hJ4l0Jy4xjLZqQ/fnjUsUaFyvJGgimO4JWWI8A==" saltValue="/msCxE+2QeRxKe2kh5pwPw=="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117</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x14ac:dyDescent="0.25">
      <c r="A8" s="1"/>
      <c r="B8" s="109" t="s">
        <v>66</v>
      </c>
      <c r="C8" s="110"/>
      <c r="D8" s="110"/>
      <c r="E8" s="110"/>
      <c r="F8" s="111"/>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MPvflN0V8p0mgNxLb2ISDsCsTc7spQE6efdGK3kyZ2lsm9xitzA+J68KjI2OPCgzM11uf8FX3kdauEBxcwVShg==" saltValue="QM+EGQmvrA+r7YBZsMTUyw=="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118</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9" t="s">
        <v>183</v>
      </c>
      <c r="C8" s="110"/>
      <c r="D8" s="110"/>
      <c r="E8" s="110"/>
      <c r="F8" s="111"/>
      <c r="G8" s="1"/>
    </row>
    <row r="9" spans="1:7" x14ac:dyDescent="0.25">
      <c r="A9" s="1"/>
      <c r="B9" s="31" t="s">
        <v>18</v>
      </c>
      <c r="C9" s="129" t="s">
        <v>11</v>
      </c>
      <c r="D9" s="130"/>
      <c r="E9" s="129" t="s">
        <v>27</v>
      </c>
      <c r="F9" s="130"/>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8"/>
      <c r="C14" s="128"/>
      <c r="D14" s="128"/>
      <c r="E14" s="128"/>
      <c r="F14" s="128"/>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8"/>
      <c r="C21" s="128"/>
      <c r="D21" s="128"/>
      <c r="E21" s="128"/>
      <c r="F21" s="128"/>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8"/>
      <c r="C27" s="128"/>
      <c r="D27" s="128"/>
      <c r="E27" s="128"/>
      <c r="F27" s="128"/>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Dkbzpmh6Mzb73fXotdN4XQKIYbjsU3lsmwdG4tlNFhOuOcGZBN6KxETfVxYiGlbJt/o4BgapF17IuUBCYeEymw==" saltValue="w+GNazKjol8P18yuMTpzRw=="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155</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153954268.81901059</v>
      </c>
      <c r="D9" s="8" t="s">
        <v>3</v>
      </c>
      <c r="E9" s="1"/>
    </row>
    <row r="10" spans="1:5" ht="17.25" customHeight="1" x14ac:dyDescent="0.25">
      <c r="A10" s="1"/>
      <c r="B10" s="64" t="s">
        <v>35</v>
      </c>
      <c r="C10" s="7">
        <f>'Fane 11.1. Varige tillæg'!C20</f>
        <v>231907.45440000002</v>
      </c>
      <c r="D10" s="8" t="s">
        <v>3</v>
      </c>
      <c r="E10" s="1"/>
    </row>
    <row r="11" spans="1:5" ht="17.25" customHeight="1" x14ac:dyDescent="0.25">
      <c r="A11" s="1"/>
      <c r="B11" s="64" t="s">
        <v>36</v>
      </c>
      <c r="C11" s="9">
        <f>'Fane 11.1. Varige tillæg'!E20</f>
        <v>3405642.7424109997</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12680674.498624625</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-970085.66101680836</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169302407.85342938</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omk.'!C19+'Fane 6. Ikke-påvirkelige omk.'!C23+'Fane 6. Ikke-påvirkelige omk.'!C31</f>
        <v>5926943.0698863585</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588880.30947492458</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1243633.790569878</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177061865.02336055</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njzXtgrUSFfrqIuyuPFKy9A974LTaUEDmLT3KyWd1djMTMsg/w7494f6UrP6WWkYTom4z/3Bk896mb8Ti9/wCA==" saltValue="nhsNra7Z5fTF+Ut57n0pp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8" t="s">
        <v>119</v>
      </c>
      <c r="C3" s="108"/>
      <c r="D3" s="1"/>
    </row>
    <row r="4" spans="1:4" ht="15" customHeight="1" x14ac:dyDescent="0.25">
      <c r="A4" s="1"/>
      <c r="B4" s="108"/>
      <c r="C4" s="108"/>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226</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215</v>
      </c>
      <c r="C15" s="60">
        <v>0</v>
      </c>
      <c r="D15" s="1"/>
    </row>
    <row r="16" spans="1:4" x14ac:dyDescent="0.25">
      <c r="A16" s="1"/>
      <c r="B16" s="59" t="s">
        <v>227</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W01xMmEiMfFyIcM02v6SZUr6iJCr7aX+OsnohJpUNSNOT60wZLPI6Ce7jRWyEMF4Vv4CuZDZT4tJ5sbODmeW9w==" saltValue="WLI0YquriLM3yWbWYKtCu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169302407.85342938</v>
      </c>
      <c r="D9" s="8" t="s">
        <v>3</v>
      </c>
      <c r="E9" s="1"/>
    </row>
    <row r="10" spans="1:5" ht="15" customHeight="1" x14ac:dyDescent="0.25">
      <c r="A10" s="1"/>
      <c r="B10" s="26" t="s">
        <v>19</v>
      </c>
      <c r="C10" s="7">
        <f>C9*'Fane 15. Nøgletal'!C10</f>
        <v>11224749.640682368</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-1013714.2935353783</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179513443.20057636</v>
      </c>
      <c r="D14" s="11" t="s">
        <v>3</v>
      </c>
      <c r="E14" s="1"/>
    </row>
    <row r="15" spans="1:5" x14ac:dyDescent="0.25">
      <c r="A15" s="1"/>
      <c r="B15" s="33" t="s">
        <v>12</v>
      </c>
      <c r="C15" s="28"/>
      <c r="D15" s="19"/>
      <c r="E15" s="1"/>
    </row>
    <row r="16" spans="1:5" ht="15" customHeight="1" x14ac:dyDescent="0.25">
      <c r="A16" s="1"/>
      <c r="B16" s="31" t="s">
        <v>12</v>
      </c>
      <c r="C16" s="10">
        <f>'Fane 6. Ikke-påvirkelige omk.'!C19*(1+'Fane 15. Nøgletal'!C10)+'Fane 6. Ikke-påvirkelige omk.'!C24+'Fane 6. Ikke-påvirkelige omk.'!C32</f>
        <v>4278715.4270198243</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585627.27358729905</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184377785.90118349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OmSsPV3ihmRczsgbuBQ2p6hEY8bGLf0xt4kZBnk9We37qBnnTfgoH9ZEWXcFWM6S9EZXqnO0LWqi9+CuLg8tIA==" saltValue="OdBD3yjW5bP6k7ovJwVYo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179513443.20057636</v>
      </c>
      <c r="D9" s="8" t="s">
        <v>3</v>
      </c>
      <c r="E9" s="1"/>
    </row>
    <row r="10" spans="1:5" ht="15" customHeight="1" x14ac:dyDescent="0.25">
      <c r="A10" s="1"/>
      <c r="B10" s="26" t="s">
        <v>19</v>
      </c>
      <c r="C10" s="7">
        <f>SUM(C9:C9)*'Fane 15. Nøgletal'!C10</f>
        <v>11901741.284198213</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-1059305.0801728382</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190355879.40460175</v>
      </c>
      <c r="D14" s="11" t="s">
        <v>3</v>
      </c>
      <c r="E14" s="1"/>
    </row>
    <row r="15" spans="1:5" x14ac:dyDescent="0.25">
      <c r="A15" s="1"/>
      <c r="B15" s="33" t="s">
        <v>12</v>
      </c>
      <c r="C15" s="28"/>
      <c r="D15" s="19"/>
      <c r="E15" s="1"/>
    </row>
    <row r="16" spans="1:5" ht="15" customHeight="1" x14ac:dyDescent="0.25">
      <c r="A16" s="1"/>
      <c r="B16" s="31" t="s">
        <v>12</v>
      </c>
      <c r="C16" s="10">
        <f>'Fane 6. Ikke-påvirkelige omk.'!C19*(1+'Fane 15. Nøgletal'!C10)^2+'Fane 6. Ikke-påvirkelige omk.'!C25+'Fane 6. Ikke-påvirkelige omk.'!C33</f>
        <v>4562394.2598312385</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624454.36182613694</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195542728.02625915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4rQNDuZXL02HJa8mDfgIK3YqpRbdPSyJ913rjF0ew7ySQ3tWO3zArhA+NAnTJsGzoZYb9pzsk8JnuWnTR1xhFg==" saltValue="Yf6QhGEuHOfx/Cy0AKEXI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158</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190355879.40460175</v>
      </c>
      <c r="D9" s="8" t="s">
        <v>3</v>
      </c>
      <c r="E9" s="1"/>
    </row>
    <row r="10" spans="1:5" ht="15" customHeight="1" x14ac:dyDescent="0.25">
      <c r="A10" s="1"/>
      <c r="B10" s="26" t="s">
        <v>19</v>
      </c>
      <c r="C10" s="7">
        <f>SUM(C9:C9)*'Fane 15. Nøgletal'!C10</f>
        <v>12620594.804525096</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-1106946.2668485316</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201869527.94227833</v>
      </c>
      <c r="D14" s="11" t="s">
        <v>3</v>
      </c>
      <c r="E14" s="1"/>
    </row>
    <row r="15" spans="1:5" x14ac:dyDescent="0.25">
      <c r="A15" s="1"/>
      <c r="B15" s="33" t="s">
        <v>12</v>
      </c>
      <c r="C15" s="28"/>
      <c r="D15" s="19"/>
      <c r="E15" s="1"/>
    </row>
    <row r="16" spans="1:5" ht="15" customHeight="1" x14ac:dyDescent="0.25">
      <c r="A16" s="1"/>
      <c r="B16" s="31" t="s">
        <v>12</v>
      </c>
      <c r="C16" s="10">
        <f>'Fane 6. Ikke-påvirkelige omk.'!C19*(1+'Fane 15. Nøgletal'!C10)^3+'Fane 6. Ikke-påvirkelige omk.'!C26+'Fane 6. Ikke-påvirkelige omk.'!C34</f>
        <v>4864880.9992580507</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665855.68601520977</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207400264.62755159</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ynmmlUuwU3KFiY2HzwyCOKEztEovXxdqa0MKlvBi5u4kVQ278kSosUwEkCxtc5MwJBVi5RlcivjlsqiCLgbNDg==" saltValue="Tn3DGjN2DH/wR3d8Dojy4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8" t="s">
        <v>161</v>
      </c>
      <c r="C3" s="108"/>
      <c r="D3" s="108"/>
      <c r="E3" s="1"/>
    </row>
    <row r="4" spans="1:5" ht="15" customHeight="1" x14ac:dyDescent="0.25">
      <c r="A4" s="1"/>
      <c r="B4" s="108"/>
      <c r="C4" s="108"/>
      <c r="D4" s="108"/>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139409784.92363721</v>
      </c>
      <c r="D9" s="8" t="s">
        <v>3</v>
      </c>
      <c r="E9" s="1"/>
    </row>
    <row r="10" spans="1:5" ht="15" customHeight="1" x14ac:dyDescent="0.25">
      <c r="A10" s="1"/>
      <c r="B10" s="64" t="s">
        <v>35</v>
      </c>
      <c r="C10" s="7">
        <v>0</v>
      </c>
      <c r="D10" s="8" t="s">
        <v>3</v>
      </c>
      <c r="E10" s="1"/>
    </row>
    <row r="11" spans="1:5" ht="15" customHeight="1" x14ac:dyDescent="0.25">
      <c r="A11" s="1"/>
      <c r="B11" s="64" t="s">
        <v>36</v>
      </c>
      <c r="C11" s="9">
        <v>3878038.6477279994</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11577656.144566309</v>
      </c>
      <c r="D16" s="8" t="s">
        <v>3</v>
      </c>
      <c r="E16" s="1"/>
    </row>
    <row r="17" spans="1:5" ht="15" customHeight="1" x14ac:dyDescent="0.25">
      <c r="A17" s="1"/>
      <c r="B17" s="64" t="s">
        <v>10</v>
      </c>
      <c r="C17" s="38">
        <v>0</v>
      </c>
      <c r="D17" s="8" t="s">
        <v>3</v>
      </c>
      <c r="E17" s="1"/>
    </row>
    <row r="18" spans="1:5" ht="15" customHeight="1" x14ac:dyDescent="0.25">
      <c r="A18" s="1"/>
      <c r="B18" s="64" t="s">
        <v>22</v>
      </c>
      <c r="C18" s="38">
        <v>-911210.89692090696</v>
      </c>
      <c r="D18" s="8" t="s">
        <v>3</v>
      </c>
      <c r="E18" s="1"/>
    </row>
    <row r="19" spans="1:5" ht="15" customHeight="1" x14ac:dyDescent="0.25">
      <c r="A19" s="1"/>
      <c r="B19" s="64" t="s">
        <v>23</v>
      </c>
      <c r="C19" s="38">
        <v>0</v>
      </c>
      <c r="D19" s="8" t="s">
        <v>3</v>
      </c>
      <c r="E19" s="43"/>
    </row>
    <row r="20" spans="1:5" ht="15" customHeight="1" x14ac:dyDescent="0.25">
      <c r="A20" s="1"/>
      <c r="B20" s="82" t="s">
        <v>21</v>
      </c>
      <c r="C20" s="10">
        <v>153954268.81901059</v>
      </c>
      <c r="D20" s="11" t="s">
        <v>3</v>
      </c>
      <c r="E20" s="1"/>
    </row>
    <row r="21" spans="1:5" ht="15" customHeight="1" x14ac:dyDescent="0.25">
      <c r="A21" s="1"/>
      <c r="B21" s="33" t="s">
        <v>12</v>
      </c>
      <c r="C21" s="28"/>
      <c r="D21" s="19"/>
      <c r="E21" s="1"/>
    </row>
    <row r="22" spans="1:5" ht="15" customHeight="1" x14ac:dyDescent="0.25">
      <c r="A22" s="1"/>
      <c r="B22" s="31" t="s">
        <v>12</v>
      </c>
      <c r="C22" s="10">
        <v>5554685.4593808185</v>
      </c>
      <c r="D22" s="11" t="s">
        <v>3</v>
      </c>
      <c r="E22" s="1"/>
    </row>
    <row r="23" spans="1:5" ht="15" customHeight="1" x14ac:dyDescent="0.25">
      <c r="A23" s="1"/>
      <c r="B23" s="33" t="s">
        <v>42</v>
      </c>
      <c r="C23" s="28"/>
      <c r="D23" s="19"/>
      <c r="E23" s="1"/>
    </row>
    <row r="24" spans="1:5" ht="15" customHeight="1" x14ac:dyDescent="0.25">
      <c r="A24" s="1"/>
      <c r="B24" s="82" t="s">
        <v>42</v>
      </c>
      <c r="C24" s="10">
        <v>544855.94881099602</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1413473.1941937075</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0" t="s">
        <v>213</v>
      </c>
      <c r="C37" s="28"/>
      <c r="D37" s="19"/>
      <c r="E37" s="1"/>
    </row>
    <row r="38" spans="1:5" x14ac:dyDescent="0.25">
      <c r="A38" s="1"/>
      <c r="B38" s="67" t="s">
        <v>214</v>
      </c>
      <c r="C38" s="10">
        <v>3683728.8131734179</v>
      </c>
      <c r="D38" s="11" t="s">
        <v>3</v>
      </c>
      <c r="E38" s="1"/>
    </row>
    <row r="39" spans="1:5" x14ac:dyDescent="0.25">
      <c r="A39" s="1"/>
      <c r="B39" s="33" t="s">
        <v>65</v>
      </c>
      <c r="C39" s="45">
        <v>165151012.23456952</v>
      </c>
      <c r="D39" s="30" t="s">
        <v>3</v>
      </c>
      <c r="E39" s="1"/>
    </row>
    <row r="40" spans="1:5" ht="30" customHeight="1" x14ac:dyDescent="0.25">
      <c r="A40" s="1"/>
      <c r="B40" s="107" t="s">
        <v>225</v>
      </c>
      <c r="C40" s="107"/>
      <c r="D40" s="107"/>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pQ2X786NmgPRst2dgRBMmG79Y1dNzSZM8RHMGdDeAofh3iyk3Gg1VtZXEOvbWS0bDPtjBjV51UkSaaLclxRrNA==" saltValue="ZBnw2bUdnVUJBwbHFSmMJA=="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8" t="s">
        <v>56</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5"/>
      <c r="C6" s="75"/>
      <c r="D6" s="75"/>
      <c r="E6" s="1"/>
    </row>
    <row r="7" spans="1:5" x14ac:dyDescent="0.25">
      <c r="A7" s="1"/>
      <c r="B7" s="1"/>
      <c r="C7" s="1"/>
      <c r="D7" s="1"/>
      <c r="E7" s="1"/>
    </row>
    <row r="8" spans="1:5" x14ac:dyDescent="0.25">
      <c r="A8" s="1"/>
      <c r="B8" s="109" t="s">
        <v>123</v>
      </c>
      <c r="C8" s="110"/>
      <c r="D8" s="111"/>
      <c r="E8" s="1"/>
    </row>
    <row r="9" spans="1:5" x14ac:dyDescent="0.25">
      <c r="A9" s="1"/>
      <c r="B9" s="65" t="s">
        <v>88</v>
      </c>
      <c r="C9" s="23">
        <v>45560544.846045345</v>
      </c>
      <c r="D9" s="14" t="s">
        <v>3</v>
      </c>
      <c r="E9" s="1"/>
    </row>
    <row r="10" spans="1:5" x14ac:dyDescent="0.25">
      <c r="A10" s="1"/>
      <c r="B10" s="65" t="s">
        <v>125</v>
      </c>
      <c r="C10" s="83">
        <f>('Fane 3. Omkostninger i ØR2024'!C10+'Fane 3. Omkostninger i ØR2024'!C12+'Fane 3. Omkostninger i ØR2024'!C14)*(1+'Fane 15. Nøgletal'!C9)</f>
        <v>0</v>
      </c>
      <c r="D10" s="14" t="s">
        <v>3</v>
      </c>
      <c r="E10" s="1"/>
    </row>
    <row r="11" spans="1:5" x14ac:dyDescent="0.25">
      <c r="A11" s="1"/>
      <c r="B11" s="65" t="s">
        <v>131</v>
      </c>
      <c r="C11" s="23">
        <f>C9*'Fane 15. Nøgletal'!C21+C10*'Fane 15. Nøgletal'!C21</f>
        <v>911210.89692090696</v>
      </c>
      <c r="D11" s="14" t="s">
        <v>3</v>
      </c>
      <c r="E11" s="1"/>
    </row>
    <row r="12" spans="1:5" x14ac:dyDescent="0.25">
      <c r="A12" s="1"/>
      <c r="B12" s="33"/>
      <c r="C12" s="28"/>
      <c r="D12" s="19"/>
      <c r="E12" s="1"/>
    </row>
    <row r="13" spans="1:5" x14ac:dyDescent="0.25">
      <c r="A13" s="1"/>
      <c r="B13" s="1"/>
      <c r="C13" s="1"/>
      <c r="D13" s="1"/>
      <c r="E13" s="1"/>
    </row>
    <row r="14" spans="1:5" x14ac:dyDescent="0.25">
      <c r="A14" s="1"/>
      <c r="B14" s="109" t="s">
        <v>124</v>
      </c>
      <c r="C14" s="110"/>
      <c r="D14" s="111"/>
      <c r="E14" s="1"/>
    </row>
    <row r="15" spans="1:5" x14ac:dyDescent="0.25">
      <c r="A15" s="1"/>
      <c r="B15" s="65" t="s">
        <v>133</v>
      </c>
      <c r="C15" s="23">
        <f>(C9+C10-C11)*(1+'Fane 15. Nøgletal'!C9)</f>
        <v>48257000.132213697</v>
      </c>
      <c r="D15" s="14" t="s">
        <v>3</v>
      </c>
      <c r="E15" s="1"/>
    </row>
    <row r="16" spans="1:5" x14ac:dyDescent="0.25">
      <c r="A16" s="1"/>
      <c r="B16" s="65" t="s">
        <v>184</v>
      </c>
      <c r="C16" s="23">
        <f>('Fane 2.1. Økonomisk ramme 2025'!C10+'Fane 2.1. Økonomisk ramme 2025'!C12+'Fane 2.1. Økonomisk ramme 2025'!C14)*(1+'Fane 15. Nøgletal'!C10)</f>
        <v>247282.91862672003</v>
      </c>
      <c r="D16" s="14" t="s">
        <v>3</v>
      </c>
      <c r="E16" s="1"/>
    </row>
    <row r="17" spans="1:5" x14ac:dyDescent="0.25">
      <c r="A17" s="1"/>
      <c r="B17" s="65" t="s">
        <v>132</v>
      </c>
      <c r="C17" s="23">
        <f>C15*'Fane 15. Nøgletal'!C21+C16*'Fane 15. Nøgletal'!C21</f>
        <v>970085.66101680836</v>
      </c>
      <c r="D17" s="14" t="s">
        <v>3</v>
      </c>
      <c r="E17" s="1"/>
    </row>
    <row r="18" spans="1:5" x14ac:dyDescent="0.25">
      <c r="A18" s="1"/>
      <c r="B18" s="33"/>
      <c r="C18" s="28"/>
      <c r="D18" s="19"/>
      <c r="E18" s="1"/>
    </row>
    <row r="19" spans="1:5" x14ac:dyDescent="0.25">
      <c r="A19" s="1"/>
      <c r="B19" s="1"/>
      <c r="C19" s="63"/>
      <c r="D19" s="1"/>
      <c r="E19" s="1"/>
    </row>
    <row r="20" spans="1:5" x14ac:dyDescent="0.25">
      <c r="A20" s="1"/>
      <c r="B20" s="109" t="s">
        <v>145</v>
      </c>
      <c r="C20" s="110"/>
      <c r="D20" s="111"/>
      <c r="E20" s="1"/>
    </row>
    <row r="21" spans="1:5" x14ac:dyDescent="0.25">
      <c r="A21" s="1"/>
      <c r="B21" s="65" t="s">
        <v>189</v>
      </c>
      <c r="C21" s="23">
        <f>(C15+C16-C17)*(1+'Fane 15. Nøgletal'!C10)</f>
        <v>50685714.676768914</v>
      </c>
      <c r="D21" s="14" t="s">
        <v>3</v>
      </c>
      <c r="E21" s="1"/>
    </row>
    <row r="22" spans="1:5" x14ac:dyDescent="0.25">
      <c r="A22" s="1"/>
      <c r="B22" s="65" t="s">
        <v>196</v>
      </c>
      <c r="C22" s="23">
        <f>C21*'Fane 15. Nøgletal'!C21</f>
        <v>1013714.2935353783</v>
      </c>
      <c r="D22" s="14" t="s">
        <v>3</v>
      </c>
      <c r="E22" s="1"/>
    </row>
    <row r="23" spans="1:5" x14ac:dyDescent="0.25">
      <c r="A23" s="1"/>
      <c r="B23" s="33"/>
      <c r="C23" s="28"/>
      <c r="D23" s="19"/>
      <c r="E23" s="1"/>
    </row>
    <row r="24" spans="1:5" x14ac:dyDescent="0.25">
      <c r="A24" s="1"/>
      <c r="B24" s="1"/>
      <c r="C24" s="1"/>
      <c r="D24" s="1"/>
      <c r="E24" s="1"/>
    </row>
    <row r="25" spans="1:5" x14ac:dyDescent="0.25">
      <c r="A25" s="1"/>
      <c r="B25" s="109" t="s">
        <v>187</v>
      </c>
      <c r="C25" s="110"/>
      <c r="D25" s="111"/>
      <c r="E25" s="1"/>
    </row>
    <row r="26" spans="1:5" x14ac:dyDescent="0.25">
      <c r="A26" s="1"/>
      <c r="B26" s="65" t="s">
        <v>190</v>
      </c>
      <c r="C26" s="23">
        <f>(C21-C22)*(1+'Fane 15. Nøgletal'!C10)</f>
        <v>52965254.008641914</v>
      </c>
      <c r="D26" s="14" t="s">
        <v>3</v>
      </c>
      <c r="E26" s="1"/>
    </row>
    <row r="27" spans="1:5" x14ac:dyDescent="0.25">
      <c r="A27" s="1"/>
      <c r="B27" s="65" t="s">
        <v>194</v>
      </c>
      <c r="C27" s="23">
        <f>C26*'Fane 15. Nøgletal'!C21</f>
        <v>1059305.0801728382</v>
      </c>
      <c r="D27" s="14" t="s">
        <v>3</v>
      </c>
      <c r="E27" s="1"/>
    </row>
    <row r="28" spans="1:5" x14ac:dyDescent="0.25">
      <c r="A28" s="1"/>
      <c r="B28" s="33"/>
      <c r="C28" s="28"/>
      <c r="D28" s="19"/>
      <c r="E28" s="1"/>
    </row>
    <row r="29" spans="1:5" x14ac:dyDescent="0.25">
      <c r="A29" s="1"/>
      <c r="B29" s="1"/>
      <c r="C29" s="1"/>
      <c r="D29" s="1"/>
      <c r="E29" s="1"/>
    </row>
    <row r="30" spans="1:5" x14ac:dyDescent="0.25">
      <c r="A30" s="1"/>
      <c r="B30" s="109" t="s">
        <v>188</v>
      </c>
      <c r="C30" s="110"/>
      <c r="D30" s="111"/>
      <c r="E30" s="1"/>
    </row>
    <row r="31" spans="1:5" x14ac:dyDescent="0.25">
      <c r="A31" s="1"/>
      <c r="B31" s="65" t="s">
        <v>191</v>
      </c>
      <c r="C31" s="23">
        <f>(C26-C27)*(1+'Fane 15. Nøgletal'!C10)</f>
        <v>55347313.342426576</v>
      </c>
      <c r="D31" s="14" t="s">
        <v>3</v>
      </c>
      <c r="E31" s="1"/>
    </row>
    <row r="32" spans="1:5" x14ac:dyDescent="0.25">
      <c r="A32" s="1"/>
      <c r="B32" s="65" t="s">
        <v>195</v>
      </c>
      <c r="C32" s="23">
        <f>C31*'Fane 15. Nøgletal'!C21</f>
        <v>1106946.2668485316</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oFNJIBkxkumNIyT5uojFEiaQRMnVag9u8ETgu2VhPTGV/vK26VSFFhSxuEyvfI12v55gmZ+qWgso8WbXmnX5Mw==" saltValue="b/npyIDFN++ndt+i9v0jcQ=="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2" t="s">
        <v>57</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35">
      <c r="A6" s="1"/>
      <c r="B6" s="69"/>
      <c r="C6" s="69"/>
      <c r="D6" s="69"/>
      <c r="E6" s="1"/>
    </row>
    <row r="7" spans="1:5" x14ac:dyDescent="0.25">
      <c r="A7" s="1"/>
      <c r="B7" s="1"/>
      <c r="C7" s="1"/>
      <c r="D7" s="1"/>
      <c r="E7" s="1"/>
    </row>
    <row r="8" spans="1:5" x14ac:dyDescent="0.25">
      <c r="A8" s="1"/>
      <c r="B8" s="109" t="s">
        <v>147</v>
      </c>
      <c r="C8" s="110"/>
      <c r="D8" s="111"/>
      <c r="E8" s="1"/>
    </row>
    <row r="9" spans="1:5" x14ac:dyDescent="0.25">
      <c r="A9" s="1"/>
      <c r="B9" s="65" t="s">
        <v>134</v>
      </c>
      <c r="C9" s="23">
        <v>123383265.11269321</v>
      </c>
      <c r="D9" s="14" t="s">
        <v>3</v>
      </c>
      <c r="E9" s="1"/>
    </row>
    <row r="10" spans="1:5" x14ac:dyDescent="0.25">
      <c r="A10" s="1"/>
      <c r="B10" s="65" t="s">
        <v>126</v>
      </c>
      <c r="C10" s="23">
        <f>('Fane 3. Omkostninger i ØR2024'!C11+'Fane 3. Omkostninger i ØR2024'!C13+'Fane 3. Omkostninger i ØR2024'!C15)*(1+'Fane 15. Nøgletal'!C9)</f>
        <v>4191384.1704644216</v>
      </c>
      <c r="D10" s="14" t="s">
        <v>3</v>
      </c>
      <c r="E10" s="1"/>
    </row>
    <row r="11" spans="1:5" x14ac:dyDescent="0.25">
      <c r="A11" s="1"/>
      <c r="B11" s="65" t="s">
        <v>135</v>
      </c>
      <c r="C11" s="8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9" t="s">
        <v>146</v>
      </c>
      <c r="C14" s="110"/>
      <c r="D14" s="111"/>
      <c r="E14" s="1"/>
    </row>
    <row r="15" spans="1:5" x14ac:dyDescent="0.25">
      <c r="A15" s="1"/>
      <c r="B15" s="65" t="s">
        <v>136</v>
      </c>
      <c r="C15" s="23">
        <f>(C9+C10-C11)*(1+'Fane 15. Nøgletal'!C9)</f>
        <v>137882680.94523677</v>
      </c>
      <c r="D15" s="14" t="s">
        <v>3</v>
      </c>
      <c r="E15" s="1"/>
    </row>
    <row r="16" spans="1:5" x14ac:dyDescent="0.25">
      <c r="A16" s="1"/>
      <c r="B16" s="65" t="s">
        <v>185</v>
      </c>
      <c r="C16" s="23">
        <f>('Fane 2.1. Økonomisk ramme 2025'!C11+'Fane 2.1. Økonomisk ramme 2025'!C13+'Fane 2.1. Økonomisk ramme 2025'!C15)*(1+'Fane 15. Nøgletal'!C10)</f>
        <v>3631436.8562328489</v>
      </c>
      <c r="D16" s="14" t="s">
        <v>3</v>
      </c>
      <c r="E16" s="1"/>
    </row>
    <row r="17" spans="1:5" x14ac:dyDescent="0.25">
      <c r="A17" s="1"/>
      <c r="B17" s="65" t="s">
        <v>137</v>
      </c>
      <c r="C17" s="8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9" t="s">
        <v>82</v>
      </c>
      <c r="C20" s="110"/>
      <c r="D20" s="111"/>
      <c r="E20" s="1"/>
    </row>
    <row r="21" spans="1:5" x14ac:dyDescent="0.25">
      <c r="A21" s="1"/>
      <c r="B21" s="65" t="s">
        <v>192</v>
      </c>
      <c r="C21" s="23">
        <f>(C15+C16-C17)*(1+'Fane 15. Nøgletal'!C10)</f>
        <v>150896503.81170705</v>
      </c>
      <c r="D21" s="14" t="s">
        <v>3</v>
      </c>
      <c r="E21" s="1"/>
    </row>
    <row r="22" spans="1:5" x14ac:dyDescent="0.25">
      <c r="A22" s="1"/>
      <c r="B22" s="65" t="s">
        <v>197</v>
      </c>
      <c r="C22" s="8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9" t="s">
        <v>138</v>
      </c>
      <c r="C25" s="110"/>
      <c r="D25" s="111"/>
      <c r="E25" s="1"/>
    </row>
    <row r="26" spans="1:5" x14ac:dyDescent="0.25">
      <c r="A26" s="1"/>
      <c r="B26" s="65" t="s">
        <v>193</v>
      </c>
      <c r="C26" s="23">
        <f>(C21-C22)*(1+'Fane 15. Nøgletal'!C10)</f>
        <v>160900942.01442322</v>
      </c>
      <c r="D26" s="14" t="s">
        <v>3</v>
      </c>
      <c r="E26" s="1"/>
    </row>
    <row r="27" spans="1:5" x14ac:dyDescent="0.25">
      <c r="A27" s="1"/>
      <c r="B27" s="65" t="s">
        <v>198</v>
      </c>
      <c r="C27" s="8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9" t="s">
        <v>163</v>
      </c>
      <c r="C30" s="110"/>
      <c r="D30" s="111"/>
      <c r="E30" s="1"/>
    </row>
    <row r="31" spans="1:5" x14ac:dyDescent="0.25">
      <c r="A31" s="1"/>
      <c r="B31" s="65" t="s">
        <v>200</v>
      </c>
      <c r="C31" s="23">
        <f>(C26-C27)*(1+'Fane 15. Nøgletal'!C10)</f>
        <v>171568674.46997949</v>
      </c>
      <c r="D31" s="14" t="s">
        <v>3</v>
      </c>
      <c r="E31" s="1"/>
    </row>
    <row r="32" spans="1:5" x14ac:dyDescent="0.25">
      <c r="A32" s="1"/>
      <c r="B32" s="65" t="s">
        <v>199</v>
      </c>
      <c r="C32" s="8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okKjLFswrlKY1A3PslHTMVoR0amqr7PoUQLp8Wx0+JKMrDfPF6NucrofA6RiFczpqRtwro6zxb76j7+WScT77A==" saltValue="W1MLWxbn1dltboOX/fTfAg=="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44</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9" t="s">
        <v>10</v>
      </c>
      <c r="C8" s="111"/>
      <c r="D8" s="1"/>
    </row>
    <row r="9" spans="1:4" x14ac:dyDescent="0.25">
      <c r="A9" s="1"/>
      <c r="B9" s="65" t="s">
        <v>164</v>
      </c>
      <c r="C9" s="22">
        <v>0</v>
      </c>
      <c r="D9" s="1"/>
    </row>
    <row r="10" spans="1:4" x14ac:dyDescent="0.25">
      <c r="A10" s="1"/>
      <c r="B10" s="33"/>
      <c r="C10" s="19"/>
      <c r="D10" s="1"/>
    </row>
    <row r="11" spans="1:4" x14ac:dyDescent="0.25">
      <c r="A11" s="1"/>
      <c r="B11" s="113" t="s">
        <v>220</v>
      </c>
      <c r="C11" s="114"/>
      <c r="D11" s="1"/>
    </row>
    <row r="12" spans="1:4" x14ac:dyDescent="0.25">
      <c r="A12" s="1"/>
      <c r="B12" s="115"/>
      <c r="C12" s="11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NXHoj6dkoBwSRFWvC3xrxboL2rDZ7Ssp8fQlqCuICEXNbJyxvdWreXboHcatOzRR0mJCasb3Tpfyev9c1QrGPQ==" saltValue="X+MJl6KjPtWFQOuxY7s5Pg=="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2024-08-27T08:06:51Z</dcterms:modified>
</cp:coreProperties>
</file>