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redensborg Vand AS (V05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<sst xmlns="http://schemas.openxmlformats.org/spreadsheetml/2006/main" count="509" uniqueCount="254">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</sst>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
      <sz val="11"/>
      <color rgb="FFFF0000"/>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6" fillId="0" borderId="0" xfId="0" applyFont="1" applyFill="1" applyProtection="1"/>
    <xf numFmtId="0" fontId="0" fillId="8"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6" t="s">
        <v>4</v>
      </c>
      <c r="E6" s="96"/>
      <c r="F6" s="96"/>
      <c r="G6" s="96"/>
      <c r="H6" s="3"/>
      <c r="I6" s="1"/>
    </row>
    <row r="7" spans="1:9" ht="15" customHeight="1" x14ac:dyDescent="0.25">
      <c r="A7" s="1"/>
      <c r="B7" s="1"/>
      <c r="C7" s="3"/>
      <c r="D7" s="96"/>
      <c r="E7" s="96"/>
      <c r="F7" s="96"/>
      <c r="G7" s="96"/>
      <c r="H7" s="3"/>
      <c r="I7" s="1"/>
    </row>
    <row r="8" spans="1:9" ht="15.75" x14ac:dyDescent="0.25">
      <c r="A8" s="1"/>
      <c r="B8" s="1"/>
      <c r="C8" s="4"/>
      <c r="D8" s="98" t="s">
        <v>194</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3" t="s">
        <v>161</v>
      </c>
      <c r="E13" s="94"/>
      <c r="F13" s="94"/>
      <c r="G13" s="95"/>
      <c r="H13" s="1"/>
      <c r="I13" s="1"/>
    </row>
    <row r="14" spans="1:9" x14ac:dyDescent="0.25">
      <c r="A14" s="1"/>
      <c r="B14" s="1"/>
      <c r="C14" s="6" t="s">
        <v>14</v>
      </c>
      <c r="D14" s="93" t="s">
        <v>204</v>
      </c>
      <c r="E14" s="94"/>
      <c r="F14" s="94"/>
      <c r="G14" s="95"/>
      <c r="H14" s="1"/>
      <c r="I14" s="1"/>
    </row>
    <row r="15" spans="1:9" x14ac:dyDescent="0.25">
      <c r="A15" s="1"/>
      <c r="B15" s="1"/>
      <c r="C15" s="6" t="s">
        <v>32</v>
      </c>
      <c r="D15" s="93" t="s">
        <v>137</v>
      </c>
      <c r="E15" s="94"/>
      <c r="F15" s="94"/>
      <c r="G15" s="95"/>
      <c r="H15" s="1"/>
      <c r="I15" s="1"/>
    </row>
    <row r="16" spans="1:9" x14ac:dyDescent="0.25">
      <c r="A16" s="1"/>
      <c r="B16" s="1"/>
      <c r="C16" s="6" t="s">
        <v>33</v>
      </c>
      <c r="D16" s="93" t="s">
        <v>162</v>
      </c>
      <c r="E16" s="94"/>
      <c r="F16" s="94"/>
      <c r="G16" s="95"/>
      <c r="H16" s="1"/>
      <c r="I16" s="1"/>
    </row>
    <row r="17" spans="1:9" x14ac:dyDescent="0.25">
      <c r="A17" s="1"/>
      <c r="B17" s="1"/>
      <c r="C17" s="6" t="s">
        <v>110</v>
      </c>
      <c r="D17" s="93" t="s">
        <v>163</v>
      </c>
      <c r="E17" s="94"/>
      <c r="F17" s="94"/>
      <c r="G17" s="95"/>
      <c r="H17" s="1"/>
      <c r="I17" s="1"/>
    </row>
    <row r="18" spans="1:9" x14ac:dyDescent="0.25">
      <c r="A18" s="1"/>
      <c r="B18" s="1"/>
      <c r="C18" s="6" t="s">
        <v>94</v>
      </c>
      <c r="D18" s="99" t="s">
        <v>86</v>
      </c>
      <c r="E18" s="100"/>
      <c r="F18" s="100"/>
      <c r="G18" s="101"/>
      <c r="H18" s="1"/>
      <c r="I18" s="1"/>
    </row>
    <row r="19" spans="1:9" x14ac:dyDescent="0.25">
      <c r="A19" s="1"/>
      <c r="B19" s="1"/>
      <c r="C19" s="6" t="s">
        <v>95</v>
      </c>
      <c r="D19" s="99" t="s">
        <v>87</v>
      </c>
      <c r="E19" s="100"/>
      <c r="F19" s="100"/>
      <c r="G19" s="101"/>
      <c r="H19" s="1"/>
      <c r="I19" s="1"/>
    </row>
    <row r="20" spans="1:9" x14ac:dyDescent="0.25">
      <c r="A20" s="1"/>
      <c r="B20" s="1"/>
      <c r="C20" s="6" t="s">
        <v>7</v>
      </c>
      <c r="D20" s="99" t="s">
        <v>9</v>
      </c>
      <c r="E20" s="100"/>
      <c r="F20" s="100"/>
      <c r="G20" s="101"/>
      <c r="H20" s="1"/>
      <c r="I20" s="1"/>
    </row>
    <row r="21" spans="1:9" x14ac:dyDescent="0.25">
      <c r="A21" s="1"/>
      <c r="B21" s="1"/>
      <c r="C21" s="6" t="s">
        <v>96</v>
      </c>
      <c r="D21" s="90" t="s">
        <v>11</v>
      </c>
      <c r="E21" s="91"/>
      <c r="F21" s="91"/>
      <c r="G21" s="92"/>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87" t="s">
        <v>92</v>
      </c>
      <c r="E29" s="88"/>
      <c r="F29" s="88"/>
      <c r="G29" s="89"/>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sOW/auoxREf+OixAgfV3mrb6+iR3z17lA5pyMELgSYUZ81YTM6RCUfltZZeYZNkdtCtJdTKLDQzgxo67FtcfTA==" saltValue="weVc7anfZGTV+DhNaasKV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5" style="2" customWidth="1"/>
    <col min="5" max="5" width="5.14062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2" t="s">
        <v>100</v>
      </c>
      <c r="C3" s="102"/>
      <c r="D3" s="102"/>
      <c r="E3" s="1"/>
      <c r="F3" s="1"/>
    </row>
    <row r="4" spans="1:6" ht="15" customHeight="1" x14ac:dyDescent="0.25">
      <c r="A4" s="1"/>
      <c r="B4" s="102"/>
      <c r="C4" s="102"/>
      <c r="D4" s="10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181</v>
      </c>
      <c r="C8" s="126"/>
      <c r="D8" s="127"/>
      <c r="E8" s="1"/>
      <c r="F8" s="1"/>
    </row>
    <row r="9" spans="1:6" ht="15" customHeight="1" x14ac:dyDescent="0.25">
      <c r="A9" s="1"/>
      <c r="B9" s="33" t="s">
        <v>30</v>
      </c>
      <c r="C9" s="11" t="s">
        <v>212</v>
      </c>
      <c r="D9" s="11"/>
      <c r="E9" s="1"/>
      <c r="F9" s="1"/>
    </row>
    <row r="10" spans="1:6" x14ac:dyDescent="0.25">
      <c r="A10" s="1"/>
      <c r="B10" s="79" t="s">
        <v>231</v>
      </c>
      <c r="C10" s="9">
        <v>12258927</v>
      </c>
      <c r="D10" s="14" t="s">
        <v>3</v>
      </c>
      <c r="E10" s="1"/>
      <c r="F10" s="1"/>
    </row>
    <row r="11" spans="1:6" x14ac:dyDescent="0.25">
      <c r="A11" s="1"/>
      <c r="B11" s="79" t="s">
        <v>232</v>
      </c>
      <c r="C11" s="9">
        <v>100005</v>
      </c>
      <c r="D11" s="14" t="s">
        <v>3</v>
      </c>
      <c r="E11" s="1"/>
      <c r="F11" s="1"/>
    </row>
    <row r="12" spans="1:6" x14ac:dyDescent="0.25">
      <c r="A12" s="1"/>
      <c r="B12" s="79" t="s">
        <v>233</v>
      </c>
      <c r="C12" s="9">
        <v>2785227</v>
      </c>
      <c r="D12" s="14" t="s">
        <v>3</v>
      </c>
      <c r="E12" s="1"/>
      <c r="F12" s="1"/>
    </row>
    <row r="13" spans="1:6" x14ac:dyDescent="0.25">
      <c r="A13" s="1"/>
      <c r="B13" s="79" t="s">
        <v>234</v>
      </c>
      <c r="C13" s="9">
        <v>86927</v>
      </c>
      <c r="D13" s="14" t="s">
        <v>3</v>
      </c>
      <c r="E13" s="1"/>
      <c r="F13" s="1"/>
    </row>
    <row r="14" spans="1:6" x14ac:dyDescent="0.25">
      <c r="A14" s="1"/>
      <c r="B14" s="71" t="s">
        <v>182</v>
      </c>
      <c r="C14" s="12">
        <f>SUM(C10:C13)</f>
        <v>15231086</v>
      </c>
      <c r="D14" s="13" t="s">
        <v>3</v>
      </c>
      <c r="E14" s="1"/>
      <c r="F14" s="1"/>
    </row>
    <row r="15" spans="1:6" x14ac:dyDescent="0.25">
      <c r="A15" s="1"/>
      <c r="B15" s="71" t="s">
        <v>183</v>
      </c>
      <c r="C15" s="12">
        <f>C14*(1+'Fane 13. Nøgletal'!C15)^2</f>
        <v>16334842.592352962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55"/>
      <c r="B50" s="55"/>
      <c r="C50" s="55"/>
      <c r="D50" s="55"/>
      <c r="E50" s="55"/>
      <c r="F50" s="55"/>
    </row>
    <row r="51" spans="1:6" x14ac:dyDescent="0.25">
      <c r="A51" s="55"/>
      <c r="B51" s="55"/>
      <c r="C51" s="55"/>
      <c r="D51" s="55"/>
      <c r="E51" s="55"/>
      <c r="F51" s="55"/>
    </row>
  </sheetData>
  <sheetProtection algorithmName="SHA-512" hashValue="/Yhcf/rs9X971ZF5Zb7QXh1SGByEUBBtvqsEC6PF2/LKUasmWJazTv0SgCCEIuH4OfnDHhVK6eJcxrIkFyw/vw==" saltValue="EOeeNsYEnJE5OORvpOVSG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184</v>
      </c>
      <c r="C3" s="110"/>
      <c r="D3" s="110"/>
      <c r="E3" s="110"/>
      <c r="F3" s="110"/>
      <c r="G3" s="1"/>
    </row>
    <row r="4" spans="1:7" ht="15" customHeight="1" x14ac:dyDescent="0.25">
      <c r="A4" s="1"/>
      <c r="B4" s="110"/>
      <c r="C4" s="110"/>
      <c r="D4" s="110"/>
      <c r="E4" s="110"/>
      <c r="F4" s="110"/>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5" t="s">
        <v>155</v>
      </c>
      <c r="C8" s="126"/>
      <c r="D8" s="126"/>
      <c r="E8" s="126"/>
      <c r="F8" s="127"/>
      <c r="G8" s="1"/>
    </row>
    <row r="9" spans="1:7" x14ac:dyDescent="0.25">
      <c r="A9" s="1"/>
      <c r="B9" s="128" t="s">
        <v>156</v>
      </c>
      <c r="C9" s="129"/>
      <c r="D9" s="130"/>
      <c r="E9" s="9">
        <v>9141118</v>
      </c>
      <c r="F9" s="14" t="s">
        <v>3</v>
      </c>
      <c r="G9" s="1"/>
    </row>
    <row r="10" spans="1:7" x14ac:dyDescent="0.25">
      <c r="A10" s="1"/>
      <c r="B10" s="143" t="s">
        <v>235</v>
      </c>
      <c r="C10" s="144"/>
      <c r="D10" s="145"/>
      <c r="E10" s="9">
        <v>9141118</v>
      </c>
      <c r="F10" s="54" t="s">
        <v>3</v>
      </c>
      <c r="G10" s="1"/>
    </row>
    <row r="11" spans="1:7" x14ac:dyDescent="0.25">
      <c r="A11" s="1"/>
      <c r="B11" s="128" t="s">
        <v>185</v>
      </c>
      <c r="C11" s="129"/>
      <c r="D11" s="130"/>
      <c r="E11" s="9">
        <v>9592431.9778701365</v>
      </c>
      <c r="F11" s="14" t="s">
        <v>3</v>
      </c>
      <c r="G11" s="1"/>
    </row>
    <row r="12" spans="1:7" x14ac:dyDescent="0.25">
      <c r="A12" s="1"/>
      <c r="B12" s="71"/>
      <c r="C12" s="72"/>
      <c r="D12" s="72"/>
      <c r="E12" s="72"/>
      <c r="F12" s="19"/>
      <c r="G12" s="1"/>
    </row>
    <row r="13" spans="1:7" ht="64.900000000000006" customHeight="1" x14ac:dyDescent="0.25">
      <c r="A13" s="1"/>
      <c r="B13" s="114" t="s">
        <v>252</v>
      </c>
      <c r="C13" s="115"/>
      <c r="D13" s="115"/>
      <c r="E13" s="115"/>
      <c r="F13" s="116"/>
      <c r="G13" s="1"/>
    </row>
    <row r="14" spans="1:7" ht="27" customHeight="1" x14ac:dyDescent="0.25">
      <c r="A14" s="1"/>
      <c r="B14" s="1"/>
      <c r="C14" s="1"/>
      <c r="D14" s="1"/>
      <c r="E14" s="1"/>
      <c r="F14" s="1"/>
      <c r="G14" s="1"/>
    </row>
    <row r="15" spans="1:7" ht="28.5" customHeight="1" x14ac:dyDescent="0.25">
      <c r="A15" s="1"/>
      <c r="B15" s="125" t="s">
        <v>157</v>
      </c>
      <c r="C15" s="126"/>
      <c r="D15" s="126"/>
      <c r="E15" s="126"/>
      <c r="F15" s="127"/>
      <c r="G15" s="1"/>
    </row>
    <row r="16" spans="1:7" x14ac:dyDescent="0.25">
      <c r="A16" s="1"/>
      <c r="B16" s="128" t="s">
        <v>236</v>
      </c>
      <c r="C16" s="129"/>
      <c r="D16" s="130"/>
      <c r="E16" s="9">
        <v>0</v>
      </c>
      <c r="F16" s="14" t="s">
        <v>3</v>
      </c>
      <c r="G16" s="1"/>
    </row>
    <row r="17" spans="1:7" x14ac:dyDescent="0.25">
      <c r="A17" s="1"/>
      <c r="B17" s="128" t="s">
        <v>237</v>
      </c>
      <c r="C17" s="129"/>
      <c r="D17" s="130"/>
      <c r="E17" s="9">
        <v>0</v>
      </c>
      <c r="F17" s="14" t="s">
        <v>3</v>
      </c>
      <c r="G17" s="1"/>
    </row>
    <row r="18" spans="1:7" x14ac:dyDescent="0.25">
      <c r="A18" s="1"/>
      <c r="B18" s="71"/>
      <c r="C18" s="72"/>
      <c r="D18" s="72"/>
      <c r="E18" s="72"/>
      <c r="F18" s="19"/>
      <c r="G18" s="1"/>
    </row>
    <row r="19" spans="1:7" ht="31.5" customHeight="1" x14ac:dyDescent="0.25">
      <c r="A19" s="1"/>
      <c r="B19" s="114" t="s">
        <v>158</v>
      </c>
      <c r="C19" s="115"/>
      <c r="D19" s="115"/>
      <c r="E19" s="115"/>
      <c r="F19" s="116"/>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238</v>
      </c>
      <c r="C22" s="77"/>
      <c r="D22" s="78"/>
      <c r="E22" s="9">
        <v>31220655.840468749</v>
      </c>
      <c r="F22" s="14" t="s">
        <v>3</v>
      </c>
      <c r="G22" s="1"/>
    </row>
    <row r="23" spans="1:7" x14ac:dyDescent="0.25">
      <c r="A23" s="1"/>
      <c r="B23" s="76" t="s">
        <v>187</v>
      </c>
      <c r="C23" s="77"/>
      <c r="D23" s="78"/>
      <c r="E23" s="9">
        <v>33466524</v>
      </c>
      <c r="F23" s="14" t="s">
        <v>3</v>
      </c>
      <c r="G23" s="1"/>
    </row>
    <row r="24" spans="1:7" x14ac:dyDescent="0.25">
      <c r="A24" s="1"/>
      <c r="B24" s="76" t="s">
        <v>31</v>
      </c>
      <c r="C24" s="77"/>
      <c r="D24" s="78"/>
      <c r="E24" s="9">
        <v>0</v>
      </c>
      <c r="F24" s="14" t="s">
        <v>3</v>
      </c>
      <c r="G24" s="1"/>
    </row>
    <row r="25" spans="1:7" x14ac:dyDescent="0.25">
      <c r="A25" s="1"/>
      <c r="B25" s="51" t="s">
        <v>253</v>
      </c>
      <c r="C25" s="52"/>
      <c r="D25" s="53"/>
      <c r="E25" s="57">
        <f>E22-(E23-E24)</f>
        <v>-2245868.1595312506</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5" t="s">
        <v>239</v>
      </c>
      <c r="C28" s="126"/>
      <c r="D28" s="126"/>
      <c r="E28" s="126"/>
      <c r="F28" s="127"/>
      <c r="G28" s="1"/>
    </row>
    <row r="29" spans="1:7" x14ac:dyDescent="0.25">
      <c r="A29" s="1"/>
      <c r="B29" s="146" t="s">
        <v>128</v>
      </c>
      <c r="C29" s="147"/>
      <c r="D29" s="148"/>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6" t="s">
        <v>93</v>
      </c>
      <c r="C30" s="147"/>
      <c r="D30" s="148"/>
      <c r="E30" s="9">
        <v>2</v>
      </c>
      <c r="F30" s="14" t="s">
        <v>18</v>
      </c>
      <c r="G30" s="1"/>
    </row>
    <row r="31" spans="1:7" x14ac:dyDescent="0.25">
      <c r="A31" s="1"/>
      <c r="B31" s="139" t="s">
        <v>127</v>
      </c>
      <c r="C31" s="139"/>
      <c r="D31" s="139"/>
      <c r="E31" s="10">
        <f>E29/E30</f>
        <v>0</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y/6uCXWIc0G0V9UIlZO3qtWkg5SXfRh9HjQ7Swq78Ny+C27KFzlUr2HUWbPauWLQHCpv6rXQBsTvAbUG3f+TqQ==" saltValue="cmnCgP+X5lIGlwkeFIArv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2" t="s">
        <v>226</v>
      </c>
      <c r="C3" s="102"/>
      <c r="D3" s="102"/>
      <c r="E3" s="102"/>
      <c r="F3" s="102"/>
      <c r="G3" s="102"/>
      <c r="H3" s="102"/>
      <c r="I3" s="1"/>
    </row>
    <row r="4" spans="1:9" ht="15" customHeight="1" x14ac:dyDescent="0.25">
      <c r="A4" s="1"/>
      <c r="B4" s="102"/>
      <c r="C4" s="102"/>
      <c r="D4" s="102"/>
      <c r="E4" s="102"/>
      <c r="F4" s="102"/>
      <c r="G4" s="102"/>
      <c r="H4" s="10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227</v>
      </c>
      <c r="C8" s="126"/>
      <c r="D8" s="126"/>
      <c r="E8" s="126"/>
      <c r="F8" s="126"/>
      <c r="G8" s="126"/>
      <c r="H8" s="127"/>
      <c r="I8" s="1"/>
    </row>
    <row r="9" spans="1:9" ht="15" customHeight="1" x14ac:dyDescent="0.25">
      <c r="A9" s="1"/>
      <c r="B9" s="120" t="s">
        <v>228</v>
      </c>
      <c r="C9" s="121"/>
      <c r="D9" s="121"/>
      <c r="E9" s="121"/>
      <c r="F9" s="121"/>
      <c r="G9" s="121"/>
      <c r="H9" s="122"/>
      <c r="I9" s="1"/>
    </row>
    <row r="10" spans="1:9" x14ac:dyDescent="0.25">
      <c r="A10" s="1"/>
      <c r="B10" s="149" t="s">
        <v>244</v>
      </c>
      <c r="C10" s="150"/>
      <c r="D10" s="150"/>
      <c r="E10" s="150"/>
      <c r="F10" s="151"/>
      <c r="G10" s="56">
        <v>0</v>
      </c>
      <c r="H10" s="9" t="s">
        <v>3</v>
      </c>
      <c r="I10" s="1"/>
    </row>
    <row r="11" spans="1:9" x14ac:dyDescent="0.25">
      <c r="A11" s="1"/>
      <c r="B11" s="149" t="s">
        <v>245</v>
      </c>
      <c r="C11" s="150"/>
      <c r="D11" s="150"/>
      <c r="E11" s="150"/>
      <c r="F11" s="151"/>
      <c r="G11" s="56">
        <v>0</v>
      </c>
      <c r="H11" s="9" t="s">
        <v>3</v>
      </c>
      <c r="I11" s="1"/>
    </row>
    <row r="12" spans="1:9" x14ac:dyDescent="0.25">
      <c r="A12" s="1"/>
      <c r="B12" s="149" t="s">
        <v>246</v>
      </c>
      <c r="C12" s="150"/>
      <c r="D12" s="150"/>
      <c r="E12" s="150"/>
      <c r="F12" s="151"/>
      <c r="G12" s="9">
        <v>0</v>
      </c>
      <c r="H12" s="9" t="s">
        <v>3</v>
      </c>
      <c r="I12" s="1"/>
    </row>
    <row r="13" spans="1:9" x14ac:dyDescent="0.25">
      <c r="A13" s="1"/>
      <c r="B13" s="149" t="s">
        <v>247</v>
      </c>
      <c r="C13" s="150"/>
      <c r="D13" s="150"/>
      <c r="E13" s="150"/>
      <c r="F13" s="151"/>
      <c r="G13" s="9">
        <v>0</v>
      </c>
      <c r="H13" s="9" t="s">
        <v>3</v>
      </c>
      <c r="I13" s="1"/>
    </row>
    <row r="14" spans="1:9" x14ac:dyDescent="0.25">
      <c r="A14" s="1"/>
      <c r="B14" s="149" t="s">
        <v>248</v>
      </c>
      <c r="C14" s="150"/>
      <c r="D14" s="150"/>
      <c r="E14" s="150"/>
      <c r="F14" s="151"/>
      <c r="G14" s="9">
        <v>0</v>
      </c>
      <c r="H14" s="9" t="s">
        <v>3</v>
      </c>
      <c r="I14" s="1"/>
    </row>
    <row r="15" spans="1:9" x14ac:dyDescent="0.25">
      <c r="A15" s="1"/>
      <c r="B15" s="149" t="s">
        <v>249</v>
      </c>
      <c r="C15" s="150"/>
      <c r="D15" s="150"/>
      <c r="E15" s="150"/>
      <c r="F15" s="151"/>
      <c r="G15" s="9">
        <v>0</v>
      </c>
      <c r="H15" s="9" t="s">
        <v>3</v>
      </c>
      <c r="I15" s="1"/>
    </row>
    <row r="16" spans="1:9" x14ac:dyDescent="0.25">
      <c r="A16" s="1"/>
      <c r="B16" s="149" t="s">
        <v>250</v>
      </c>
      <c r="C16" s="150"/>
      <c r="D16" s="150"/>
      <c r="E16" s="150"/>
      <c r="F16" s="151"/>
      <c r="G16" s="9">
        <v>0</v>
      </c>
      <c r="H16" s="9" t="s">
        <v>3</v>
      </c>
      <c r="I16" s="1"/>
    </row>
    <row r="17" spans="1:9" x14ac:dyDescent="0.25">
      <c r="A17" s="1"/>
      <c r="B17" s="149" t="s">
        <v>251</v>
      </c>
      <c r="C17" s="150"/>
      <c r="D17" s="150"/>
      <c r="E17" s="150"/>
      <c r="F17" s="151"/>
      <c r="G17" s="9">
        <v>0</v>
      </c>
      <c r="H17" s="9" t="s">
        <v>3</v>
      </c>
      <c r="I17" s="1"/>
    </row>
    <row r="18" spans="1:9" x14ac:dyDescent="0.25">
      <c r="A18" s="1"/>
      <c r="B18" s="125" t="s">
        <v>229</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SR/HBn7oeiAGt9XeMPXUQ7oQL4WIZLCPDGxMSpqjJ9zcLOae5ymhd1iPeHOdvl1RsSt0DfutjwTeboKq7ZLCgQ==" saltValue="XQ8XAaNtUKnZ1m49gnkLS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4.42578125" style="2" customWidth="1"/>
    <col min="6" max="6" width="10" style="2" customWidth="1"/>
    <col min="7" max="7" width="2.7109375" style="2" customWidth="1"/>
    <col min="8" max="8" width="10" style="2" customWidth="1"/>
    <col min="9" max="9" width="2.7109375" style="2" customWidth="1"/>
    <col min="10" max="10" width="9.1406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2" t="s">
        <v>220</v>
      </c>
      <c r="C3" s="102"/>
      <c r="D3" s="102"/>
      <c r="E3" s="102"/>
      <c r="F3" s="102"/>
      <c r="G3" s="102"/>
      <c r="H3" s="102"/>
      <c r="I3" s="102"/>
      <c r="J3" s="102"/>
      <c r="K3" s="102"/>
      <c r="L3" s="1"/>
    </row>
    <row r="4" spans="1:12" ht="15" customHeight="1" x14ac:dyDescent="0.25">
      <c r="A4" s="1"/>
      <c r="B4" s="102"/>
      <c r="C4" s="102"/>
      <c r="D4" s="102"/>
      <c r="E4" s="102"/>
      <c r="F4" s="102"/>
      <c r="G4" s="102"/>
      <c r="H4" s="102"/>
      <c r="I4" s="102"/>
      <c r="J4" s="102"/>
      <c r="K4" s="10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192</v>
      </c>
      <c r="C8" s="126"/>
      <c r="D8" s="126"/>
      <c r="E8" s="126"/>
      <c r="F8" s="126"/>
      <c r="G8" s="126"/>
      <c r="H8" s="126"/>
      <c r="I8" s="126"/>
      <c r="J8" s="126"/>
      <c r="K8" s="127"/>
      <c r="L8" s="1"/>
    </row>
    <row r="9" spans="1:12" ht="39.75" customHeight="1" x14ac:dyDescent="0.25">
      <c r="A9" s="1"/>
      <c r="B9" s="18" t="s">
        <v>0</v>
      </c>
      <c r="C9" s="18" t="s">
        <v>1</v>
      </c>
      <c r="D9" s="152" t="s">
        <v>213</v>
      </c>
      <c r="E9" s="153"/>
      <c r="F9" s="152" t="s">
        <v>2</v>
      </c>
      <c r="G9" s="153"/>
      <c r="H9" s="152" t="s">
        <v>214</v>
      </c>
      <c r="I9" s="153"/>
      <c r="J9" s="152" t="s">
        <v>28</v>
      </c>
      <c r="K9" s="153"/>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82"/>
      <c r="L49" s="55"/>
    </row>
    <row r="50" spans="1:12" x14ac:dyDescent="0.25">
      <c r="A50" s="82"/>
      <c r="L50" s="55"/>
    </row>
    <row r="51" spans="1:12" x14ac:dyDescent="0.25">
      <c r="A51" s="82"/>
      <c r="L51" s="55"/>
    </row>
    <row r="52" spans="1:12" x14ac:dyDescent="0.25">
      <c r="A52" s="82"/>
      <c r="L52" s="55"/>
    </row>
  </sheetData>
  <sheetProtection algorithmName="SHA-512" hashValue="8wgAq1kX6wUvcrzgeenjjTTUglp5B3/4JJ1VoViseRhav+G86XdXt3ATT7tXuRH7S15ok9NnAPtgYk+PHcVN8A==" saltValue="2EHuAVxAbINpj5LOWi6AS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221</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240</v>
      </c>
      <c r="C11" s="21">
        <v>0</v>
      </c>
      <c r="D11" s="14" t="s">
        <v>3</v>
      </c>
      <c r="E11" s="9">
        <v>0</v>
      </c>
      <c r="F11" s="14" t="s">
        <v>3</v>
      </c>
      <c r="G11" s="1"/>
    </row>
    <row r="12" spans="1:7" x14ac:dyDescent="0.25">
      <c r="A12" s="1"/>
      <c r="B12" s="71" t="s">
        <v>148</v>
      </c>
      <c r="C12" s="12">
        <f>SUM(C10:C11)</f>
        <v>0</v>
      </c>
      <c r="D12" s="13" t="s">
        <v>3</v>
      </c>
      <c r="E12" s="12">
        <f>SUM(E10:E11)</f>
        <v>0</v>
      </c>
      <c r="F12" s="13" t="s">
        <v>3</v>
      </c>
      <c r="G12" s="1"/>
    </row>
    <row r="13" spans="1:7" x14ac:dyDescent="0.25">
      <c r="A13" s="1"/>
      <c r="B13" s="71"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6VdZ4MtvHq1uwmLUMyB1qyXdMd19Lld9SpUyJ0CvVRGSawIKzG5IaRNhH8jtOEDS49vUZhsll25HcMz7u1bjw==" saltValue="vxDUoJSGCQPadtmltjFzA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222</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5" t="s">
        <v>88</v>
      </c>
      <c r="C9" s="126"/>
      <c r="D9" s="126"/>
      <c r="E9" s="126"/>
      <c r="F9" s="127"/>
      <c r="G9" s="1"/>
    </row>
    <row r="10" spans="1:7" ht="26.25" x14ac:dyDescent="0.25">
      <c r="A10" s="1"/>
      <c r="B10" s="69" t="s">
        <v>15</v>
      </c>
      <c r="C10" s="69" t="s">
        <v>10</v>
      </c>
      <c r="D10" s="70"/>
      <c r="E10" s="69" t="s">
        <v>29</v>
      </c>
      <c r="F10" s="66"/>
      <c r="G10" s="1"/>
    </row>
    <row r="11" spans="1:7" x14ac:dyDescent="0.25">
      <c r="A11" s="1"/>
      <c r="B11" s="22" t="s">
        <v>241</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LIRH+dLq51kaGR1rblAMoVNAp0+OUyWQJZCpJkquNjY32S9vXWy1OhLina+NKzrKxj9iU8ylKq1lWHQ78DOL2g==" saltValue="hmwU1iO1y6BV96JpUYpgH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223</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112</v>
      </c>
      <c r="C8" s="126"/>
      <c r="D8" s="126"/>
      <c r="E8" s="126"/>
      <c r="F8" s="127"/>
      <c r="G8" s="1"/>
    </row>
    <row r="9" spans="1:7" ht="15" customHeight="1" x14ac:dyDescent="0.25">
      <c r="A9" s="1"/>
      <c r="B9" s="65" t="s">
        <v>113</v>
      </c>
      <c r="C9" s="120" t="s">
        <v>10</v>
      </c>
      <c r="D9" s="122"/>
      <c r="E9" s="120" t="s">
        <v>29</v>
      </c>
      <c r="F9" s="122"/>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qWgcMK2SE6HGo8uFysCgPgcWIBqeN/rnGVBYFCSGq+UEc5trkLZT/S588caHOey6BTXlUgpF360rk/GAn29UDg==" saltValue="7Y6SMhJwgb8TWV0r2VkZr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224</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5" t="s">
        <v>85</v>
      </c>
      <c r="C10" s="126"/>
      <c r="D10" s="126"/>
      <c r="E10" s="126"/>
      <c r="F10" s="127"/>
      <c r="G10" s="1"/>
    </row>
    <row r="11" spans="1:7" ht="26.25" x14ac:dyDescent="0.25">
      <c r="A11" s="1"/>
      <c r="B11" s="65" t="s">
        <v>16</v>
      </c>
      <c r="C11" s="65" t="s">
        <v>10</v>
      </c>
      <c r="D11" s="66"/>
      <c r="E11" s="65" t="s">
        <v>29</v>
      </c>
      <c r="F11" s="66"/>
      <c r="G11" s="1"/>
    </row>
    <row r="12" spans="1:7" x14ac:dyDescent="0.25">
      <c r="A12" s="1"/>
      <c r="B12" s="22" t="s">
        <v>243</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sk+M805JquCoA62KzHp8WtaYLjcHtHffzVfBPaNz4erAHQxxfxVZWCL5V3Zs8Y4x78pihFc752QbTn4ShH8eHw==" saltValue="rHm4pS7ihSNRUTQI6GJHO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0" t="s">
        <v>225</v>
      </c>
      <c r="C3" s="110"/>
      <c r="D3" s="1"/>
    </row>
    <row r="4" spans="1:4" ht="25.5" customHeight="1" x14ac:dyDescent="0.25">
      <c r="A4" s="1"/>
      <c r="B4" s="110"/>
      <c r="C4" s="110"/>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5"/>
      <c r="C16" s="127"/>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40"/>
      <c r="B50" s="40"/>
      <c r="C50" s="83"/>
      <c r="D50" s="40"/>
    </row>
    <row r="51" spans="1:4" x14ac:dyDescent="0.25">
      <c r="A51" s="40"/>
      <c r="B51" s="40"/>
      <c r="C51" s="83"/>
      <c r="D51" s="40"/>
    </row>
    <row r="52" spans="1:4" x14ac:dyDescent="0.25">
      <c r="A52" s="40"/>
      <c r="B52" s="40"/>
      <c r="C52" s="83"/>
      <c r="D52" s="40"/>
    </row>
    <row r="53" spans="1:4" x14ac:dyDescent="0.25">
      <c r="A53" s="40"/>
      <c r="B53" s="40"/>
      <c r="C53" s="83"/>
      <c r="D53" s="40"/>
    </row>
  </sheetData>
  <sheetProtection algorithmName="SHA-512" hashValue="s0oRoZ5b2VCKRDuUNwPTxDj6PGSlYMkv3p4/CiVkepeLk7Sm644fEz4vsu9eZtRh2odwXZiaEt3pcTwkqwxYdg==" saltValue="/X+3evkjDIeln39bZCkEv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165</v>
      </c>
      <c r="C3" s="102"/>
      <c r="D3" s="102"/>
      <c r="E3" s="1"/>
    </row>
    <row r="4" spans="1:5" ht="15" customHeight="1" x14ac:dyDescent="0.25">
      <c r="A4" s="1"/>
      <c r="B4" s="102"/>
      <c r="C4" s="102"/>
      <c r="D4" s="102"/>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15640797.582161885</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556812.39392496308</v>
      </c>
      <c r="D15" s="8" t="s">
        <v>3</v>
      </c>
      <c r="E15" s="1"/>
    </row>
    <row r="16" spans="1:5" ht="17.25" customHeight="1" x14ac:dyDescent="0.25">
      <c r="A16" s="1"/>
      <c r="B16" s="23" t="s">
        <v>9</v>
      </c>
      <c r="C16" s="9">
        <f>-SUM(C8,C9:C15)*'Fane 5. Individuelt eff. krav'!G9</f>
        <v>-237377.92502196276</v>
      </c>
      <c r="D16" s="8" t="s">
        <v>3</v>
      </c>
      <c r="E16" s="1"/>
    </row>
    <row r="17" spans="1:5" ht="17.25" customHeight="1" x14ac:dyDescent="0.25">
      <c r="A17" s="1"/>
      <c r="B17" s="23" t="s">
        <v>23</v>
      </c>
      <c r="C17" s="9">
        <f>-'Fane 4.1. Gen. krav - drift'!G43</f>
        <v>-154231.27639794204</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15806000.774666943</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omk.'!C15</f>
        <v>16334842.592352962</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0</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32140843.367019907</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Z8jdC42XzVe4MescbN5c0bP0IfcaQ0hfOmQD6HMi3Y8Wvi+YuZAPqJ30GNmjGhyaJ6ZdwtO91gepx/o79NzjKw==" saltValue="regOFiMV1sjLGA5EXNTg5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166</v>
      </c>
      <c r="C3" s="102"/>
      <c r="D3" s="102"/>
      <c r="E3" s="1"/>
    </row>
    <row r="4" spans="1:5" ht="15" customHeight="1" x14ac:dyDescent="0.25">
      <c r="A4" s="1"/>
      <c r="B4" s="102"/>
      <c r="C4" s="102"/>
      <c r="D4" s="102"/>
      <c r="E4" s="1"/>
    </row>
    <row r="5" spans="1:5" x14ac:dyDescent="0.25">
      <c r="A5" s="1"/>
      <c r="B5" s="103"/>
      <c r="C5" s="103"/>
      <c r="D5" s="103"/>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15806000.774666943</v>
      </c>
      <c r="D8" s="8" t="s">
        <v>3</v>
      </c>
      <c r="E8" s="1"/>
    </row>
    <row r="9" spans="1:5" ht="15" customHeight="1" x14ac:dyDescent="0.25">
      <c r="A9" s="1"/>
      <c r="B9" s="64" t="s">
        <v>17</v>
      </c>
      <c r="C9" s="9">
        <f>SUM(C8:C8)*'Fane 13. Nøgletal'!C15</f>
        <v>562693.62757814315</v>
      </c>
      <c r="D9" s="8" t="s">
        <v>3</v>
      </c>
      <c r="E9" s="1"/>
    </row>
    <row r="10" spans="1:5" ht="15" customHeight="1" x14ac:dyDescent="0.25">
      <c r="A10" s="1"/>
      <c r="B10" s="64" t="s">
        <v>9</v>
      </c>
      <c r="C10" s="9">
        <f>-SUM(C8:C9)*'Fane 5. Individuelt eff. krav'!G9</f>
        <v>-239885.1878925327</v>
      </c>
      <c r="D10" s="8" t="s">
        <v>3</v>
      </c>
      <c r="E10" s="1"/>
    </row>
    <row r="11" spans="1:5" ht="15" customHeight="1" x14ac:dyDescent="0.25">
      <c r="A11" s="1"/>
      <c r="B11" s="64" t="s">
        <v>23</v>
      </c>
      <c r="C11" s="9">
        <f>-'Fane 4.1. Gen. krav - drift'!G48</f>
        <v>-156527.47164095464</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15972281.7427116</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f>
        <v>16916362.988640729</v>
      </c>
      <c r="D15" s="11" t="s">
        <v>3</v>
      </c>
      <c r="E15" s="1"/>
    </row>
    <row r="16" spans="1:5" x14ac:dyDescent="0.25">
      <c r="A16" s="1"/>
      <c r="B16" s="25" t="s">
        <v>128</v>
      </c>
      <c r="C16" s="72"/>
      <c r="D16" s="19"/>
      <c r="E16" s="1"/>
    </row>
    <row r="17" spans="1:5" ht="15" customHeight="1" x14ac:dyDescent="0.25">
      <c r="A17" s="1"/>
      <c r="B17" s="80" t="s">
        <v>129</v>
      </c>
      <c r="C17" s="10">
        <f>'Fane 7. Kontrol af ØR2021'!E31</f>
        <v>0</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32888644.731352329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ri3QC7UOwVul0Mw5joqZWrKKgPzB0/v6mH3jn3uqDYyHlQnGknBt3HAiYIiKw4CWavpkj7vkBSAbBO4H6yH94A==" saltValue="2S7y/DnndWxrFbsuprMPD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167</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15972281.7427116</v>
      </c>
      <c r="D8" s="8" t="s">
        <v>3</v>
      </c>
      <c r="E8" s="1"/>
    </row>
    <row r="9" spans="1:5" ht="15" customHeight="1" x14ac:dyDescent="0.25">
      <c r="A9" s="1"/>
      <c r="B9" s="64" t="s">
        <v>17</v>
      </c>
      <c r="C9" s="9">
        <f>SUM(C8:C8)*'Fane 13. Nøgletal'!C15</f>
        <v>568613.230040533</v>
      </c>
      <c r="D9" s="8" t="s">
        <v>3</v>
      </c>
      <c r="E9" s="1"/>
    </row>
    <row r="10" spans="1:5" ht="15" customHeight="1" x14ac:dyDescent="0.25">
      <c r="A10" s="1"/>
      <c r="B10" s="64" t="s">
        <v>9</v>
      </c>
      <c r="C10" s="9">
        <f>-SUM(C8:C9)*'Fane 5. Individuelt eff. krav'!G9</f>
        <v>-242408.80799296164</v>
      </c>
      <c r="D10" s="8" t="s">
        <v>3</v>
      </c>
      <c r="E10" s="1"/>
    </row>
    <row r="11" spans="1:5" ht="15" customHeight="1" x14ac:dyDescent="0.25">
      <c r="A11" s="1"/>
      <c r="B11" s="64" t="s">
        <v>23</v>
      </c>
      <c r="C11" s="9">
        <f>-'Fane 4.1. Gen. krav - drift'!G53</f>
        <v>-158857.85263874519</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16139628.312120426</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Nøgletal'!C15)^2</f>
        <v>17518585.51103634</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33658213.823156767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w33mIn2V56sHapac5KFMZeEYUYyO9ZHNRnHenLWeJgX1B8a3Bof6uuErWUM4OSNpIIXwyPFjJcPSMV7unVdbIA==" saltValue="IxpdhWVxN1vtxzHdCClX5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168</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16139628.312120426</v>
      </c>
      <c r="D8" s="8" t="s">
        <v>3</v>
      </c>
      <c r="E8" s="1"/>
    </row>
    <row r="9" spans="1:5" ht="15" customHeight="1" x14ac:dyDescent="0.25">
      <c r="A9" s="1"/>
      <c r="B9" s="64" t="s">
        <v>17</v>
      </c>
      <c r="C9" s="9">
        <f>SUM(C8:C8)*'Fane 13. Nøgletal'!C15</f>
        <v>574570.76791148714</v>
      </c>
      <c r="D9" s="8" t="s">
        <v>3</v>
      </c>
      <c r="E9" s="1"/>
    </row>
    <row r="10" spans="1:5" ht="15" customHeight="1" x14ac:dyDescent="0.25">
      <c r="A10" s="1"/>
      <c r="B10" s="64" t="s">
        <v>9</v>
      </c>
      <c r="C10" s="9">
        <f>-SUM(C8:C9)*'Fane 5. Individuelt eff. krav'!G9</f>
        <v>-244948.60055770373</v>
      </c>
      <c r="D10" s="8" t="s">
        <v>3</v>
      </c>
      <c r="E10" s="1"/>
    </row>
    <row r="11" spans="1:5" ht="15" customHeight="1" x14ac:dyDescent="0.25">
      <c r="A11" s="1"/>
      <c r="B11" s="64" t="s">
        <v>23</v>
      </c>
      <c r="C11" s="9">
        <f>-'Fane 4.1. Gen. krav - drift'!G58</f>
        <v>-161222.92834883084</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16308027.551125379</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Nøgletal'!C15)^3</f>
        <v>18142247.155229233</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34450274.706354611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UObnqt4gJrwPGp9dsKuDYUbdrutL0e3E/0EPgzF4WY8Ve9Rw/5twwpRWBTJroyM6grDG4mdUtSTanTHO22xeDA==" saltValue="Ky2shiTVMeQOEE2k9V/M/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171</v>
      </c>
      <c r="C3" s="110"/>
      <c r="D3" s="110"/>
      <c r="E3" s="110"/>
      <c r="F3" s="110"/>
      <c r="G3" s="1"/>
    </row>
    <row r="4" spans="1:7" ht="29.2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11" t="s">
        <v>22</v>
      </c>
      <c r="C9" s="112"/>
      <c r="D9" s="113"/>
      <c r="E9" s="7">
        <v>16117289.606585549</v>
      </c>
      <c r="F9" s="8" t="s">
        <v>3</v>
      </c>
      <c r="G9" s="1"/>
    </row>
    <row r="10" spans="1:7" ht="15" customHeight="1" x14ac:dyDescent="0.25">
      <c r="A10" s="1"/>
      <c r="B10" s="104" t="s">
        <v>35</v>
      </c>
      <c r="C10" s="105"/>
      <c r="D10" s="106"/>
      <c r="E10" s="9">
        <v>0</v>
      </c>
      <c r="F10" s="8" t="s">
        <v>3</v>
      </c>
      <c r="G10" s="1"/>
    </row>
    <row r="11" spans="1:7" ht="15" customHeight="1" x14ac:dyDescent="0.25">
      <c r="A11" s="1"/>
      <c r="B11" s="104" t="s">
        <v>36</v>
      </c>
      <c r="C11" s="105"/>
      <c r="D11" s="106"/>
      <c r="E11" s="9">
        <v>0</v>
      </c>
      <c r="F11" s="8" t="s">
        <v>3</v>
      </c>
      <c r="G11" s="1"/>
    </row>
    <row r="12" spans="1:7" x14ac:dyDescent="0.25">
      <c r="A12" s="1"/>
      <c r="B12" s="104" t="s">
        <v>26</v>
      </c>
      <c r="C12" s="105"/>
      <c r="D12" s="106"/>
      <c r="E12" s="9">
        <v>0</v>
      </c>
      <c r="F12" s="8" t="s">
        <v>3</v>
      </c>
      <c r="G12" s="1"/>
    </row>
    <row r="13" spans="1:7" x14ac:dyDescent="0.25">
      <c r="A13" s="1"/>
      <c r="B13" s="104" t="s">
        <v>25</v>
      </c>
      <c r="C13" s="105"/>
      <c r="D13" s="106"/>
      <c r="E13" s="9">
        <v>0</v>
      </c>
      <c r="F13" s="8" t="s">
        <v>3</v>
      </c>
      <c r="G13" s="1"/>
    </row>
    <row r="14" spans="1:7" x14ac:dyDescent="0.25">
      <c r="A14" s="1"/>
      <c r="B14" s="104" t="s">
        <v>114</v>
      </c>
      <c r="C14" s="105"/>
      <c r="D14" s="106"/>
      <c r="E14" s="9">
        <v>0</v>
      </c>
      <c r="F14" s="8" t="s">
        <v>3</v>
      </c>
      <c r="G14" s="1"/>
    </row>
    <row r="15" spans="1:7" x14ac:dyDescent="0.25">
      <c r="A15" s="1"/>
      <c r="B15" s="104" t="s">
        <v>115</v>
      </c>
      <c r="C15" s="105"/>
      <c r="D15" s="106"/>
      <c r="E15" s="9">
        <v>0</v>
      </c>
      <c r="F15" s="8" t="s">
        <v>3</v>
      </c>
      <c r="G15" s="1"/>
    </row>
    <row r="16" spans="1:7" x14ac:dyDescent="0.25">
      <c r="A16" s="1"/>
      <c r="B16" s="104" t="s">
        <v>17</v>
      </c>
      <c r="C16" s="105"/>
      <c r="D16" s="106"/>
      <c r="E16" s="9">
        <v>196630.93320034372</v>
      </c>
      <c r="F16" s="8" t="s">
        <v>3</v>
      </c>
      <c r="G16" s="30"/>
    </row>
    <row r="17" spans="1:7" x14ac:dyDescent="0.25">
      <c r="A17" s="1"/>
      <c r="B17" s="104" t="s">
        <v>9</v>
      </c>
      <c r="C17" s="105"/>
      <c r="D17" s="106"/>
      <c r="E17" s="9">
        <v>-245220.92218308372</v>
      </c>
      <c r="F17" s="8" t="s">
        <v>3</v>
      </c>
      <c r="G17" s="1"/>
    </row>
    <row r="18" spans="1:7" x14ac:dyDescent="0.25">
      <c r="A18" s="1"/>
      <c r="B18" s="104" t="s">
        <v>23</v>
      </c>
      <c r="C18" s="105"/>
      <c r="D18" s="106"/>
      <c r="E18" s="9">
        <v>-151968.76541839301</v>
      </c>
      <c r="F18" s="8" t="s">
        <v>3</v>
      </c>
      <c r="G18" s="1"/>
    </row>
    <row r="19" spans="1:7" x14ac:dyDescent="0.25">
      <c r="A19" s="1"/>
      <c r="B19" s="104" t="s">
        <v>24</v>
      </c>
      <c r="C19" s="105"/>
      <c r="D19" s="106"/>
      <c r="E19" s="9">
        <v>-275933.27002253168</v>
      </c>
      <c r="F19" s="8" t="s">
        <v>3</v>
      </c>
      <c r="G19" s="1"/>
    </row>
    <row r="20" spans="1:7" x14ac:dyDescent="0.25">
      <c r="A20" s="1"/>
      <c r="B20" s="117" t="s">
        <v>19</v>
      </c>
      <c r="C20" s="118"/>
      <c r="D20" s="119"/>
      <c r="E20" s="31">
        <f>SUM(E9:E19)</f>
        <v>15640797.582161885</v>
      </c>
      <c r="F20" s="34" t="s">
        <v>3</v>
      </c>
      <c r="G20" s="1"/>
    </row>
    <row r="21" spans="1:7" x14ac:dyDescent="0.25">
      <c r="A21" s="1"/>
      <c r="B21" s="71" t="s">
        <v>11</v>
      </c>
      <c r="C21" s="72"/>
      <c r="D21" s="72"/>
      <c r="E21" s="72"/>
      <c r="F21" s="19"/>
      <c r="G21" s="1"/>
    </row>
    <row r="22" spans="1:7" x14ac:dyDescent="0.25">
      <c r="A22" s="1"/>
      <c r="B22" s="107" t="s">
        <v>11</v>
      </c>
      <c r="C22" s="108"/>
      <c r="D22" s="109"/>
      <c r="E22" s="10">
        <v>13489584.484002883</v>
      </c>
      <c r="F22" s="11" t="s">
        <v>3</v>
      </c>
      <c r="G22" s="1"/>
    </row>
    <row r="23" spans="1:7" ht="15" customHeight="1" x14ac:dyDescent="0.25">
      <c r="A23" s="1"/>
      <c r="B23" s="123" t="s">
        <v>80</v>
      </c>
      <c r="C23" s="124"/>
      <c r="D23" s="124"/>
      <c r="E23" s="72"/>
      <c r="F23" s="72"/>
      <c r="G23" s="1"/>
    </row>
    <row r="24" spans="1:7" ht="14.25" customHeight="1" x14ac:dyDescent="0.25">
      <c r="A24" s="1"/>
      <c r="B24" s="114" t="s">
        <v>76</v>
      </c>
      <c r="C24" s="115"/>
      <c r="D24" s="116"/>
      <c r="E24" s="9">
        <v>0</v>
      </c>
      <c r="F24" s="8" t="s">
        <v>3</v>
      </c>
      <c r="G24" s="1"/>
    </row>
    <row r="25" spans="1:7" ht="14.25" customHeight="1" x14ac:dyDescent="0.25">
      <c r="A25" s="1"/>
      <c r="B25" s="114" t="s">
        <v>77</v>
      </c>
      <c r="C25" s="115"/>
      <c r="D25" s="116"/>
      <c r="E25" s="9">
        <v>0</v>
      </c>
      <c r="F25" s="8" t="s">
        <v>3</v>
      </c>
      <c r="G25" s="1"/>
    </row>
    <row r="26" spans="1:7" x14ac:dyDescent="0.25">
      <c r="A26" s="1"/>
      <c r="B26" s="120" t="s">
        <v>81</v>
      </c>
      <c r="C26" s="121"/>
      <c r="D26" s="121"/>
      <c r="E26" s="10">
        <v>0</v>
      </c>
      <c r="F26" s="11" t="s">
        <v>3</v>
      </c>
      <c r="G26" s="1"/>
    </row>
    <row r="27" spans="1:7" x14ac:dyDescent="0.25">
      <c r="A27" s="1"/>
      <c r="B27" s="71" t="s">
        <v>128</v>
      </c>
      <c r="C27" s="72"/>
      <c r="D27" s="72"/>
      <c r="E27" s="72"/>
      <c r="F27" s="19"/>
      <c r="G27" s="1"/>
    </row>
    <row r="28" spans="1:7" ht="15" customHeight="1" x14ac:dyDescent="0.25">
      <c r="A28" s="1"/>
      <c r="B28" s="120" t="s">
        <v>129</v>
      </c>
      <c r="C28" s="121"/>
      <c r="D28" s="122"/>
      <c r="E28" s="10">
        <v>0</v>
      </c>
      <c r="F28" s="11" t="s">
        <v>3</v>
      </c>
      <c r="G28" s="1"/>
    </row>
    <row r="29" spans="1:7" x14ac:dyDescent="0.25">
      <c r="A29" s="1"/>
      <c r="B29" s="71" t="s">
        <v>159</v>
      </c>
      <c r="C29" s="72"/>
      <c r="D29" s="72"/>
      <c r="E29" s="72"/>
      <c r="F29" s="19"/>
      <c r="G29" s="1"/>
    </row>
    <row r="30" spans="1:7" ht="15.75" customHeight="1" x14ac:dyDescent="0.25">
      <c r="A30" s="1"/>
      <c r="B30" s="107" t="s">
        <v>160</v>
      </c>
      <c r="C30" s="108"/>
      <c r="D30" s="109"/>
      <c r="E30" s="10">
        <v>0</v>
      </c>
      <c r="F30" s="11" t="s">
        <v>3</v>
      </c>
      <c r="G30" s="1"/>
    </row>
    <row r="31" spans="1:7" ht="15.75" customHeight="1" x14ac:dyDescent="0.25">
      <c r="A31" s="1"/>
      <c r="B31" s="125" t="s">
        <v>153</v>
      </c>
      <c r="C31" s="126"/>
      <c r="D31" s="126"/>
      <c r="E31" s="126"/>
      <c r="F31" s="127"/>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29130382.066164769</v>
      </c>
      <c r="F33" s="37" t="s">
        <v>3</v>
      </c>
      <c r="G33" s="1"/>
    </row>
    <row r="34" spans="1:7" ht="27.75" customHeight="1" x14ac:dyDescent="0.25">
      <c r="A34" s="1"/>
      <c r="B34" s="114" t="s">
        <v>173</v>
      </c>
      <c r="C34" s="115"/>
      <c r="D34" s="115"/>
      <c r="E34" s="115"/>
      <c r="F34" s="11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o95wOcw7/N4RuCJO5dV3jmMYErNBZmr3IH/Xid/aCKnH7vm3HL+jSmhyXxRqbMc8M7PO+iatfcr5aSeGTiTzg==" saltValue="LuSc58c6vKiy5AcghWZCdA=="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3"/>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5.85546875" style="2" customWidth="1"/>
    <col min="9" max="9" width="6.7109375" style="2" customWidth="1"/>
    <col min="10" max="16384" width="9" style="2"/>
  </cols>
  <sheetData>
    <row r="1" spans="1:9" ht="15" customHeight="1" x14ac:dyDescent="0.25">
      <c r="A1" s="1"/>
      <c r="B1" s="110" t="s">
        <v>98</v>
      </c>
      <c r="C1" s="110"/>
      <c r="D1" s="110"/>
      <c r="E1" s="110"/>
      <c r="F1" s="110"/>
      <c r="G1" s="110"/>
      <c r="H1" s="110"/>
      <c r="I1" s="1"/>
    </row>
    <row r="2" spans="1:9" ht="15" customHeight="1" x14ac:dyDescent="0.25">
      <c r="A2" s="1"/>
      <c r="B2" s="110"/>
      <c r="C2" s="110"/>
      <c r="D2" s="110"/>
      <c r="E2" s="110"/>
      <c r="F2" s="110"/>
      <c r="G2" s="110"/>
      <c r="H2" s="110"/>
      <c r="I2" s="1"/>
    </row>
    <row r="3" spans="1:9" ht="15" customHeight="1" x14ac:dyDescent="0.25">
      <c r="A3" s="1"/>
      <c r="B3" s="110"/>
      <c r="C3" s="110"/>
      <c r="D3" s="110"/>
      <c r="E3" s="110"/>
      <c r="F3" s="110"/>
      <c r="G3" s="110"/>
      <c r="H3" s="110"/>
      <c r="I3" s="1"/>
    </row>
    <row r="4" spans="1:9" x14ac:dyDescent="0.25">
      <c r="A4" s="1"/>
      <c r="B4" s="125" t="s">
        <v>49</v>
      </c>
      <c r="C4" s="126"/>
      <c r="D4" s="126"/>
      <c r="E4" s="126"/>
      <c r="F4" s="126"/>
      <c r="G4" s="126"/>
      <c r="H4" s="127"/>
      <c r="I4" s="1"/>
    </row>
    <row r="5" spans="1:9" x14ac:dyDescent="0.25">
      <c r="A5" s="1"/>
      <c r="B5" s="128" t="s">
        <v>38</v>
      </c>
      <c r="C5" s="129"/>
      <c r="D5" s="129"/>
      <c r="E5" s="129"/>
      <c r="F5" s="130"/>
      <c r="G5" s="58">
        <v>7834729</v>
      </c>
      <c r="H5" s="14" t="s">
        <v>3</v>
      </c>
      <c r="I5" s="1"/>
    </row>
    <row r="6" spans="1:9" x14ac:dyDescent="0.25">
      <c r="A6" s="1"/>
      <c r="B6" s="128" t="s">
        <v>39</v>
      </c>
      <c r="C6" s="129"/>
      <c r="D6" s="129"/>
      <c r="E6" s="129"/>
      <c r="F6" s="130"/>
      <c r="G6" s="58">
        <f>G5*'Fane 13. Nøgletal'!C31</f>
        <v>156694.58000000002</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5" t="s">
        <v>50</v>
      </c>
      <c r="C9" s="126"/>
      <c r="D9" s="126"/>
      <c r="E9" s="126"/>
      <c r="F9" s="126"/>
      <c r="G9" s="131"/>
      <c r="H9" s="127"/>
      <c r="I9" s="1"/>
    </row>
    <row r="10" spans="1:9" x14ac:dyDescent="0.25">
      <c r="A10" s="1"/>
      <c r="B10" s="128" t="s">
        <v>40</v>
      </c>
      <c r="C10" s="129"/>
      <c r="D10" s="129"/>
      <c r="E10" s="129"/>
      <c r="F10" s="130"/>
      <c r="G10" s="58">
        <f>(G5-G6)*(1+'Fane 13. Nøgletal'!C9)</f>
        <v>7775545.4571339991</v>
      </c>
      <c r="H10" s="14" t="s">
        <v>3</v>
      </c>
      <c r="I10" s="1"/>
    </row>
    <row r="11" spans="1:9" x14ac:dyDescent="0.25">
      <c r="A11" s="1"/>
      <c r="B11" s="132" t="s">
        <v>41</v>
      </c>
      <c r="C11" s="133"/>
      <c r="D11" s="133"/>
      <c r="E11" s="133"/>
      <c r="F11" s="134"/>
      <c r="G11" s="58">
        <v>0</v>
      </c>
      <c r="H11" s="14" t="s">
        <v>3</v>
      </c>
      <c r="I11" s="1"/>
    </row>
    <row r="12" spans="1:9" x14ac:dyDescent="0.25">
      <c r="A12" s="1"/>
      <c r="B12" s="128" t="s">
        <v>42</v>
      </c>
      <c r="C12" s="129"/>
      <c r="D12" s="129"/>
      <c r="E12" s="129"/>
      <c r="F12" s="130"/>
      <c r="G12" s="58">
        <f>(G10+G11)*'Fane 13. Nøgletal'!C31</f>
        <v>155510.90914267997</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5" t="s">
        <v>51</v>
      </c>
      <c r="C15" s="126"/>
      <c r="D15" s="126"/>
      <c r="E15" s="126"/>
      <c r="F15" s="126"/>
      <c r="G15" s="131"/>
      <c r="H15" s="127"/>
      <c r="I15" s="1"/>
    </row>
    <row r="16" spans="1:9" x14ac:dyDescent="0.25">
      <c r="A16" s="1"/>
      <c r="B16" s="128" t="s">
        <v>43</v>
      </c>
      <c r="C16" s="129"/>
      <c r="D16" s="129"/>
      <c r="E16" s="129"/>
      <c r="F16" s="130"/>
      <c r="G16" s="58">
        <f>(G10+G11-G12)*(1+'Fane 13. Nøgletal'!C11)</f>
        <v>7748813.1318523725</v>
      </c>
      <c r="H16" s="14" t="s">
        <v>3</v>
      </c>
      <c r="I16" s="1"/>
    </row>
    <row r="17" spans="1:9" x14ac:dyDescent="0.25">
      <c r="A17" s="1"/>
      <c r="B17" s="128" t="s">
        <v>108</v>
      </c>
      <c r="C17" s="129"/>
      <c r="D17" s="129"/>
      <c r="E17" s="129"/>
      <c r="F17" s="130"/>
      <c r="G17" s="58">
        <v>0.20681024974455559</v>
      </c>
      <c r="H17" s="14" t="s">
        <v>3</v>
      </c>
      <c r="I17" s="1"/>
    </row>
    <row r="18" spans="1:9" x14ac:dyDescent="0.25">
      <c r="A18" s="1"/>
      <c r="B18" s="132" t="s">
        <v>44</v>
      </c>
      <c r="C18" s="133"/>
      <c r="D18" s="133"/>
      <c r="E18" s="133"/>
      <c r="F18" s="134"/>
      <c r="G18" s="58">
        <v>0</v>
      </c>
      <c r="H18" s="14" t="s">
        <v>3</v>
      </c>
      <c r="I18" s="1"/>
    </row>
    <row r="19" spans="1:9" x14ac:dyDescent="0.25">
      <c r="A19" s="1"/>
      <c r="B19" s="128" t="s">
        <v>45</v>
      </c>
      <c r="C19" s="129"/>
      <c r="D19" s="129"/>
      <c r="E19" s="129"/>
      <c r="F19" s="130"/>
      <c r="G19" s="58">
        <f>SUM(G16:G18)*'Fane 13. Nøgletal'!C31</f>
        <v>154976.26677325246</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5" t="s">
        <v>52</v>
      </c>
      <c r="C22" s="126"/>
      <c r="D22" s="126"/>
      <c r="E22" s="126"/>
      <c r="F22" s="126"/>
      <c r="G22" s="131"/>
      <c r="H22" s="127"/>
      <c r="I22" s="1"/>
    </row>
    <row r="23" spans="1:9" x14ac:dyDescent="0.25">
      <c r="A23" s="1"/>
      <c r="B23" s="128" t="s">
        <v>46</v>
      </c>
      <c r="C23" s="129"/>
      <c r="D23" s="129"/>
      <c r="E23" s="129"/>
      <c r="F23" s="130"/>
      <c r="G23" s="58">
        <f>(SUM(G16:G18)-G19)*(1+'Fane 13. Nøgletal'!C11)</f>
        <v>7722172.9184042998</v>
      </c>
      <c r="H23" s="14" t="s">
        <v>3</v>
      </c>
      <c r="I23" s="1"/>
    </row>
    <row r="24" spans="1:9" x14ac:dyDescent="0.25">
      <c r="A24" s="1"/>
      <c r="B24" s="132" t="s">
        <v>47</v>
      </c>
      <c r="C24" s="133"/>
      <c r="D24" s="133"/>
      <c r="E24" s="133"/>
      <c r="F24" s="134"/>
      <c r="G24" s="58">
        <v>0</v>
      </c>
      <c r="H24" s="14" t="s">
        <v>3</v>
      </c>
      <c r="I24" s="1"/>
    </row>
    <row r="25" spans="1:9" x14ac:dyDescent="0.25">
      <c r="A25" s="1"/>
      <c r="B25" s="128" t="s">
        <v>48</v>
      </c>
      <c r="C25" s="129"/>
      <c r="D25" s="129"/>
      <c r="E25" s="129"/>
      <c r="F25" s="130"/>
      <c r="G25" s="58">
        <f>(G23+G24)*'Fane 13. Nøgletal'!C31</f>
        <v>154443.45836808599</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5" t="s">
        <v>132</v>
      </c>
      <c r="C28" s="126"/>
      <c r="D28" s="126"/>
      <c r="E28" s="126"/>
      <c r="F28" s="126"/>
      <c r="G28" s="131"/>
      <c r="H28" s="127"/>
      <c r="I28" s="1"/>
    </row>
    <row r="29" spans="1:9" x14ac:dyDescent="0.25">
      <c r="A29" s="1"/>
      <c r="B29" s="128" t="s">
        <v>55</v>
      </c>
      <c r="C29" s="129"/>
      <c r="D29" s="129"/>
      <c r="E29" s="129"/>
      <c r="F29" s="130"/>
      <c r="G29" s="58">
        <f>(G23+G24-G25)*(1+'Fane 13. Nøgletal'!C13)</f>
        <v>7660055.7594486549</v>
      </c>
      <c r="H29" s="14" t="s">
        <v>3</v>
      </c>
      <c r="I29" s="1"/>
    </row>
    <row r="30" spans="1:9" x14ac:dyDescent="0.25">
      <c r="A30" s="1"/>
      <c r="B30" s="128" t="s">
        <v>121</v>
      </c>
      <c r="C30" s="129"/>
      <c r="D30" s="129"/>
      <c r="E30" s="129"/>
      <c r="F30" s="130"/>
      <c r="G30" s="58">
        <v>0</v>
      </c>
      <c r="H30" s="14" t="s">
        <v>3</v>
      </c>
      <c r="I30" s="1"/>
    </row>
    <row r="31" spans="1:9" x14ac:dyDescent="0.25">
      <c r="A31" s="1"/>
      <c r="B31" s="128" t="s">
        <v>126</v>
      </c>
      <c r="C31" s="129"/>
      <c r="D31" s="129"/>
      <c r="E31" s="129"/>
      <c r="F31" s="130"/>
      <c r="G31" s="58">
        <f>(G29+G30)*'Fane 13. Nøgletal'!C31</f>
        <v>153201.11518897311</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5" t="s">
        <v>133</v>
      </c>
      <c r="C34" s="126"/>
      <c r="D34" s="126"/>
      <c r="E34" s="126"/>
      <c r="F34" s="126"/>
      <c r="G34" s="131"/>
      <c r="H34" s="127"/>
      <c r="I34" s="1"/>
    </row>
    <row r="35" spans="1:9" x14ac:dyDescent="0.25">
      <c r="A35" s="1"/>
      <c r="B35" s="128" t="s">
        <v>74</v>
      </c>
      <c r="C35" s="129"/>
      <c r="D35" s="129"/>
      <c r="E35" s="129"/>
      <c r="F35" s="130"/>
      <c r="G35" s="58">
        <f>(G29+G30-G31)*(1+'Fane 13. Nøgletal'!C13)</f>
        <v>7598438.2709196499</v>
      </c>
      <c r="H35" s="14" t="s">
        <v>3</v>
      </c>
      <c r="I35" s="1"/>
    </row>
    <row r="36" spans="1:9" x14ac:dyDescent="0.25">
      <c r="A36" s="1"/>
      <c r="B36" s="128" t="s">
        <v>152</v>
      </c>
      <c r="C36" s="129"/>
      <c r="D36" s="129"/>
      <c r="E36" s="129"/>
      <c r="F36" s="130"/>
      <c r="G36" s="58">
        <f>('Fane 3. Omkostninger i ØR2022'!E10+'Fane 3. Omkostninger i ØR2022'!E12+'Fane 3. Omkostninger i ØR2022'!E14)*(1+'Fane 13. Nøgletal'!C14)</f>
        <v>0</v>
      </c>
      <c r="H36" s="14" t="s">
        <v>3</v>
      </c>
      <c r="I36" s="1"/>
    </row>
    <row r="37" spans="1:9" x14ac:dyDescent="0.25">
      <c r="A37" s="1"/>
      <c r="B37" s="128" t="s">
        <v>134</v>
      </c>
      <c r="C37" s="129"/>
      <c r="D37" s="129"/>
      <c r="E37" s="129"/>
      <c r="F37" s="130"/>
      <c r="G37" s="58">
        <f>(G35+G36)*'Fane 13. Nøgletal'!C31</f>
        <v>151968.76541839301</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5" t="s">
        <v>198</v>
      </c>
      <c r="C40" s="126"/>
      <c r="D40" s="126"/>
      <c r="E40" s="126"/>
      <c r="F40" s="126"/>
      <c r="G40" s="131"/>
      <c r="H40" s="127"/>
      <c r="I40" s="1"/>
    </row>
    <row r="41" spans="1:9" x14ac:dyDescent="0.25">
      <c r="A41" s="1"/>
      <c r="B41" s="128" t="s">
        <v>73</v>
      </c>
      <c r="C41" s="129"/>
      <c r="D41" s="129"/>
      <c r="E41" s="129"/>
      <c r="F41" s="130"/>
      <c r="G41" s="58">
        <f>(G35+G36-G37)*(1+'Fane 13. Nøgletal'!C15)</f>
        <v>7711563.8198971022</v>
      </c>
      <c r="H41" s="14" t="s">
        <v>3</v>
      </c>
      <c r="I41" s="1"/>
    </row>
    <row r="42" spans="1:9" x14ac:dyDescent="0.25">
      <c r="A42" s="1"/>
      <c r="B42" s="128" t="s">
        <v>197</v>
      </c>
      <c r="C42" s="129"/>
      <c r="D42" s="129"/>
      <c r="E42" s="129"/>
      <c r="F42" s="130"/>
      <c r="G42" s="58">
        <f>('Fane 2.1. Økonomisk ramme 2023'!C9+'Fane 2.1. Økonomisk ramme 2023'!C11+'Fane 2.1. Økonomisk ramme 2023'!C13)*(1+'Fane 13. Nøgletal'!C15)</f>
        <v>0</v>
      </c>
      <c r="H42" s="14" t="s">
        <v>3</v>
      </c>
      <c r="I42" s="1"/>
    </row>
    <row r="43" spans="1:9" x14ac:dyDescent="0.25">
      <c r="A43" s="1"/>
      <c r="B43" s="128" t="s">
        <v>208</v>
      </c>
      <c r="C43" s="129"/>
      <c r="D43" s="129"/>
      <c r="E43" s="129"/>
      <c r="F43" s="130"/>
      <c r="G43" s="58">
        <f>(G41+G42)*'Fane 13. Nøgletal'!C31</f>
        <v>154231.27639794204</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5" t="s">
        <v>199</v>
      </c>
      <c r="C46" s="126"/>
      <c r="D46" s="126"/>
      <c r="E46" s="126"/>
      <c r="F46" s="126"/>
      <c r="G46" s="131"/>
      <c r="H46" s="127"/>
      <c r="I46" s="1"/>
    </row>
    <row r="47" spans="1:9" x14ac:dyDescent="0.25">
      <c r="A47" s="1"/>
      <c r="B47" s="128" t="s">
        <v>122</v>
      </c>
      <c r="C47" s="129"/>
      <c r="D47" s="129"/>
      <c r="E47" s="129"/>
      <c r="F47" s="130"/>
      <c r="G47" s="58">
        <f>(G41+G42-G43)*(1+'Fane 13. Nøgletal'!C15)</f>
        <v>7826373.5820477316</v>
      </c>
      <c r="H47" s="14" t="s">
        <v>3</v>
      </c>
      <c r="I47" s="1"/>
    </row>
    <row r="48" spans="1:9" x14ac:dyDescent="0.25">
      <c r="A48" s="1"/>
      <c r="B48" s="128" t="s">
        <v>209</v>
      </c>
      <c r="C48" s="129"/>
      <c r="D48" s="129"/>
      <c r="E48" s="129"/>
      <c r="F48" s="130"/>
      <c r="G48" s="58">
        <f>(G47)*'Fane 13. Nøgletal'!C31</f>
        <v>156527.47164095464</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5" t="s">
        <v>145</v>
      </c>
      <c r="C51" s="126"/>
      <c r="D51" s="126"/>
      <c r="E51" s="126"/>
      <c r="F51" s="126"/>
      <c r="G51" s="131"/>
      <c r="H51" s="127"/>
      <c r="I51" s="1"/>
    </row>
    <row r="52" spans="1:9" x14ac:dyDescent="0.25">
      <c r="A52" s="1"/>
      <c r="B52" s="128" t="s">
        <v>146</v>
      </c>
      <c r="C52" s="129"/>
      <c r="D52" s="129"/>
      <c r="E52" s="129"/>
      <c r="F52" s="130"/>
      <c r="G52" s="58">
        <f>(G47-G48)*(1+'Fane 13. Nøgletal'!C15)</f>
        <v>7942892.6319372589</v>
      </c>
      <c r="H52" s="14" t="s">
        <v>3</v>
      </c>
      <c r="I52" s="1"/>
    </row>
    <row r="53" spans="1:9" x14ac:dyDescent="0.25">
      <c r="A53" s="1"/>
      <c r="B53" s="128" t="s">
        <v>147</v>
      </c>
      <c r="C53" s="129"/>
      <c r="D53" s="129"/>
      <c r="E53" s="129"/>
      <c r="F53" s="130"/>
      <c r="G53" s="58">
        <f>(G52)*'Fane 13. Nøgletal'!C31</f>
        <v>158857.85263874519</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5" t="s">
        <v>174</v>
      </c>
      <c r="C56" s="126"/>
      <c r="D56" s="126"/>
      <c r="E56" s="126"/>
      <c r="F56" s="126"/>
      <c r="G56" s="131"/>
      <c r="H56" s="127"/>
      <c r="I56" s="1"/>
    </row>
    <row r="57" spans="1:9" x14ac:dyDescent="0.25">
      <c r="A57" s="1"/>
      <c r="B57" s="128" t="s">
        <v>175</v>
      </c>
      <c r="C57" s="129"/>
      <c r="D57" s="129"/>
      <c r="E57" s="129"/>
      <c r="F57" s="130"/>
      <c r="G57" s="58">
        <f>(G52-G53)*(1+'Fane 13. Nøgletal'!C15)</f>
        <v>8061146.4174415423</v>
      </c>
      <c r="H57" s="14" t="s">
        <v>3</v>
      </c>
      <c r="I57" s="1"/>
    </row>
    <row r="58" spans="1:9" x14ac:dyDescent="0.25">
      <c r="A58" s="1"/>
      <c r="B58" s="128" t="s">
        <v>176</v>
      </c>
      <c r="C58" s="129"/>
      <c r="D58" s="129"/>
      <c r="E58" s="129"/>
      <c r="F58" s="130"/>
      <c r="G58" s="58">
        <f>(G57)*'Fane 13. Nøgletal'!C31</f>
        <v>161222.92834883084</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sheetData>
  <sheetProtection algorithmName="SHA-512" hashValue="UQGHw6SEtbA/0Bd7y1yGj5Nf6JSb9UYvyqOF7j06lg/vfzIXhgQ6obFyg5OARVY1u2cowE1cNnKzi++vwWh6rw==" saltValue="PgHhEpE4IzTlVm64Im2BTw=="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2"/>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7" width="10.28515625" style="2" customWidth="1"/>
    <col min="8" max="8" width="10.140625" style="2" customWidth="1"/>
    <col min="9" max="9" width="6" style="2" customWidth="1"/>
    <col min="10" max="16384" width="9" style="2"/>
  </cols>
  <sheetData>
    <row r="1" spans="1:9" x14ac:dyDescent="0.25">
      <c r="A1" s="1"/>
      <c r="B1" s="135" t="s">
        <v>99</v>
      </c>
      <c r="C1" s="136"/>
      <c r="D1" s="136"/>
      <c r="E1" s="136"/>
      <c r="F1" s="136"/>
      <c r="G1" s="136"/>
      <c r="H1" s="136"/>
      <c r="I1" s="1"/>
    </row>
    <row r="2" spans="1:9" ht="19.899999999999999" customHeight="1" x14ac:dyDescent="0.25">
      <c r="A2" s="1"/>
      <c r="B2" s="136"/>
      <c r="C2" s="136"/>
      <c r="D2" s="136"/>
      <c r="E2" s="136"/>
      <c r="F2" s="136"/>
      <c r="G2" s="136"/>
      <c r="H2" s="136"/>
      <c r="I2" s="1"/>
    </row>
    <row r="3" spans="1:9" ht="15" customHeight="1" x14ac:dyDescent="0.25">
      <c r="A3" s="1"/>
      <c r="B3" s="137"/>
      <c r="C3" s="137"/>
      <c r="D3" s="137"/>
      <c r="E3" s="137"/>
      <c r="F3" s="137"/>
      <c r="G3" s="137"/>
      <c r="H3" s="137"/>
      <c r="I3" s="1"/>
    </row>
    <row r="4" spans="1:9" x14ac:dyDescent="0.25">
      <c r="A4" s="1"/>
      <c r="B4" s="125" t="s">
        <v>53</v>
      </c>
      <c r="C4" s="126"/>
      <c r="D4" s="126"/>
      <c r="E4" s="126"/>
      <c r="F4" s="126"/>
      <c r="G4" s="126"/>
      <c r="H4" s="127"/>
      <c r="I4" s="1"/>
    </row>
    <row r="5" spans="1:9" x14ac:dyDescent="0.25">
      <c r="A5" s="1"/>
      <c r="B5" s="128" t="s">
        <v>56</v>
      </c>
      <c r="C5" s="129"/>
      <c r="D5" s="129"/>
      <c r="E5" s="129"/>
      <c r="F5" s="130"/>
      <c r="G5" s="58">
        <v>9926883</v>
      </c>
      <c r="H5" s="14" t="s">
        <v>3</v>
      </c>
      <c r="I5" s="1"/>
    </row>
    <row r="6" spans="1:9" x14ac:dyDescent="0.25">
      <c r="A6" s="1"/>
      <c r="B6" s="128" t="s">
        <v>54</v>
      </c>
      <c r="C6" s="129"/>
      <c r="D6" s="129"/>
      <c r="E6" s="129"/>
      <c r="F6" s="130"/>
      <c r="G6" s="58">
        <f>G5*'Fane 13. Nøgletal'!C20</f>
        <v>90334.635300000009</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5" t="s">
        <v>57</v>
      </c>
      <c r="C9" s="126"/>
      <c r="D9" s="126"/>
      <c r="E9" s="126"/>
      <c r="F9" s="126"/>
      <c r="G9" s="131"/>
      <c r="H9" s="127"/>
      <c r="I9" s="1"/>
    </row>
    <row r="10" spans="1:9" x14ac:dyDescent="0.25">
      <c r="A10" s="1"/>
      <c r="B10" s="128" t="s">
        <v>58</v>
      </c>
      <c r="C10" s="129"/>
      <c r="D10" s="129"/>
      <c r="E10" s="129"/>
      <c r="F10" s="130"/>
      <c r="G10" s="58">
        <f>(G5-G6)*(1+'Fane 13. Nøgletal'!C9)</f>
        <v>9961472.5289316904</v>
      </c>
      <c r="H10" s="14" t="s">
        <v>3</v>
      </c>
      <c r="I10" s="1"/>
    </row>
    <row r="11" spans="1:9" x14ac:dyDescent="0.25">
      <c r="A11" s="1"/>
      <c r="B11" s="132" t="s">
        <v>59</v>
      </c>
      <c r="C11" s="133"/>
      <c r="D11" s="133"/>
      <c r="E11" s="133"/>
      <c r="F11" s="134"/>
      <c r="G11" s="63">
        <v>0</v>
      </c>
      <c r="H11" s="14" t="s">
        <v>3</v>
      </c>
      <c r="I11" s="1"/>
    </row>
    <row r="12" spans="1:9" x14ac:dyDescent="0.25">
      <c r="A12" s="1"/>
      <c r="B12" s="128" t="s">
        <v>60</v>
      </c>
      <c r="C12" s="129"/>
      <c r="D12" s="129"/>
      <c r="E12" s="129"/>
      <c r="F12" s="130"/>
      <c r="G12" s="58">
        <f>G10*'Fane 13. Nøgletal'!C20+G11*'Fane 13. Nøgletal'!C21</f>
        <v>90649.400013278384</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5" t="s">
        <v>61</v>
      </c>
      <c r="C15" s="126"/>
      <c r="D15" s="126"/>
      <c r="E15" s="126"/>
      <c r="F15" s="126"/>
      <c r="G15" s="131"/>
      <c r="H15" s="127"/>
      <c r="I15" s="1"/>
    </row>
    <row r="16" spans="1:9" x14ac:dyDescent="0.25">
      <c r="A16" s="1"/>
      <c r="B16" s="128" t="s">
        <v>62</v>
      </c>
      <c r="C16" s="129"/>
      <c r="D16" s="129"/>
      <c r="E16" s="129"/>
      <c r="F16" s="130"/>
      <c r="G16" s="58">
        <f>(G10+G11-G12)*(1+'Fane 13. Nøgletal'!C11)</f>
        <v>10037640.039797131</v>
      </c>
      <c r="H16" s="14" t="s">
        <v>3</v>
      </c>
      <c r="I16" s="1"/>
    </row>
    <row r="17" spans="1:9" x14ac:dyDescent="0.25">
      <c r="A17" s="1"/>
      <c r="B17" s="128" t="s">
        <v>109</v>
      </c>
      <c r="C17" s="129"/>
      <c r="D17" s="129"/>
      <c r="E17" s="129"/>
      <c r="F17" s="130"/>
      <c r="G17" s="58">
        <v>26707.150296928437</v>
      </c>
      <c r="H17" s="14" t="s">
        <v>3</v>
      </c>
      <c r="I17" s="1"/>
    </row>
    <row r="18" spans="1:9" x14ac:dyDescent="0.25">
      <c r="A18" s="1"/>
      <c r="B18" s="132" t="s">
        <v>63</v>
      </c>
      <c r="C18" s="133"/>
      <c r="D18" s="133"/>
      <c r="E18" s="133"/>
      <c r="F18" s="134"/>
      <c r="G18" s="58">
        <v>13334.533940949997</v>
      </c>
      <c r="H18" s="14" t="s">
        <v>3</v>
      </c>
      <c r="I18" s="1"/>
    </row>
    <row r="19" spans="1:9" x14ac:dyDescent="0.25">
      <c r="A19" s="1"/>
      <c r="B19" s="128" t="s">
        <v>64</v>
      </c>
      <c r="C19" s="129"/>
      <c r="D19" s="129"/>
      <c r="E19" s="129"/>
      <c r="F19" s="130"/>
      <c r="G19" s="58">
        <f>(G16+G17+G18)*'Fane 13. Nøgletal'!C22</f>
        <v>87675.830999104583</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5" t="s">
        <v>65</v>
      </c>
      <c r="C22" s="126"/>
      <c r="D22" s="126"/>
      <c r="E22" s="126"/>
      <c r="F22" s="126"/>
      <c r="G22" s="131"/>
      <c r="H22" s="127"/>
      <c r="I22" s="1"/>
    </row>
    <row r="23" spans="1:9" x14ac:dyDescent="0.25">
      <c r="A23" s="1"/>
      <c r="B23" s="128" t="s">
        <v>66</v>
      </c>
      <c r="C23" s="129"/>
      <c r="D23" s="129"/>
      <c r="E23" s="129"/>
      <c r="F23" s="130"/>
      <c r="G23" s="58">
        <f>(SUM(G16:G18)-G19)*(1+'Fane 13. Nøgletal'!C11)</f>
        <v>10158836.992628211</v>
      </c>
      <c r="H23" s="14" t="s">
        <v>3</v>
      </c>
      <c r="I23" s="1"/>
    </row>
    <row r="24" spans="1:9" x14ac:dyDescent="0.25">
      <c r="A24" s="1"/>
      <c r="B24" s="132" t="s">
        <v>67</v>
      </c>
      <c r="C24" s="133"/>
      <c r="D24" s="133"/>
      <c r="E24" s="133"/>
      <c r="F24" s="134"/>
      <c r="G24" s="58">
        <v>0</v>
      </c>
      <c r="H24" s="14" t="s">
        <v>3</v>
      </c>
      <c r="I24" s="1"/>
    </row>
    <row r="25" spans="1:9" x14ac:dyDescent="0.25">
      <c r="A25" s="1"/>
      <c r="B25" s="128" t="s">
        <v>68</v>
      </c>
      <c r="C25" s="129"/>
      <c r="D25" s="129"/>
      <c r="E25" s="129"/>
      <c r="F25" s="130"/>
      <c r="G25" s="58">
        <f>G23*'Fane 13. Nøgletal'!C22+G24*'Fane 13. Nøgletal'!C23</f>
        <v>88381.881835865424</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5" t="s">
        <v>130</v>
      </c>
      <c r="C28" s="126"/>
      <c r="D28" s="126"/>
      <c r="E28" s="126"/>
      <c r="F28" s="126"/>
      <c r="G28" s="131"/>
      <c r="H28" s="127"/>
      <c r="I28" s="1"/>
    </row>
    <row r="29" spans="1:9" x14ac:dyDescent="0.25">
      <c r="A29" s="1"/>
      <c r="B29" s="128" t="s">
        <v>69</v>
      </c>
      <c r="C29" s="129"/>
      <c r="D29" s="129"/>
      <c r="E29" s="129"/>
      <c r="F29" s="130"/>
      <c r="G29" s="58">
        <f>(G23+G24-G25)*(1+'Fane 13. Nøgletal'!C13)</f>
        <v>10193314.663144013</v>
      </c>
      <c r="H29" s="14" t="s">
        <v>3</v>
      </c>
      <c r="I29" s="1"/>
    </row>
    <row r="30" spans="1:9" x14ac:dyDescent="0.25">
      <c r="A30" s="1"/>
      <c r="B30" s="128" t="s">
        <v>123</v>
      </c>
      <c r="C30" s="129"/>
      <c r="D30" s="129"/>
      <c r="E30" s="129"/>
      <c r="F30" s="130"/>
      <c r="G30" s="58">
        <v>0</v>
      </c>
      <c r="H30" s="14" t="s">
        <v>3</v>
      </c>
      <c r="I30" s="1"/>
    </row>
    <row r="31" spans="1:9" x14ac:dyDescent="0.25">
      <c r="A31" s="1"/>
      <c r="B31" s="128" t="s">
        <v>131</v>
      </c>
      <c r="C31" s="129"/>
      <c r="D31" s="129"/>
      <c r="E31" s="129"/>
      <c r="F31" s="130"/>
      <c r="G31" s="58">
        <f>(G29+G30)*'Fane 13. Nøgletal'!C24</f>
        <v>280316.15323646035</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5" t="s">
        <v>135</v>
      </c>
      <c r="C34" s="126"/>
      <c r="D34" s="126"/>
      <c r="E34" s="126"/>
      <c r="F34" s="126"/>
      <c r="G34" s="131"/>
      <c r="H34" s="127"/>
      <c r="I34" s="1"/>
    </row>
    <row r="35" spans="1:9" x14ac:dyDescent="0.25">
      <c r="A35" s="1"/>
      <c r="B35" s="128" t="s">
        <v>72</v>
      </c>
      <c r="C35" s="129"/>
      <c r="D35" s="129"/>
      <c r="E35" s="129"/>
      <c r="F35" s="130"/>
      <c r="G35" s="58">
        <f>(G29+G30-G31)*(1+'Fane 13. Nøgletal'!C13)</f>
        <v>10033937.091728425</v>
      </c>
      <c r="H35" s="14" t="s">
        <v>3</v>
      </c>
      <c r="I35" s="1"/>
    </row>
    <row r="36" spans="1:9" x14ac:dyDescent="0.25">
      <c r="A36" s="1"/>
      <c r="B36" s="128" t="s">
        <v>141</v>
      </c>
      <c r="C36" s="129"/>
      <c r="D36" s="129"/>
      <c r="E36" s="129"/>
      <c r="F36" s="130"/>
      <c r="G36" s="58">
        <f>SUM('Fane 3. Omkostninger i ØR2022'!E11)*(1+'Fane 13. Nøgletal'!C14)</f>
        <v>0</v>
      </c>
      <c r="H36" s="14" t="s">
        <v>3</v>
      </c>
      <c r="I36" s="1"/>
    </row>
    <row r="37" spans="1:9" x14ac:dyDescent="0.25">
      <c r="A37" s="1"/>
      <c r="B37" s="128" t="s">
        <v>136</v>
      </c>
      <c r="C37" s="129"/>
      <c r="D37" s="129"/>
      <c r="E37" s="129"/>
      <c r="F37" s="130"/>
      <c r="G37" s="58">
        <f>G35*'Fane 13. Nøgletal'!C24+G36*'Fane 13. Nøgletal'!C25</f>
        <v>275933.27002253168</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5" t="s">
        <v>200</v>
      </c>
      <c r="C40" s="126"/>
      <c r="D40" s="126"/>
      <c r="E40" s="126"/>
      <c r="F40" s="126"/>
      <c r="G40" s="131"/>
      <c r="H40" s="127"/>
      <c r="I40" s="1"/>
    </row>
    <row r="41" spans="1:9" x14ac:dyDescent="0.25">
      <c r="A41" s="1"/>
      <c r="B41" s="128" t="s">
        <v>71</v>
      </c>
      <c r="C41" s="129"/>
      <c r="D41" s="129"/>
      <c r="E41" s="129"/>
      <c r="F41" s="130"/>
      <c r="G41" s="58">
        <f>(G35+G36-G37)*(1+'Fane 13. Nøgletal'!C15)</f>
        <v>10105388.757758623</v>
      </c>
      <c r="H41" s="14" t="s">
        <v>3</v>
      </c>
      <c r="I41" s="1"/>
    </row>
    <row r="42" spans="1:9" x14ac:dyDescent="0.25">
      <c r="A42" s="1"/>
      <c r="B42" s="128" t="s">
        <v>211</v>
      </c>
      <c r="C42" s="129"/>
      <c r="D42" s="129"/>
      <c r="E42" s="129"/>
      <c r="F42" s="130"/>
      <c r="G42" s="63">
        <f>SUM('Fane 2.1. Økonomisk ramme 2023'!C10+'Fane 2.1. Økonomisk ramme 2023'!C12+'Fane 2.1. Økonomisk ramme 2023'!C14)*(1+'Fane 13. Nøgletal'!C15)</f>
        <v>0</v>
      </c>
      <c r="H42" s="14" t="s">
        <v>3</v>
      </c>
      <c r="I42" s="1"/>
    </row>
    <row r="43" spans="1:9" x14ac:dyDescent="0.25">
      <c r="A43" s="1"/>
      <c r="B43" s="128" t="s">
        <v>70</v>
      </c>
      <c r="C43" s="129"/>
      <c r="D43" s="129"/>
      <c r="E43" s="129"/>
      <c r="F43" s="130"/>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5" t="s">
        <v>201</v>
      </c>
      <c r="C46" s="126"/>
      <c r="D46" s="126"/>
      <c r="E46" s="126"/>
      <c r="F46" s="126"/>
      <c r="G46" s="131"/>
      <c r="H46" s="127"/>
      <c r="I46" s="1"/>
    </row>
    <row r="47" spans="1:9" x14ac:dyDescent="0.25">
      <c r="A47" s="1"/>
      <c r="B47" s="128" t="s">
        <v>124</v>
      </c>
      <c r="C47" s="129"/>
      <c r="D47" s="129"/>
      <c r="E47" s="129"/>
      <c r="F47" s="130"/>
      <c r="G47" s="58">
        <f>(G41+G42-G43)*(1+'Fane 13. Nøgletal'!C15)</f>
        <v>10465140.597534832</v>
      </c>
      <c r="H47" s="14" t="s">
        <v>3</v>
      </c>
      <c r="I47" s="1"/>
    </row>
    <row r="48" spans="1:9" x14ac:dyDescent="0.25">
      <c r="A48" s="1"/>
      <c r="B48" s="128" t="s">
        <v>125</v>
      </c>
      <c r="C48" s="129"/>
      <c r="D48" s="129"/>
      <c r="E48" s="129"/>
      <c r="F48" s="130"/>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5" t="s">
        <v>142</v>
      </c>
      <c r="C51" s="126"/>
      <c r="D51" s="126"/>
      <c r="E51" s="126"/>
      <c r="F51" s="126"/>
      <c r="G51" s="131"/>
      <c r="H51" s="127"/>
      <c r="I51" s="1"/>
    </row>
    <row r="52" spans="1:9" x14ac:dyDescent="0.25">
      <c r="A52" s="1"/>
      <c r="B52" s="128" t="s">
        <v>143</v>
      </c>
      <c r="C52" s="129"/>
      <c r="D52" s="129"/>
      <c r="E52" s="129"/>
      <c r="F52" s="130"/>
      <c r="G52" s="58">
        <f>(G47-G48)*(1+'Fane 13. Nøgletal'!C15)</f>
        <v>10837699.602807073</v>
      </c>
      <c r="H52" s="14" t="s">
        <v>3</v>
      </c>
      <c r="I52" s="1"/>
    </row>
    <row r="53" spans="1:9" x14ac:dyDescent="0.25">
      <c r="A53" s="1"/>
      <c r="B53" s="128" t="s">
        <v>144</v>
      </c>
      <c r="C53" s="129"/>
      <c r="D53" s="129"/>
      <c r="E53" s="129"/>
      <c r="F53" s="130"/>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5" t="s">
        <v>177</v>
      </c>
      <c r="C56" s="126"/>
      <c r="D56" s="126"/>
      <c r="E56" s="126"/>
      <c r="F56" s="126"/>
      <c r="G56" s="131"/>
      <c r="H56" s="127"/>
      <c r="I56" s="1"/>
    </row>
    <row r="57" spans="1:9" x14ac:dyDescent="0.25">
      <c r="A57" s="1"/>
      <c r="B57" s="128" t="s">
        <v>178</v>
      </c>
      <c r="C57" s="129"/>
      <c r="D57" s="129"/>
      <c r="E57" s="129"/>
      <c r="F57" s="130"/>
      <c r="G57" s="58">
        <f>(G52-G53)*(1+'Fane 13. Nøgletal'!C15)</f>
        <v>11223521.708667006</v>
      </c>
      <c r="H57" s="14" t="s">
        <v>3</v>
      </c>
      <c r="I57" s="1"/>
    </row>
    <row r="58" spans="1:9" x14ac:dyDescent="0.25">
      <c r="A58" s="1"/>
      <c r="B58" s="128" t="s">
        <v>179</v>
      </c>
      <c r="C58" s="129"/>
      <c r="D58" s="129"/>
      <c r="E58" s="129"/>
      <c r="F58" s="130"/>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sheetData>
  <sheetProtection algorithmName="SHA-512" hashValue="bUzrBDpcltnkBTkJZViTfg2NH8jIpBmCdaG6w6Hh6iWTZ9mPuUd9KvsS3EQ4+QVfTbcdaYeaAMxvcsdVpefnQg==" saltValue="hp7t7xET5dBsRXxhW6YNG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2" t="s">
        <v>82</v>
      </c>
      <c r="C3" s="102"/>
      <c r="D3" s="102"/>
      <c r="E3" s="102"/>
      <c r="F3" s="102"/>
      <c r="G3" s="102"/>
      <c r="H3" s="1"/>
    </row>
    <row r="4" spans="1:8" ht="15" customHeight="1" x14ac:dyDescent="0.25">
      <c r="A4" s="1"/>
      <c r="B4" s="102"/>
      <c r="C4" s="102"/>
      <c r="D4" s="102"/>
      <c r="E4" s="102"/>
      <c r="F4" s="102"/>
      <c r="G4" s="10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5" t="s">
        <v>9</v>
      </c>
      <c r="C8" s="126"/>
      <c r="D8" s="126"/>
      <c r="E8" s="126"/>
      <c r="F8" s="126"/>
      <c r="G8" s="126"/>
      <c r="H8" s="1"/>
    </row>
    <row r="9" spans="1:8" x14ac:dyDescent="0.25">
      <c r="A9" s="1"/>
      <c r="B9" s="76" t="s">
        <v>180</v>
      </c>
      <c r="C9" s="77"/>
      <c r="D9" s="77"/>
      <c r="E9" s="77"/>
      <c r="F9" s="78"/>
      <c r="G9" s="28">
        <v>1.4655120438905054E-2</v>
      </c>
      <c r="H9" s="1"/>
    </row>
    <row r="10" spans="1:8" x14ac:dyDescent="0.25">
      <c r="A10" s="1"/>
      <c r="B10" s="71"/>
      <c r="C10" s="72"/>
      <c r="D10" s="72"/>
      <c r="E10" s="72"/>
      <c r="F10" s="72"/>
      <c r="G10" s="72"/>
      <c r="H10" s="1"/>
    </row>
    <row r="11" spans="1:8" x14ac:dyDescent="0.25">
      <c r="A11" s="1"/>
      <c r="B11" s="1"/>
      <c r="C11" s="1"/>
      <c r="D11" s="1"/>
      <c r="E11" s="1"/>
      <c r="F11" s="1"/>
      <c r="G11" s="1"/>
      <c r="H11" s="1"/>
    </row>
    <row r="12" spans="1:8" ht="31.5" customHeight="1" x14ac:dyDescent="0.25">
      <c r="A12" s="1"/>
      <c r="B12" s="138" t="s">
        <v>202</v>
      </c>
      <c r="C12" s="138"/>
      <c r="D12" s="138"/>
      <c r="E12" s="138"/>
      <c r="F12" s="138"/>
      <c r="G12" s="13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6/RxN9ZBQ6f3gQWUPBBzWfMAbzCbE+NiwzcjjfUuVNrXJ0w9ac8pUgz0AYkkphoi+AdvNP6IamOkbUDGgeD7xA==" saltValue="Ye6Z9VXYo7Dxo6VgN/SO2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2022-12-01T09:30:40Z</dcterms:modified>
</cp:coreProperties>
</file>