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up Vandværk (V02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E17" i="2" l="1"/>
  <c r="C13" i="19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9" i="2"/>
  <c r="E29" i="2" s="1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<sst xmlns="http://schemas.openxmlformats.org/spreadsheetml/2006/main" count="415" uniqueCount="161">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</sst>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H2sS/cLyjEeVql/84UNAxisKlbw4KtMuLU9b373O5dYZ1gFaCSjLjJq5LRaIWn9WSa33rT9OBz+O69/glHAog==" saltValue="DuZiszeBhIQMOLDf8zfOA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4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7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nzwYrC1K0lWUS+98eSSKDQKxpByETvgkifuNDHoB69mdg5vMVqzAoNnL3BT8RaBhZB2abRJZNrZFqhUYHbgkQ==" saltValue="s+6TsLBt/1vR0ZMzroZ49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7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9" t="s">
        <v>16</v>
      </c>
      <c r="C16" s="39" t="s">
        <v>11</v>
      </c>
      <c r="D16" s="40"/>
      <c r="E16" s="39" t="s">
        <v>31</v>
      </c>
      <c r="F16" s="46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7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7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9" t="s">
        <v>16</v>
      </c>
      <c r="C23" s="39" t="s">
        <v>11</v>
      </c>
      <c r="D23" s="40"/>
      <c r="E23" s="39" t="s">
        <v>31</v>
      </c>
      <c r="F23" s="46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7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7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9" t="s">
        <v>16</v>
      </c>
      <c r="C30" s="39" t="s">
        <v>11</v>
      </c>
      <c r="D30" s="40"/>
      <c r="E30" s="39" t="s">
        <v>31</v>
      </c>
      <c r="F30" s="46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7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7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PvWZC6jJGfuYIA6gomsT+8YaW8A8pCCVh0wn9nYTeVJHiB5ZqyKY2JNzzqfDkhePoFYnlstDwrhbNnwVbwlDQ==" saltValue="SIfd/8nvBS7tVRTiAj8pU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+lEFIIkvmTFyGMd/rCRi5oAbroloDbUddjyzP3Le+ADEgDXjpnEoqtU5Gv15tzRQW37aRKVEqYlNfaXhEFJ2A==" saltValue="r76lkXKr/fRkxH/2Mx595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17</v>
      </c>
      <c r="C9" s="45" t="s">
        <v>11</v>
      </c>
      <c r="D9" s="46"/>
      <c r="E9" s="45" t="s">
        <v>31</v>
      </c>
      <c r="F9" s="46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5" t="s">
        <v>17</v>
      </c>
      <c r="C15" s="45" t="s">
        <v>11</v>
      </c>
      <c r="D15" s="46"/>
      <c r="E15" s="45" t="s">
        <v>31</v>
      </c>
      <c r="F15" s="46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7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7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5" t="s">
        <v>17</v>
      </c>
      <c r="C21" s="45" t="s">
        <v>11</v>
      </c>
      <c r="D21" s="46"/>
      <c r="E21" s="45" t="s">
        <v>31</v>
      </c>
      <c r="F21" s="46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7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7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5" t="s">
        <v>17</v>
      </c>
      <c r="C27" s="45" t="s">
        <v>11</v>
      </c>
      <c r="D27" s="46"/>
      <c r="E27" s="45" t="s">
        <v>31</v>
      </c>
      <c r="F27" s="46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7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7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koea+2vXcup8v3J+xujCWM+f1yUHbek992lCo3/zfTTyHBgNTUuXC2RywmM8rqICUtEec/rONKEIeqcrP3pwmw==" saltValue="0GRzIt7xhst+rmLCV0u7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48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7"/>
      <c r="C14" s="4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72</v>
      </c>
      <c r="C17" s="48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VlakJovhnRHYzs3BnmxTOoRSNPvaIz77G7BsZqUB93N0aXdUjCVxN9JOOs28BcVmPp2Ha/8CtrCGT/nR/dIXwQ==" saltValue="/MWAay6Wccksi8g8mNlYsA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7" t="s">
        <v>26</v>
      </c>
      <c r="C9" s="37"/>
      <c r="D9" s="37"/>
      <c r="E9" s="7">
        <f>'Fane 3. Omkostninger i ØR2020'!E16</f>
        <v>3656155.7605149732</v>
      </c>
      <c r="F9" s="37" t="s">
        <v>3</v>
      </c>
      <c r="G9" s="1"/>
    </row>
    <row r="10" spans="1:7" x14ac:dyDescent="0.45">
      <c r="A10" s="1"/>
      <c r="B10" s="37" t="s">
        <v>157</v>
      </c>
      <c r="C10" s="37"/>
      <c r="D10" s="37"/>
      <c r="E10" s="7">
        <v>-1594.4948808879781</v>
      </c>
      <c r="F10" s="37" t="s">
        <v>3</v>
      </c>
      <c r="G10" s="1"/>
    </row>
    <row r="11" spans="1:7" ht="17.100000000000001" customHeight="1" x14ac:dyDescent="0.45">
      <c r="A11" s="1"/>
      <c r="B11" s="37" t="s">
        <v>120</v>
      </c>
      <c r="C11" s="37"/>
      <c r="D11" s="37"/>
      <c r="E11" s="7">
        <v>10889.814197912629</v>
      </c>
      <c r="F11" s="37" t="s">
        <v>3</v>
      </c>
      <c r="G11" s="1"/>
    </row>
    <row r="12" spans="1:7" ht="17.100000000000001" customHeight="1" x14ac:dyDescent="0.45">
      <c r="A12" s="1"/>
      <c r="B12" s="27" t="s">
        <v>80</v>
      </c>
      <c r="C12" s="37"/>
      <c r="D12" s="37"/>
      <c r="E12" s="7">
        <f>'Fane 7.1. Varige tillæg'!C12+'Fane 7.1. Varige tillæg'!E12</f>
        <v>0</v>
      </c>
      <c r="F12" s="37" t="s">
        <v>3</v>
      </c>
      <c r="G12" s="1"/>
    </row>
    <row r="13" spans="1:7" ht="17.100000000000001" customHeight="1" x14ac:dyDescent="0.45">
      <c r="A13" s="1"/>
      <c r="B13" s="27" t="s">
        <v>82</v>
      </c>
      <c r="C13" s="37"/>
      <c r="D13" s="37"/>
      <c r="E13" s="8">
        <f>-('Fane 9. Bortfald'!C12+'Fane 9. Bortfald'!E12)</f>
        <v>0</v>
      </c>
      <c r="F13" s="37" t="s">
        <v>3</v>
      </c>
      <c r="G13" s="1"/>
    </row>
    <row r="14" spans="1:7" ht="17.100000000000001" customHeight="1" x14ac:dyDescent="0.45">
      <c r="A14" s="1"/>
      <c r="B14" s="27" t="s">
        <v>89</v>
      </c>
      <c r="C14" s="37"/>
      <c r="D14" s="37"/>
      <c r="E14" s="8">
        <f>'Fane 8. Tilknyttet virksomhed'!C12+'Fane 8. Tilknyttet virksomhed'!E12</f>
        <v>0</v>
      </c>
      <c r="F14" s="37" t="s">
        <v>3</v>
      </c>
      <c r="G14" s="1"/>
    </row>
    <row r="15" spans="1:7" ht="17.100000000000001" customHeight="1" x14ac:dyDescent="0.45">
      <c r="A15" s="1"/>
      <c r="B15" s="27" t="s">
        <v>18</v>
      </c>
      <c r="C15" s="37"/>
      <c r="D15" s="37"/>
      <c r="E15" s="8">
        <f>SUM(E9:E14)*'Fane 10. Nøgletal'!C13</f>
        <v>44718.503173950376</v>
      </c>
      <c r="F15" s="37" t="s">
        <v>3</v>
      </c>
      <c r="G15" s="1"/>
    </row>
    <row r="16" spans="1:7" ht="17.100000000000001" customHeight="1" x14ac:dyDescent="0.45">
      <c r="A16" s="1"/>
      <c r="B16" s="27" t="s">
        <v>72</v>
      </c>
      <c r="C16" s="37"/>
      <c r="D16" s="37"/>
      <c r="E16" s="8">
        <f>-SUM(E9:E15)*'Fane 10. Nøgletal'!C18</f>
        <v>-63072.882911101129</v>
      </c>
      <c r="F16" s="37" t="s">
        <v>3</v>
      </c>
      <c r="G16" s="1"/>
    </row>
    <row r="17" spans="1:7" ht="15" customHeight="1" x14ac:dyDescent="0.45">
      <c r="A17" s="1"/>
      <c r="B17" s="44" t="s">
        <v>20</v>
      </c>
      <c r="C17" s="41"/>
      <c r="D17" s="41"/>
      <c r="E17" s="9">
        <f>SUM(E9:E16)</f>
        <v>3647096.7000948475</v>
      </c>
      <c r="F17" s="43" t="s">
        <v>3</v>
      </c>
      <c r="G17" s="1"/>
    </row>
    <row r="18" spans="1:7" ht="15" customHeight="1" x14ac:dyDescent="0.45">
      <c r="A18" s="1"/>
      <c r="B18" s="42" t="s">
        <v>12</v>
      </c>
      <c r="C18" s="42"/>
      <c r="D18" s="42"/>
      <c r="E18" s="42"/>
      <c r="F18" s="42"/>
      <c r="G18" s="1"/>
    </row>
    <row r="19" spans="1:7" ht="15" customHeight="1" x14ac:dyDescent="0.45">
      <c r="A19" s="1"/>
      <c r="B19" s="43" t="s">
        <v>12</v>
      </c>
      <c r="C19" s="43"/>
      <c r="D19" s="43"/>
      <c r="E19" s="9">
        <f>'Fane 4. Ikke-påvirkelige omk.'!C14</f>
        <v>1679594.3597814252</v>
      </c>
      <c r="F19" s="43" t="s">
        <v>3</v>
      </c>
      <c r="G19" s="1"/>
    </row>
    <row r="20" spans="1:7" ht="15" customHeight="1" x14ac:dyDescent="0.45">
      <c r="A20" s="1"/>
      <c r="B20" s="42" t="s">
        <v>52</v>
      </c>
      <c r="C20" s="42"/>
      <c r="D20" s="42"/>
      <c r="E20" s="42"/>
      <c r="F20" s="42"/>
      <c r="G20" s="1"/>
    </row>
    <row r="21" spans="1:7" ht="15" customHeight="1" x14ac:dyDescent="0.45">
      <c r="A21" s="1"/>
      <c r="B21" s="27" t="s">
        <v>49</v>
      </c>
      <c r="C21" s="37"/>
      <c r="D21" s="37"/>
      <c r="E21" s="8">
        <f>'Fane 7.2. Engangstillæg'!C13</f>
        <v>0</v>
      </c>
      <c r="F21" s="37" t="s">
        <v>3</v>
      </c>
      <c r="G21" s="1"/>
    </row>
    <row r="22" spans="1:7" x14ac:dyDescent="0.45">
      <c r="A22" s="1"/>
      <c r="B22" s="27" t="s">
        <v>50</v>
      </c>
      <c r="C22" s="37"/>
      <c r="D22" s="37"/>
      <c r="E22" s="8">
        <f>'Fane 7.2. Engangstillæg'!E13</f>
        <v>0</v>
      </c>
      <c r="F22" s="37" t="s">
        <v>3</v>
      </c>
      <c r="G22" s="1"/>
    </row>
    <row r="23" spans="1:7" ht="15" customHeight="1" x14ac:dyDescent="0.45">
      <c r="A23" s="1"/>
      <c r="B23" s="44" t="s">
        <v>53</v>
      </c>
      <c r="C23" s="41"/>
      <c r="D23" s="41"/>
      <c r="E23" s="9">
        <f>SUM(E21:E22)</f>
        <v>0</v>
      </c>
      <c r="F23" s="43" t="s">
        <v>3</v>
      </c>
      <c r="G23" s="1"/>
    </row>
    <row r="24" spans="1:7" x14ac:dyDescent="0.45">
      <c r="A24" s="1"/>
      <c r="B24" s="42" t="s">
        <v>124</v>
      </c>
      <c r="C24" s="42"/>
      <c r="D24" s="42"/>
      <c r="E24" s="42"/>
      <c r="F24" s="42"/>
      <c r="G24" s="1"/>
    </row>
    <row r="25" spans="1:7" x14ac:dyDescent="0.45">
      <c r="A25" s="1"/>
      <c r="B25" s="44" t="s">
        <v>36</v>
      </c>
      <c r="C25" s="41"/>
      <c r="D25" s="41"/>
      <c r="E25" s="9">
        <f>'Fane 5. Kontrol af ØR2019'!E42</f>
        <v>-391970.64455348719</v>
      </c>
      <c r="F25" s="43" t="s">
        <v>3</v>
      </c>
      <c r="G25" s="1"/>
    </row>
    <row r="26" spans="1:7" x14ac:dyDescent="0.45">
      <c r="A26" s="1"/>
      <c r="B26" s="32" t="s">
        <v>125</v>
      </c>
      <c r="C26" s="41"/>
      <c r="D26" s="41"/>
      <c r="E26" s="9">
        <f>'Fane 5. Kontrol af ØR2019'!E43</f>
        <v>-206090.71724011702</v>
      </c>
      <c r="F26" s="43" t="s">
        <v>3</v>
      </c>
      <c r="G26" s="1"/>
    </row>
    <row r="27" spans="1:7" x14ac:dyDescent="0.45">
      <c r="A27" s="1"/>
      <c r="B27" s="42" t="s">
        <v>158</v>
      </c>
      <c r="C27" s="42"/>
      <c r="D27" s="42"/>
      <c r="E27" s="42"/>
      <c r="F27" s="42"/>
      <c r="G27" s="1"/>
    </row>
    <row r="28" spans="1:7" x14ac:dyDescent="0.45">
      <c r="A28" s="1"/>
      <c r="B28" s="32" t="s">
        <v>159</v>
      </c>
      <c r="C28" s="41"/>
      <c r="D28" s="41"/>
      <c r="E28" s="9">
        <v>111.05358758120161</v>
      </c>
      <c r="F28" s="43" t="s">
        <v>3</v>
      </c>
      <c r="G28" s="1"/>
    </row>
    <row r="29" spans="1:7" x14ac:dyDescent="0.45">
      <c r="A29" s="1"/>
      <c r="B29" s="42" t="s">
        <v>28</v>
      </c>
      <c r="C29" s="42"/>
      <c r="D29" s="42"/>
      <c r="E29" s="10">
        <f>SUM(E17,E19,E23,E25,E26,E28)</f>
        <v>4728740.7516702497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jcKMhgrrcFGQ96REn3oUpsSfbL9JjQUtbI8439+9e2UIFR6VtEe14Qtcon45DCY9uS13Rtf2ssiNOOcTWOUKeQ==" saltValue="Xem8ks8erRT4RDA5WiGk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7" t="s">
        <v>27</v>
      </c>
      <c r="C9" s="37"/>
      <c r="D9" s="37"/>
      <c r="E9" s="7">
        <f>'Fane 2.1. Økonomisk ramme 2021'!E17</f>
        <v>3647096.7000948475</v>
      </c>
      <c r="F9" s="37" t="s">
        <v>3</v>
      </c>
      <c r="G9" s="1"/>
    </row>
    <row r="10" spans="1:7" ht="15" customHeight="1" x14ac:dyDescent="0.45">
      <c r="A10" s="1"/>
      <c r="B10" s="27" t="s">
        <v>82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Nøgletal'!C13</f>
        <v>44494.57974115714</v>
      </c>
      <c r="F11" s="37" t="s">
        <v>3</v>
      </c>
      <c r="G11" s="1"/>
    </row>
    <row r="12" spans="1:7" ht="15" customHeight="1" x14ac:dyDescent="0.45">
      <c r="A12" s="1"/>
      <c r="B12" s="38" t="s">
        <v>72</v>
      </c>
      <c r="C12" s="37"/>
      <c r="D12" s="37"/>
      <c r="E12" s="8">
        <f>-SUM(E9:E11)*'Fane 10. Nøgletal'!C18</f>
        <v>-62757.051757212081</v>
      </c>
      <c r="F12" s="37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3628834.2280787923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Nøgletal'!C13)</f>
        <v>1700085.4109707586</v>
      </c>
      <c r="F15" s="43" t="s">
        <v>3</v>
      </c>
      <c r="G15" s="1"/>
    </row>
    <row r="16" spans="1:7" ht="15" customHeight="1" x14ac:dyDescent="0.45">
      <c r="A16" s="1"/>
      <c r="B16" s="42" t="s">
        <v>52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7" t="s">
        <v>49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7" t="s">
        <v>50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44" t="s">
        <v>53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124</v>
      </c>
      <c r="C20" s="42"/>
      <c r="D20" s="42"/>
      <c r="E20" s="42"/>
      <c r="F20" s="42"/>
      <c r="G20" s="1"/>
    </row>
    <row r="21" spans="1:7" ht="15" customHeight="1" x14ac:dyDescent="0.45">
      <c r="A21" s="1"/>
      <c r="B21" s="43" t="s">
        <v>36</v>
      </c>
      <c r="C21" s="43"/>
      <c r="D21" s="43"/>
      <c r="E21" s="9">
        <f>'Fane 5. Kontrol af ØR2019'!E42</f>
        <v>-391970.64455348719</v>
      </c>
      <c r="F21" s="43" t="s">
        <v>3</v>
      </c>
      <c r="G21" s="1"/>
    </row>
    <row r="22" spans="1:7" x14ac:dyDescent="0.45">
      <c r="A22" s="1"/>
      <c r="B22" s="44" t="s">
        <v>125</v>
      </c>
      <c r="C22" s="43"/>
      <c r="D22" s="43"/>
      <c r="E22" s="9">
        <f>'Fane 5. Kontrol af ØR2019'!E43</f>
        <v>-206090.71724011702</v>
      </c>
      <c r="F22" s="43" t="s">
        <v>3</v>
      </c>
      <c r="G22" s="1"/>
    </row>
    <row r="23" spans="1:7" x14ac:dyDescent="0.45">
      <c r="A23" s="1"/>
      <c r="B23" s="42" t="s">
        <v>29</v>
      </c>
      <c r="C23" s="42"/>
      <c r="D23" s="42"/>
      <c r="E23" s="10">
        <f>SUM(E13,E15,E19,E21,E22)</f>
        <v>4730858.2772559468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+IORS+z+XiGRIj0e6oLH3EJRlTCJTHtc9zLXjQm5CzXrTVfHXski9USBYsBxC/wMK29Utppd74BgcLu/kp2Xxg==" saltValue="dhrua8vkMSoaAfY00owEY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7" t="s">
        <v>92</v>
      </c>
      <c r="C8" s="37"/>
      <c r="D8" s="37"/>
      <c r="E8" s="7">
        <f>'Fane 2.2. Økonomisk ramme 2022'!E13</f>
        <v>3628834.2280787923</v>
      </c>
      <c r="F8" s="37" t="s">
        <v>3</v>
      </c>
      <c r="G8" s="1"/>
    </row>
    <row r="9" spans="1:7" ht="15" customHeight="1" x14ac:dyDescent="0.45">
      <c r="A9" s="1"/>
      <c r="B9" s="37" t="s">
        <v>82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Nøgletal'!C13</f>
        <v>44271.77758256127</v>
      </c>
      <c r="F10" s="37" t="s">
        <v>3</v>
      </c>
      <c r="G10" s="1"/>
    </row>
    <row r="11" spans="1:7" ht="15" customHeight="1" x14ac:dyDescent="0.45">
      <c r="A11" s="1"/>
      <c r="B11" s="38" t="s">
        <v>72</v>
      </c>
      <c r="C11" s="37"/>
      <c r="D11" s="37"/>
      <c r="E11" s="8">
        <f>-SUM(E8:E10)*'Fane 10. Nøgletal'!C18</f>
        <v>-62442.802096243016</v>
      </c>
      <c r="F11" s="37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3610663.2035651105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Nøgletal'!C13)^2</f>
        <v>1720826.452984602</v>
      </c>
      <c r="F14" s="43" t="s">
        <v>3</v>
      </c>
      <c r="G14" s="1"/>
    </row>
    <row r="15" spans="1:7" ht="15" customHeight="1" x14ac:dyDescent="0.4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7" t="s">
        <v>49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7" t="s">
        <v>50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57</v>
      </c>
      <c r="C19" s="42"/>
      <c r="D19" s="42"/>
      <c r="E19" s="10">
        <f>SUM(E12,E14,E18)</f>
        <v>5331489.6565497126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PRl9HW5+J7eAcHhN9Nmn8a8me/ROsnn4oBwSyl9enl+RU1BKOzfPRTCwjS2pefP+Ut3//QWwe0T5aZhX4kjVg==" saltValue="7cLeyr+86i27x4/lAcbRa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7" t="s">
        <v>94</v>
      </c>
      <c r="C8" s="37"/>
      <c r="D8" s="37"/>
      <c r="E8" s="7">
        <f>'Fane 2.3. Økonomisk ramme 2023'!E12</f>
        <v>3610663.2035651105</v>
      </c>
      <c r="F8" s="37" t="s">
        <v>3</v>
      </c>
      <c r="G8" s="1"/>
    </row>
    <row r="9" spans="1:7" ht="15" customHeight="1" x14ac:dyDescent="0.45">
      <c r="A9" s="1"/>
      <c r="B9" s="37" t="s">
        <v>82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Nøgletal'!C13</f>
        <v>44050.09108349435</v>
      </c>
      <c r="F10" s="37" t="s">
        <v>3</v>
      </c>
      <c r="G10" s="1"/>
    </row>
    <row r="11" spans="1:7" ht="15" customHeight="1" x14ac:dyDescent="0.45">
      <c r="A11" s="1"/>
      <c r="B11" s="38" t="s">
        <v>72</v>
      </c>
      <c r="C11" s="37"/>
      <c r="D11" s="37"/>
      <c r="E11" s="8">
        <f>-SUM(E8:E10)*'Fane 10. Nøgletal'!C18</f>
        <v>-62130.126009026288</v>
      </c>
      <c r="F11" s="37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3592583.1686395789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Nøgletal'!C13)^3</f>
        <v>1741820.5357110142</v>
      </c>
      <c r="F14" s="43" t="s">
        <v>3</v>
      </c>
      <c r="G14" s="1"/>
    </row>
    <row r="15" spans="1:7" ht="15" customHeight="1" x14ac:dyDescent="0.4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7" t="s">
        <v>49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7" t="s">
        <v>50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95</v>
      </c>
      <c r="C19" s="42"/>
      <c r="D19" s="42"/>
      <c r="E19" s="10">
        <f>SUM(E12,E14,E18)</f>
        <v>5334403.7043505926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Fi7fqXbHQmYvW6tV8HgG6ndrzy8xDjI4RIfD6jKMd0VVHn3nnlMncTe4upsfpWEed0JJcCPFcFdd4dD9AMcKBA==" saltValue="15wOA2Pqucc3IsSpWOdZ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97</v>
      </c>
      <c r="C8" s="42"/>
      <c r="D8" s="42"/>
      <c r="E8" s="42"/>
      <c r="F8" s="42"/>
      <c r="G8" s="1"/>
    </row>
    <row r="9" spans="1:7" x14ac:dyDescent="0.45">
      <c r="A9" s="1"/>
      <c r="B9" s="81" t="s">
        <v>24</v>
      </c>
      <c r="C9" s="81"/>
      <c r="D9" s="81"/>
      <c r="E9" s="7">
        <v>3238524.4616496773</v>
      </c>
      <c r="F9" s="37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0</v>
      </c>
      <c r="F10" s="37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377543.60040959215</v>
      </c>
      <c r="F11" s="37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429681.18599999999</v>
      </c>
      <c r="F12" s="37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7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51179.663148871186</v>
      </c>
      <c r="F14" s="37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-63229.550283575329</v>
      </c>
      <c r="F15" s="37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3656155.7605149732</v>
      </c>
      <c r="F16" s="43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42"/>
      <c r="F17" s="42"/>
      <c r="G17" s="1"/>
    </row>
    <row r="18" spans="1:7" x14ac:dyDescent="0.45">
      <c r="A18" s="1"/>
      <c r="B18" s="73" t="s">
        <v>12</v>
      </c>
      <c r="C18" s="73"/>
      <c r="D18" s="73"/>
      <c r="E18" s="9">
        <v>1909111.24094922</v>
      </c>
      <c r="F18" s="43" t="s">
        <v>3</v>
      </c>
      <c r="G18" s="1"/>
    </row>
    <row r="19" spans="1:7" x14ac:dyDescent="0.45">
      <c r="A19" s="1"/>
      <c r="B19" s="42" t="s">
        <v>52</v>
      </c>
      <c r="C19" s="42"/>
      <c r="D19" s="42"/>
      <c r="E19" s="42"/>
      <c r="F19" s="42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42" t="s">
        <v>145</v>
      </c>
      <c r="C23" s="42"/>
      <c r="D23" s="42"/>
      <c r="E23" s="42"/>
      <c r="F23" s="42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-530510</v>
      </c>
      <c r="F24" s="9" t="s">
        <v>3</v>
      </c>
      <c r="G24" s="1"/>
    </row>
    <row r="25" spans="1:7" x14ac:dyDescent="0.45">
      <c r="A25" s="1"/>
      <c r="B25" s="42" t="s">
        <v>147</v>
      </c>
      <c r="C25" s="42"/>
      <c r="D25" s="42"/>
      <c r="E25" s="42"/>
      <c r="F25" s="42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43" t="s">
        <v>3</v>
      </c>
      <c r="G26" s="1"/>
    </row>
    <row r="27" spans="1:7" x14ac:dyDescent="0.45">
      <c r="A27" s="1"/>
      <c r="B27" s="42" t="s">
        <v>25</v>
      </c>
      <c r="C27" s="42"/>
      <c r="D27" s="42"/>
      <c r="E27" s="10">
        <f>E16+E18+E22+E24+E26</f>
        <v>5034757.0014641937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xvuQ/OUVBFlLdPvBedxAD/IoOcdpfn8G09QizorX6vRghtTjZ14FSCa7W2AkFkXr6S885SGT27julGIbT7DFGw==" saltValue="eWQPphVlSwxr7NHwEDGwOw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3" t="s">
        <v>100</v>
      </c>
      <c r="D9" s="43"/>
      <c r="E9" s="1"/>
      <c r="F9" s="1"/>
    </row>
    <row r="10" spans="1:6" x14ac:dyDescent="0.45">
      <c r="A10" s="1"/>
      <c r="B10" s="26" t="s">
        <v>154</v>
      </c>
      <c r="C10" s="8">
        <v>1601928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5383</v>
      </c>
      <c r="D11" s="12" t="s">
        <v>3</v>
      </c>
      <c r="E11" s="1"/>
      <c r="F11" s="1"/>
    </row>
    <row r="12" spans="1:6" x14ac:dyDescent="0.45">
      <c r="A12" s="1"/>
      <c r="B12" s="33" t="s">
        <v>160</v>
      </c>
      <c r="C12" s="8">
        <v>32039.213681785172</v>
      </c>
      <c r="D12" s="12" t="s">
        <v>3</v>
      </c>
      <c r="E12" s="1"/>
      <c r="F12" s="1"/>
    </row>
    <row r="13" spans="1:6" x14ac:dyDescent="0.45">
      <c r="A13" s="1"/>
      <c r="B13" s="47" t="s">
        <v>101</v>
      </c>
      <c r="C13" s="10">
        <f>SUM(C10:C12)</f>
        <v>1639350.2136817852</v>
      </c>
      <c r="D13" s="11" t="s">
        <v>3</v>
      </c>
      <c r="E13" s="1"/>
      <c r="F13" s="1"/>
    </row>
    <row r="14" spans="1:6" x14ac:dyDescent="0.45">
      <c r="A14" s="1"/>
      <c r="B14" s="47" t="s">
        <v>102</v>
      </c>
      <c r="C14" s="10">
        <f>C13*(1+'Fane 10. Nøgletal'!C13)^2</f>
        <v>1679594.3597814252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MSukOEX7ChuNZV1D0EXthnhNdSOYr2/aupIcPYl+Eq1uCpNnZska7zpMHRaaLB5LYqF2Wn+0CQQN3zkXuhDkgw==" saltValue="SEKg8M4AAsoCVTtXh06cb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86" t="s">
        <v>34</v>
      </c>
      <c r="C7" s="86"/>
      <c r="D7" s="86"/>
      <c r="E7" s="8">
        <v>351263.59333333332</v>
      </c>
      <c r="F7" s="12" t="s">
        <v>3</v>
      </c>
      <c r="G7" s="1"/>
    </row>
    <row r="8" spans="1:7" ht="15" customHeight="1" x14ac:dyDescent="0.45">
      <c r="A8" s="1"/>
      <c r="B8" s="86" t="s">
        <v>35</v>
      </c>
      <c r="C8" s="86"/>
      <c r="D8" s="86"/>
      <c r="E8" s="8">
        <v>-1135204.8824403076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-783941.28910697438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86" t="s">
        <v>63</v>
      </c>
      <c r="C15" s="86"/>
      <c r="D15" s="86"/>
      <c r="E15" s="8">
        <v>2373496.1449999996</v>
      </c>
      <c r="F15" s="12" t="s">
        <v>3</v>
      </c>
      <c r="G15" s="1"/>
    </row>
    <row r="16" spans="1:7" x14ac:dyDescent="0.45">
      <c r="A16" s="1"/>
      <c r="B16" s="86" t="s">
        <v>64</v>
      </c>
      <c r="C16" s="86"/>
      <c r="D16" s="86"/>
      <c r="E16" s="8">
        <v>4150590</v>
      </c>
      <c r="F16" s="12" t="s">
        <v>3</v>
      </c>
      <c r="G16" s="1"/>
    </row>
    <row r="17" spans="1:7" x14ac:dyDescent="0.4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45">
      <c r="A18" s="1"/>
      <c r="B18" s="87" t="s">
        <v>136</v>
      </c>
      <c r="C18" s="87"/>
      <c r="D18" s="87"/>
      <c r="E18" s="9">
        <f>E15-(E16-E17)</f>
        <v>-1777093.8550000004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86" t="s">
        <v>45</v>
      </c>
      <c r="C23" s="86"/>
      <c r="D23" s="86"/>
      <c r="E23" s="8">
        <v>4328717.2216788428</v>
      </c>
      <c r="F23" s="12" t="s">
        <v>3</v>
      </c>
      <c r="G23" s="1"/>
    </row>
    <row r="24" spans="1:7" ht="15" customHeight="1" x14ac:dyDescent="0.45">
      <c r="A24" s="1"/>
      <c r="B24" s="86" t="s">
        <v>46</v>
      </c>
      <c r="C24" s="86"/>
      <c r="D24" s="86"/>
      <c r="E24" s="8">
        <v>3266467</v>
      </c>
      <c r="F24" s="12" t="s">
        <v>3</v>
      </c>
      <c r="G24" s="1"/>
    </row>
    <row r="25" spans="1:7" ht="15" customHeight="1" x14ac:dyDescent="0.4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45">
      <c r="A26" s="1"/>
      <c r="B26" s="87" t="s">
        <v>137</v>
      </c>
      <c r="C26" s="87"/>
      <c r="D26" s="87"/>
      <c r="E26" s="9">
        <f>E23-(E24-E25)</f>
        <v>1062250.2216788428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86" t="s">
        <v>128</v>
      </c>
      <c r="C31" s="86"/>
      <c r="D31" s="86"/>
      <c r="E31" s="8">
        <v>4303531.1988409236</v>
      </c>
      <c r="F31" s="12" t="s">
        <v>3</v>
      </c>
      <c r="G31" s="1"/>
    </row>
    <row r="32" spans="1:7" x14ac:dyDescent="0.45">
      <c r="A32" s="1"/>
      <c r="B32" s="86" t="s">
        <v>129</v>
      </c>
      <c r="C32" s="86"/>
      <c r="D32" s="86"/>
      <c r="E32" s="8">
        <v>4000869</v>
      </c>
      <c r="F32" s="12" t="s">
        <v>3</v>
      </c>
      <c r="G32" s="1"/>
    </row>
    <row r="33" spans="1:7" x14ac:dyDescent="0.4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45">
      <c r="A34" s="1"/>
      <c r="B34" s="87" t="s">
        <v>138</v>
      </c>
      <c r="C34" s="87"/>
      <c r="D34" s="87"/>
      <c r="E34" s="9">
        <f>E31-(E32-E33)</f>
        <v>302662.19884092361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91" t="s">
        <v>36</v>
      </c>
      <c r="C39" s="91"/>
      <c r="D39" s="91"/>
      <c r="E39" s="8">
        <f>E9</f>
        <v>-783941.28910697438</v>
      </c>
      <c r="F39" s="12" t="s">
        <v>3</v>
      </c>
      <c r="G39" s="1"/>
    </row>
    <row r="40" spans="1:7" x14ac:dyDescent="0.45">
      <c r="A40" s="1"/>
      <c r="B40" s="91" t="s">
        <v>135</v>
      </c>
      <c r="C40" s="91"/>
      <c r="D40" s="91"/>
      <c r="E40" s="8">
        <f>IF(E18+E26+E34&lt;0,E18+E26+E34,0)</f>
        <v>-412181.43448023405</v>
      </c>
      <c r="F40" s="12" t="s">
        <v>3</v>
      </c>
      <c r="G40" s="1"/>
    </row>
    <row r="41" spans="1:7" x14ac:dyDescent="0.4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45">
      <c r="A42" s="1"/>
      <c r="B42" s="87" t="s">
        <v>133</v>
      </c>
      <c r="C42" s="87"/>
      <c r="D42" s="87"/>
      <c r="E42" s="9">
        <f>SUM(E39)/E41</f>
        <v>-391970.64455348719</v>
      </c>
      <c r="F42" s="15" t="s">
        <v>3</v>
      </c>
      <c r="G42" s="1"/>
    </row>
    <row r="43" spans="1:7" x14ac:dyDescent="0.45">
      <c r="A43" s="1"/>
      <c r="B43" s="87" t="s">
        <v>134</v>
      </c>
      <c r="C43" s="87"/>
      <c r="D43" s="87"/>
      <c r="E43" s="9">
        <f>E40/E41</f>
        <v>-206090.71724011702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G9CwWhPyxB1G+jCBS5mfWqsIMGUwigMQMZmgR5BuqEko725HVWllFBjWQteCDgDiR0hrKjrzqbFXYV1iMrAVOg==" saltValue="P4Cj4RyX1EeUDn/soSSFoA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30</v>
      </c>
      <c r="H9" s="46"/>
      <c r="I9" s="1"/>
    </row>
    <row r="10" spans="1:9" x14ac:dyDescent="0.45">
      <c r="A10" s="1"/>
      <c r="B10" s="34" t="s">
        <v>156</v>
      </c>
      <c r="C10" s="35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flBodf2TK9OPEJz95DjrDUriQB3SmjzetswG5yZkkNZ6++TFbnjK8AjnKStNHaYD9oU29QzVlp3jW0AXgMEiA==" saltValue="tIKo1pkaTaONJoGVuZNvm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2020-10-13T10:13:49Z</dcterms:modified>
</cp:coreProperties>
</file>