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andcenter Djurs a.m.b.a. (V198)\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C17" i="19" l="1"/>
  <c r="E32" i="27" l="1"/>
  <c r="C19" i="23"/>
  <c r="C19" i="22"/>
  <c r="C19" i="15"/>
  <c r="C31" i="2"/>
  <c r="G18" i="40" l="1"/>
  <c r="E25" i="32" l="1"/>
  <c r="E29" i="32" s="1"/>
  <c r="E31" i="32" s="1"/>
  <c r="C17" i="15" l="1"/>
  <c r="C29" i="2"/>
  <c r="F10" i="11"/>
  <c r="E12" i="39" l="1"/>
  <c r="C12" i="39"/>
  <c r="E11" i="29"/>
  <c r="E12" i="29" s="1"/>
  <c r="C14" i="2" s="1"/>
  <c r="C11" i="29"/>
  <c r="J11" i="11"/>
  <c r="H11" i="11"/>
  <c r="C18"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<sst xmlns="http://schemas.openxmlformats.org/spreadsheetml/2006/main" count="518" uniqueCount="258">
  <si>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</si>
  <si>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</si>
  <si>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</si>
  <si>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</si>
  <si>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</si>
  <si>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</si>
  <si>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</si>
  <si>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</si>
  <si>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</si>
  <si>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</si>
  <si>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</si>
  <si>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</si>
  <si>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</si>
  <si>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</si>
  <si>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</si>
  <si>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</si>
  <si>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</si>
  <si>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</si>
  <si>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</si>
  <si>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</si>
  <si>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</si>
  <si>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</si>
  <si>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</si>
  <si>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</si>
  <si>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</si>
  <si>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</si>
  <si>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</si>
  <si>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</si>
  <si>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</si>
  <si>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</si>
  <si>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</si>
  <si>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</si>
  <si>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</si>
  <si>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</si>
  <si>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</si>
  <si>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</si>
  <si>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</si>
  <si>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</si>
  <si>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</si>
  <si>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</si>
  <si>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</si>
  <si>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</si>
  <si>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</si>
  <si>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</si>
  <si>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</si>
  <si>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</si>
  <si>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</si>
  <si>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</si>
  <si>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</si>
  <si>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</si>
  <si>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</si>
  <si>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</si>
  <si>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</si>
  <si>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</si>
  <si>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</si>
  <si>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</si>
  <si>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</si>
  <si>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</si>
  <si>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</si>
  <si>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</si>
  <si>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</si>
  <si>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</si>
  <si>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</si>
  <si>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</si>
  <si>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</si>
  <si>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</si>
  <si>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</si>
  <si>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</si>
  <si>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</si>
  <si>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</si>
  <si>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</si>
  <si>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</si>
  <si>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</si>
  <si>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</si>
  <si>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</si>
  <si>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</si>
  <si>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</si>
  <si>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</si>
  <si>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</si>
  <si>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</si>
  <si>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</si>
  <si>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</si>
  <si>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</si>
  <si>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</si>
  <si>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</si>
  <si>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</si>
  <si>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</si>
  <si>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</si>
  <si>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</si>
  <si>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</si>
  <si>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</si>
  <si>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</si>
  <si>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</si>
  <si>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</si>
  <si>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</si>
  <si>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</si>
  <si>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</si>
  <si>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</si>
  <si>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</si>
  <si>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</si>
  <si>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</si>
  <si>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</si>
  <si>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</si>
  <si>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</si>
  <si>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</si>
  <si>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</si>
  <si>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</si>
  <si>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</si>
  <si>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</si>
  <si>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</si>
  <si>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</si>
  <si>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</si>
  <si>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</si>
  <si>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</si>
  <si>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</si>
  <si>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</si>
  <si>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</si>
  <si>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</si>
  <si>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</si>
  <si>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</si>
  <si>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</si>
  <si>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</si>
  <si>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</si>
  <si>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</si>
  <si>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</si>
  <si>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</si>
  <si>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</si>
  <si>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</si>
  <si>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</si>
  <si>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</si>
  <si>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</si>
  <si>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</si>
  <si>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</si>
  <si>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</si>
  <si>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</si>
  <si>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</si>
  <si>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</si>
  <si>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</si>
  <si>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</si>
  <si>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</si>
  <si>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</si>
  <si>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</si>
  <si>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</si>
  <si>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</si>
  <si>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</si>
  <si>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</si>
  <si>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</si>
  <si>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</si>
  <si>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</si>
  <si>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</si>
  <si>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</si>
  <si>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</si>
  <si>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</si>
  <si>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</si>
  <si>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</si>
  <si>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</si>
  <si>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</si>
  <si>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</si>
  <si>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</si>
  <si>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</si>
  <si>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</si>
  <si>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</si>
  <si>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</si>
  <si>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</si>
  <si>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</si>
  <si>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</si>
  <si>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</si>
  <si>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</si>
  <si>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</si>
  <si>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</si>
  <si>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</si>
  <si>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</si>
  <si>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</si>
  <si>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</si>
  <si>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</si>
  <si>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</si>
  <si>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</si>
  <si>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</si>
  <si>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</si>
  <si>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</si>
  <si>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</si>
  <si>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</si>
  <si>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</si>
  <si>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</si>
  <si>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</si>
  <si>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</si>
  <si>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</si>
  <si>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</si>
  <si>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</si>
  <si>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</si>
  <si>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</si>
  <si>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</si>
  <si>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</si>
  <si>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</si>
  <si>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</si>
  <si>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</si>
  <si>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</si>
  <si>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</si>
  <si>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</si>
  <si>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</si>
  <si>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</si>
  <si>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</si>
  <si>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</si>
  <si>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</si>
  <si>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</si>
  <si>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</si>
  <si>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</si>
  <si>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</si>
  <si>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</si>
  <si>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</si>
  <si>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</si>
  <si>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</si>
  <si>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</si>
  <si>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</si>
  <si>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</si>
  <si>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</si>
  <si>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</si>
  <si>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</si>
  <si>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</si>
  <si>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</si>
  <si>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</si>
  <si>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</si>
  <si>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</si>
  <si>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</si>
  <si>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</si>
  <si>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</si>
  <si>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</si>
  <si>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</si>
  <si>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</si>
  <si>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</si>
  <si>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</si>
  <si>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</si>
  <si>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</si>
  <si>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</si>
  <si>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Frivillige aftaler om dyrkningspraksis eller andre restriktioner i arealanvendelse</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</si>
  <si>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</si>
  <si>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</si>
  <si>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</si>
  <si>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</si>
  <si>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</si>
  <si>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</si>
  <si>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</si>
  <si>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</si>
  <si>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</si>
  <si>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</si>
  <si>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</si>
  <si>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</si>
  <si>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</si>
  <si>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</si>
  <si>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</si>
  <si>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</si>
  <si>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</si>
  <si>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Forsyningssikkerhed</t>
  </si>
  <si>
    <t>Resultat af kontrol med overholdelse af den økonomiske ramme for 2021</t>
  </si>
  <si>
    <t>Ingen engangstillæg</t>
  </si>
  <si>
    <t>Fusion med Rimsø-Emmelev Vandværk - ejendomsskat</t>
  </si>
  <si>
    <t>Fusion med Rimsø-Emmelev Vandværk - afgift for ledningsført vand</t>
  </si>
  <si>
    <t>Fusion med TVK Vandværk - afgift for ledningsført vand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</si>
</sst>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97" t="s">
        <v>194</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92" t="s">
        <v>161</v>
      </c>
      <c r="E13" s="93"/>
      <c r="F13" s="93"/>
      <c r="G13" s="94"/>
      <c r="H13" s="1"/>
      <c r="I13" s="1"/>
    </row>
    <row r="14" spans="1:9" x14ac:dyDescent="0.25">
      <c r="A14" s="1"/>
      <c r="B14" s="1"/>
      <c r="C14" s="6" t="s">
        <v>14</v>
      </c>
      <c r="D14" s="92" t="s">
        <v>204</v>
      </c>
      <c r="E14" s="93"/>
      <c r="F14" s="93"/>
      <c r="G14" s="94"/>
      <c r="H14" s="1"/>
      <c r="I14" s="1"/>
    </row>
    <row r="15" spans="1:9" x14ac:dyDescent="0.25">
      <c r="A15" s="1"/>
      <c r="B15" s="1"/>
      <c r="C15" s="6" t="s">
        <v>32</v>
      </c>
      <c r="D15" s="92" t="s">
        <v>137</v>
      </c>
      <c r="E15" s="93"/>
      <c r="F15" s="93"/>
      <c r="G15" s="94"/>
      <c r="H15" s="1"/>
      <c r="I15" s="1"/>
    </row>
    <row r="16" spans="1:9" x14ac:dyDescent="0.25">
      <c r="A16" s="1"/>
      <c r="B16" s="1"/>
      <c r="C16" s="6" t="s">
        <v>33</v>
      </c>
      <c r="D16" s="92" t="s">
        <v>162</v>
      </c>
      <c r="E16" s="93"/>
      <c r="F16" s="93"/>
      <c r="G16" s="94"/>
      <c r="H16" s="1"/>
      <c r="I16" s="1"/>
    </row>
    <row r="17" spans="1:9" x14ac:dyDescent="0.25">
      <c r="A17" s="1"/>
      <c r="B17" s="1"/>
      <c r="C17" s="6" t="s">
        <v>110</v>
      </c>
      <c r="D17" s="92" t="s">
        <v>163</v>
      </c>
      <c r="E17" s="93"/>
      <c r="F17" s="93"/>
      <c r="G17" s="94"/>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89" t="s">
        <v>11</v>
      </c>
      <c r="E21" s="90"/>
      <c r="F21" s="90"/>
      <c r="G21" s="91"/>
      <c r="H21" s="1"/>
      <c r="I21" s="1"/>
    </row>
    <row r="22" spans="1:9" x14ac:dyDescent="0.25">
      <c r="A22" s="1"/>
      <c r="B22" s="1"/>
      <c r="C22" s="6" t="s">
        <v>78</v>
      </c>
      <c r="D22" s="83" t="s">
        <v>164</v>
      </c>
      <c r="E22" s="84"/>
      <c r="F22" s="84"/>
      <c r="G22" s="85"/>
      <c r="H22" s="1"/>
      <c r="I22" s="1"/>
    </row>
    <row r="23" spans="1:9" x14ac:dyDescent="0.25">
      <c r="A23" s="1"/>
      <c r="B23" s="1"/>
      <c r="C23" s="6" t="s">
        <v>8</v>
      </c>
      <c r="D23" s="83" t="s">
        <v>219</v>
      </c>
      <c r="E23" s="84"/>
      <c r="F23" s="84"/>
      <c r="G23" s="85"/>
      <c r="H23" s="1"/>
      <c r="I23" s="1"/>
    </row>
    <row r="24" spans="1:9" x14ac:dyDescent="0.25">
      <c r="A24" s="1"/>
      <c r="B24" s="1"/>
      <c r="C24" s="6" t="s">
        <v>215</v>
      </c>
      <c r="D24" s="83" t="s">
        <v>205</v>
      </c>
      <c r="E24" s="84"/>
      <c r="F24" s="84"/>
      <c r="G24" s="85"/>
      <c r="H24" s="1"/>
      <c r="I24" s="1"/>
    </row>
    <row r="25" spans="1:9" x14ac:dyDescent="0.25">
      <c r="A25" s="1"/>
      <c r="B25" s="1"/>
      <c r="C25" s="6" t="s">
        <v>216</v>
      </c>
      <c r="D25" s="83" t="s">
        <v>79</v>
      </c>
      <c r="E25" s="84"/>
      <c r="F25" s="84"/>
      <c r="G25" s="85"/>
      <c r="H25" s="1"/>
      <c r="I25" s="1"/>
    </row>
    <row r="26" spans="1:9" x14ac:dyDescent="0.25">
      <c r="A26" s="1"/>
      <c r="B26" s="1"/>
      <c r="C26" s="6" t="s">
        <v>217</v>
      </c>
      <c r="D26" s="83" t="s">
        <v>80</v>
      </c>
      <c r="E26" s="84"/>
      <c r="F26" s="84"/>
      <c r="G26" s="85"/>
      <c r="H26" s="1"/>
      <c r="I26" s="1"/>
    </row>
    <row r="27" spans="1:9" x14ac:dyDescent="0.25">
      <c r="A27" s="1"/>
      <c r="B27" s="1"/>
      <c r="C27" s="6" t="s">
        <v>97</v>
      </c>
      <c r="D27" s="83" t="s">
        <v>111</v>
      </c>
      <c r="E27" s="84"/>
      <c r="F27" s="84"/>
      <c r="G27" s="85"/>
      <c r="H27" s="1"/>
      <c r="I27" s="1"/>
    </row>
    <row r="28" spans="1:9" x14ac:dyDescent="0.25">
      <c r="A28" s="1"/>
      <c r="B28" s="1"/>
      <c r="C28" s="6" t="s">
        <v>91</v>
      </c>
      <c r="D28" s="83" t="s">
        <v>34</v>
      </c>
      <c r="E28" s="84"/>
      <c r="F28" s="84"/>
      <c r="G28" s="85"/>
      <c r="H28" s="1"/>
      <c r="I28" s="1"/>
    </row>
    <row r="29" spans="1:9" x14ac:dyDescent="0.25">
      <c r="A29" s="1"/>
      <c r="B29" s="1"/>
      <c r="C29" s="6" t="s">
        <v>218</v>
      </c>
      <c r="D29" s="86" t="s">
        <v>92</v>
      </c>
      <c r="E29" s="87"/>
      <c r="F29" s="87"/>
      <c r="G29" s="8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100</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181</v>
      </c>
      <c r="C8" s="125"/>
      <c r="D8" s="126"/>
      <c r="E8" s="1"/>
      <c r="F8" s="1"/>
    </row>
    <row r="9" spans="1:6" ht="15" customHeight="1" x14ac:dyDescent="0.25">
      <c r="A9" s="1"/>
      <c r="B9" s="33" t="s">
        <v>30</v>
      </c>
      <c r="C9" s="11" t="s">
        <v>212</v>
      </c>
      <c r="D9" s="11"/>
      <c r="E9" s="1"/>
      <c r="F9" s="1"/>
    </row>
    <row r="10" spans="1:6" x14ac:dyDescent="0.25">
      <c r="A10" s="1"/>
      <c r="B10" s="79" t="s">
        <v>231</v>
      </c>
      <c r="C10" s="9">
        <v>9421136</v>
      </c>
      <c r="D10" s="14" t="s">
        <v>3</v>
      </c>
      <c r="E10" s="1"/>
      <c r="F10" s="1"/>
    </row>
    <row r="11" spans="1:6" x14ac:dyDescent="0.25">
      <c r="A11" s="1"/>
      <c r="B11" s="79" t="s">
        <v>232</v>
      </c>
      <c r="C11" s="9">
        <v>88948</v>
      </c>
      <c r="D11" s="14" t="s">
        <v>3</v>
      </c>
      <c r="E11" s="1"/>
      <c r="F11" s="1"/>
    </row>
    <row r="12" spans="1:6" x14ac:dyDescent="0.25">
      <c r="A12" s="1"/>
      <c r="B12" s="79" t="s">
        <v>233</v>
      </c>
      <c r="C12" s="9">
        <v>30529</v>
      </c>
      <c r="D12" s="14" t="s">
        <v>3</v>
      </c>
      <c r="E12" s="1"/>
      <c r="F12" s="1"/>
    </row>
    <row r="13" spans="1:6" ht="26.25" x14ac:dyDescent="0.25">
      <c r="A13" s="1"/>
      <c r="B13" s="82" t="s">
        <v>234</v>
      </c>
      <c r="C13" s="9">
        <v>518491</v>
      </c>
      <c r="D13" s="14" t="s">
        <v>3</v>
      </c>
      <c r="E13" s="1"/>
      <c r="F13" s="1"/>
    </row>
    <row r="14" spans="1:6" ht="26.25" x14ac:dyDescent="0.25">
      <c r="A14" s="1"/>
      <c r="B14" s="82" t="s">
        <v>255</v>
      </c>
      <c r="C14" s="9">
        <v>322</v>
      </c>
      <c r="D14" s="14" t="s">
        <v>3</v>
      </c>
      <c r="E14" s="1"/>
      <c r="F14" s="1"/>
    </row>
    <row r="15" spans="1:6" ht="26.25" x14ac:dyDescent="0.25">
      <c r="A15" s="1"/>
      <c r="B15" s="82" t="s">
        <v>256</v>
      </c>
      <c r="C15" s="9">
        <v>77050</v>
      </c>
      <c r="D15" s="14" t="s">
        <v>3</v>
      </c>
      <c r="E15" s="1"/>
      <c r="F15" s="1"/>
    </row>
    <row r="16" spans="1:6" ht="26.25" x14ac:dyDescent="0.25">
      <c r="A16" s="1"/>
      <c r="B16" s="82" t="s">
        <v>257</v>
      </c>
      <c r="C16" s="9">
        <v>439404</v>
      </c>
      <c r="D16" s="14" t="s">
        <v>3</v>
      </c>
      <c r="E16" s="1"/>
      <c r="F16" s="1"/>
    </row>
    <row r="17" spans="1:6" x14ac:dyDescent="0.25">
      <c r="A17" s="1"/>
      <c r="B17" s="71" t="s">
        <v>182</v>
      </c>
      <c r="C17" s="12">
        <f>SUM(C10:C16)</f>
        <v>10575880</v>
      </c>
      <c r="D17" s="13" t="s">
        <v>3</v>
      </c>
      <c r="E17" s="1"/>
      <c r="F17" s="1"/>
    </row>
    <row r="18" spans="1:6" x14ac:dyDescent="0.25">
      <c r="A18" s="1"/>
      <c r="B18" s="71" t="s">
        <v>183</v>
      </c>
      <c r="C18" s="12">
        <f>C17*(1+'Fane 13. Nøgletal'!C15)^2</f>
        <v>11342286.1032768</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sheetData>
  <sheetProtection algorithmName="SHA-512" hashValue="uRGBgHFynSBNvbHUZEO9x/u0KOOFTMAJ15G+XO/xerc9TEQdidP3Y+fuB9kLP6MDRym53B5UiNnlCplZBX8k1Q==" saltValue="r22+1OjKg+kfoDFzMsh25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9" t="s">
        <v>184</v>
      </c>
      <c r="C3" s="109"/>
      <c r="D3" s="109"/>
      <c r="E3" s="109"/>
      <c r="F3" s="109"/>
      <c r="G3" s="1"/>
    </row>
    <row r="4" spans="1:7" ht="15" customHeight="1" x14ac:dyDescent="0.25">
      <c r="A4" s="1"/>
      <c r="B4" s="109"/>
      <c r="C4" s="109"/>
      <c r="D4" s="109"/>
      <c r="E4" s="109"/>
      <c r="F4" s="109"/>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4" t="s">
        <v>155</v>
      </c>
      <c r="C8" s="125"/>
      <c r="D8" s="125"/>
      <c r="E8" s="125"/>
      <c r="F8" s="126"/>
      <c r="G8" s="1"/>
    </row>
    <row r="9" spans="1:7" x14ac:dyDescent="0.25">
      <c r="A9" s="1"/>
      <c r="B9" s="127" t="s">
        <v>156</v>
      </c>
      <c r="C9" s="128"/>
      <c r="D9" s="129"/>
      <c r="E9" s="9">
        <v>3779782</v>
      </c>
      <c r="F9" s="14" t="s">
        <v>3</v>
      </c>
      <c r="G9" s="1"/>
    </row>
    <row r="10" spans="1:7" x14ac:dyDescent="0.25">
      <c r="A10" s="1"/>
      <c r="B10" s="142" t="s">
        <v>235</v>
      </c>
      <c r="C10" s="143"/>
      <c r="D10" s="144"/>
      <c r="E10" s="9">
        <v>3779782</v>
      </c>
      <c r="F10" s="54" t="s">
        <v>3</v>
      </c>
      <c r="G10" s="1"/>
    </row>
    <row r="11" spans="1:7" x14ac:dyDescent="0.25">
      <c r="A11" s="1"/>
      <c r="B11" s="127" t="s">
        <v>185</v>
      </c>
      <c r="C11" s="128"/>
      <c r="D11" s="129"/>
      <c r="E11" s="9">
        <v>2668130.1308943704</v>
      </c>
      <c r="F11" s="14" t="s">
        <v>3</v>
      </c>
      <c r="G11" s="1"/>
    </row>
    <row r="12" spans="1:7" x14ac:dyDescent="0.25">
      <c r="A12" s="1"/>
      <c r="B12" s="71"/>
      <c r="C12" s="72"/>
      <c r="D12" s="72"/>
      <c r="E12" s="72"/>
      <c r="F12" s="19"/>
      <c r="G12" s="1"/>
    </row>
    <row r="13" spans="1:7" ht="64.900000000000006" customHeight="1" x14ac:dyDescent="0.25">
      <c r="A13" s="1"/>
      <c r="B13" s="113" t="s">
        <v>251</v>
      </c>
      <c r="C13" s="114"/>
      <c r="D13" s="114"/>
      <c r="E13" s="114"/>
      <c r="F13" s="115"/>
      <c r="G13" s="1"/>
    </row>
    <row r="14" spans="1:7" ht="27" customHeight="1" x14ac:dyDescent="0.25">
      <c r="A14" s="1"/>
      <c r="B14" s="1"/>
      <c r="C14" s="1"/>
      <c r="D14" s="1"/>
      <c r="E14" s="1"/>
      <c r="F14" s="1"/>
      <c r="G14" s="1"/>
    </row>
    <row r="15" spans="1:7" ht="28.5" customHeight="1" x14ac:dyDescent="0.25">
      <c r="A15" s="1"/>
      <c r="B15" s="124" t="s">
        <v>157</v>
      </c>
      <c r="C15" s="125"/>
      <c r="D15" s="125"/>
      <c r="E15" s="125"/>
      <c r="F15" s="126"/>
      <c r="G15" s="1"/>
    </row>
    <row r="16" spans="1:7" x14ac:dyDescent="0.25">
      <c r="A16" s="1"/>
      <c r="B16" s="127" t="s">
        <v>236</v>
      </c>
      <c r="C16" s="128"/>
      <c r="D16" s="129"/>
      <c r="E16" s="9">
        <v>0</v>
      </c>
      <c r="F16" s="14" t="s">
        <v>3</v>
      </c>
      <c r="G16" s="1"/>
    </row>
    <row r="17" spans="1:7" x14ac:dyDescent="0.25">
      <c r="A17" s="1"/>
      <c r="B17" s="127" t="s">
        <v>237</v>
      </c>
      <c r="C17" s="128"/>
      <c r="D17" s="129"/>
      <c r="E17" s="9">
        <v>0</v>
      </c>
      <c r="F17" s="14" t="s">
        <v>3</v>
      </c>
      <c r="G17" s="1"/>
    </row>
    <row r="18" spans="1:7" x14ac:dyDescent="0.25">
      <c r="A18" s="1"/>
      <c r="B18" s="71"/>
      <c r="C18" s="72"/>
      <c r="D18" s="72"/>
      <c r="E18" s="72"/>
      <c r="F18" s="19"/>
      <c r="G18" s="1"/>
    </row>
    <row r="19" spans="1:7" ht="31.5" customHeight="1" x14ac:dyDescent="0.25">
      <c r="A19" s="1"/>
      <c r="B19" s="113" t="s">
        <v>158</v>
      </c>
      <c r="C19" s="114"/>
      <c r="D19" s="114"/>
      <c r="E19" s="114"/>
      <c r="F19" s="115"/>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238</v>
      </c>
      <c r="C22" s="77"/>
      <c r="D22" s="78"/>
      <c r="E22" s="9">
        <v>22612187.816392709</v>
      </c>
      <c r="F22" s="14" t="s">
        <v>3</v>
      </c>
      <c r="G22" s="1"/>
    </row>
    <row r="23" spans="1:7" x14ac:dyDescent="0.25">
      <c r="A23" s="1"/>
      <c r="B23" s="76" t="s">
        <v>187</v>
      </c>
      <c r="C23" s="77"/>
      <c r="D23" s="78"/>
      <c r="E23" s="9">
        <v>24611136</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-1998948.1836072914</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4" t="s">
        <v>239</v>
      </c>
      <c r="C28" s="125"/>
      <c r="D28" s="125"/>
      <c r="E28" s="125"/>
      <c r="F28" s="126"/>
      <c r="G28" s="1"/>
    </row>
    <row r="29" spans="1:7" x14ac:dyDescent="0.2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5" t="s">
        <v>93</v>
      </c>
      <c r="C30" s="146"/>
      <c r="D30" s="147"/>
      <c r="E30" s="9">
        <v>2</v>
      </c>
      <c r="F30" s="14" t="s">
        <v>18</v>
      </c>
      <c r="G30" s="1"/>
    </row>
    <row r="31" spans="1:7" x14ac:dyDescent="0.25">
      <c r="A31" s="1"/>
      <c r="B31" s="138" t="s">
        <v>127</v>
      </c>
      <c r="C31" s="138"/>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kPSabQAIkggOA3gNH4Iu53HH7CGHEC/p8JhLBAeA5b8+/0N9STwz41LnheUQZV1igRrb3hRwcZU7faK1JMD0iQ==" saltValue="R7ZVkVy2HQq7clWEesXoo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226</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227</v>
      </c>
      <c r="C8" s="125"/>
      <c r="D8" s="125"/>
      <c r="E8" s="125"/>
      <c r="F8" s="125"/>
      <c r="G8" s="125"/>
      <c r="H8" s="126"/>
      <c r="I8" s="1"/>
    </row>
    <row r="9" spans="1:9" ht="15" customHeight="1" x14ac:dyDescent="0.25">
      <c r="A9" s="1"/>
      <c r="B9" s="119" t="s">
        <v>228</v>
      </c>
      <c r="C9" s="120"/>
      <c r="D9" s="120"/>
      <c r="E9" s="120"/>
      <c r="F9" s="120"/>
      <c r="G9" s="120"/>
      <c r="H9" s="121"/>
      <c r="I9" s="1"/>
    </row>
    <row r="10" spans="1:9" x14ac:dyDescent="0.25">
      <c r="A10" s="1"/>
      <c r="B10" s="148" t="s">
        <v>243</v>
      </c>
      <c r="C10" s="149"/>
      <c r="D10" s="149"/>
      <c r="E10" s="149"/>
      <c r="F10" s="150"/>
      <c r="G10" s="56">
        <v>0</v>
      </c>
      <c r="H10" s="9" t="s">
        <v>3</v>
      </c>
      <c r="I10" s="1"/>
    </row>
    <row r="11" spans="1:9" x14ac:dyDescent="0.25">
      <c r="A11" s="1"/>
      <c r="B11" s="148" t="s">
        <v>244</v>
      </c>
      <c r="C11" s="149"/>
      <c r="D11" s="149"/>
      <c r="E11" s="149"/>
      <c r="F11" s="150"/>
      <c r="G11" s="56">
        <v>0</v>
      </c>
      <c r="H11" s="9" t="s">
        <v>3</v>
      </c>
      <c r="I11" s="1"/>
    </row>
    <row r="12" spans="1:9" x14ac:dyDescent="0.25">
      <c r="A12" s="1"/>
      <c r="B12" s="148" t="s">
        <v>245</v>
      </c>
      <c r="C12" s="149"/>
      <c r="D12" s="149"/>
      <c r="E12" s="149"/>
      <c r="F12" s="150"/>
      <c r="G12" s="9">
        <v>0</v>
      </c>
      <c r="H12" s="9" t="s">
        <v>3</v>
      </c>
      <c r="I12" s="1"/>
    </row>
    <row r="13" spans="1:9" x14ac:dyDescent="0.25">
      <c r="A13" s="1"/>
      <c r="B13" s="148" t="s">
        <v>246</v>
      </c>
      <c r="C13" s="149"/>
      <c r="D13" s="149"/>
      <c r="E13" s="149"/>
      <c r="F13" s="150"/>
      <c r="G13" s="9">
        <v>0</v>
      </c>
      <c r="H13" s="9" t="s">
        <v>3</v>
      </c>
      <c r="I13" s="1"/>
    </row>
    <row r="14" spans="1:9" x14ac:dyDescent="0.25">
      <c r="A14" s="1"/>
      <c r="B14" s="148" t="s">
        <v>247</v>
      </c>
      <c r="C14" s="149"/>
      <c r="D14" s="149"/>
      <c r="E14" s="149"/>
      <c r="F14" s="150"/>
      <c r="G14" s="9">
        <v>0</v>
      </c>
      <c r="H14" s="9" t="s">
        <v>3</v>
      </c>
      <c r="I14" s="1"/>
    </row>
    <row r="15" spans="1:9" x14ac:dyDescent="0.25">
      <c r="A15" s="1"/>
      <c r="B15" s="148" t="s">
        <v>248</v>
      </c>
      <c r="C15" s="149"/>
      <c r="D15" s="149"/>
      <c r="E15" s="149"/>
      <c r="F15" s="150"/>
      <c r="G15" s="9">
        <v>0</v>
      </c>
      <c r="H15" s="9" t="s">
        <v>3</v>
      </c>
      <c r="I15" s="1"/>
    </row>
    <row r="16" spans="1:9" x14ac:dyDescent="0.25">
      <c r="A16" s="1"/>
      <c r="B16" s="148" t="s">
        <v>249</v>
      </c>
      <c r="C16" s="149"/>
      <c r="D16" s="149"/>
      <c r="E16" s="149"/>
      <c r="F16" s="150"/>
      <c r="G16" s="9">
        <v>0</v>
      </c>
      <c r="H16" s="9" t="s">
        <v>3</v>
      </c>
      <c r="I16" s="1"/>
    </row>
    <row r="17" spans="1:9" x14ac:dyDescent="0.25">
      <c r="A17" s="1"/>
      <c r="B17" s="148" t="s">
        <v>250</v>
      </c>
      <c r="C17" s="149"/>
      <c r="D17" s="149"/>
      <c r="E17" s="149"/>
      <c r="F17" s="150"/>
      <c r="G17" s="9">
        <v>0</v>
      </c>
      <c r="H17" s="9" t="s">
        <v>3</v>
      </c>
      <c r="I17" s="1"/>
    </row>
    <row r="18" spans="1:9" x14ac:dyDescent="0.25">
      <c r="A18" s="1"/>
      <c r="B18" s="124" t="s">
        <v>229</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9afCuXYE7iNWNIiBfxQYMFSYiBJD2WJIX2DD3FDWZtwIg4CIqaewak9pdkvKUZKRDs/ZAkCy4/dPl3QwWZjTw==" saltValue="IaNWgN/HcpnPIQAo52wE+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220</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192</v>
      </c>
      <c r="C8" s="125"/>
      <c r="D8" s="125"/>
      <c r="E8" s="125"/>
      <c r="F8" s="125"/>
      <c r="G8" s="125"/>
      <c r="H8" s="125"/>
      <c r="I8" s="125"/>
      <c r="J8" s="125"/>
      <c r="K8" s="126"/>
      <c r="L8" s="1"/>
    </row>
    <row r="9" spans="1:12" ht="39.75" customHeight="1" x14ac:dyDescent="0.25">
      <c r="A9" s="1"/>
      <c r="B9" s="18" t="s">
        <v>0</v>
      </c>
      <c r="C9" s="18" t="s">
        <v>1</v>
      </c>
      <c r="D9" s="151" t="s">
        <v>213</v>
      </c>
      <c r="E9" s="152"/>
      <c r="F9" s="151" t="s">
        <v>2</v>
      </c>
      <c r="G9" s="152"/>
      <c r="H9" s="151" t="s">
        <v>214</v>
      </c>
      <c r="I9" s="152"/>
      <c r="J9" s="151" t="s">
        <v>28</v>
      </c>
      <c r="K9" s="152"/>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38401</v>
      </c>
      <c r="D11" s="14" t="s">
        <v>3</v>
      </c>
      <c r="E11" s="9">
        <v>2242</v>
      </c>
      <c r="F11" s="14" t="s">
        <v>3</v>
      </c>
      <c r="G11" s="1"/>
    </row>
    <row r="12" spans="1:7" x14ac:dyDescent="0.25">
      <c r="A12" s="1"/>
      <c r="B12" s="26" t="s">
        <v>252</v>
      </c>
      <c r="C12" s="21">
        <v>123500</v>
      </c>
      <c r="D12" s="14" t="s">
        <v>3</v>
      </c>
      <c r="E12" s="9">
        <v>452634</v>
      </c>
      <c r="F12" s="14" t="s">
        <v>3</v>
      </c>
      <c r="G12" s="1"/>
    </row>
    <row r="13" spans="1:7" x14ac:dyDescent="0.25">
      <c r="A13" s="1"/>
      <c r="B13" s="71" t="s">
        <v>148</v>
      </c>
      <c r="C13" s="12">
        <f>SUM(C10:C12)</f>
        <v>161901</v>
      </c>
      <c r="D13" s="13" t="s">
        <v>3</v>
      </c>
      <c r="E13" s="12">
        <f>SUM(E10:E12)</f>
        <v>454876</v>
      </c>
      <c r="F13" s="13" t="s">
        <v>3</v>
      </c>
      <c r="G13" s="1"/>
    </row>
    <row r="14" spans="1:7" x14ac:dyDescent="0.25">
      <c r="A14" s="1"/>
      <c r="B14" s="71" t="s">
        <v>188</v>
      </c>
      <c r="C14" s="12">
        <f>C13*(1+'Fane 13. Nøgletal'!C15)</f>
        <v>167664.67560000002</v>
      </c>
      <c r="D14" s="13" t="s">
        <v>3</v>
      </c>
      <c r="E14" s="12">
        <f>E13*(1+'Fane 13. Nøgletal'!C15)</f>
        <v>471069.58560000005</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ltwZL9Dul9fb4ujetLSpb5dyom26mTLzCLTAUbXwLUEEZP2DCD7yEIqL+ujdRJc9bJTM8cRVyI3vI47kcyFXg==" saltValue="w5kP0Uf8GVNGkM5tMT8ub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222</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4" t="s">
        <v>88</v>
      </c>
      <c r="C9" s="125"/>
      <c r="D9" s="125"/>
      <c r="E9" s="125"/>
      <c r="F9" s="126"/>
      <c r="G9" s="1"/>
    </row>
    <row r="10" spans="1:7" ht="26.25" x14ac:dyDescent="0.25">
      <c r="A10" s="1"/>
      <c r="B10" s="69" t="s">
        <v>15</v>
      </c>
      <c r="C10" s="69" t="s">
        <v>10</v>
      </c>
      <c r="D10" s="70"/>
      <c r="E10" s="69" t="s">
        <v>29</v>
      </c>
      <c r="F10" s="66"/>
      <c r="G10" s="1"/>
    </row>
    <row r="11" spans="1:7" x14ac:dyDescent="0.25">
      <c r="A11" s="1"/>
      <c r="B11" s="22" t="s">
        <v>254</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223</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112</v>
      </c>
      <c r="C8" s="125"/>
      <c r="D8" s="125"/>
      <c r="E8" s="125"/>
      <c r="F8" s="126"/>
      <c r="G8" s="1"/>
    </row>
    <row r="9" spans="1:7" ht="15" customHeight="1" x14ac:dyDescent="0.25">
      <c r="A9" s="1"/>
      <c r="B9" s="65" t="s">
        <v>113</v>
      </c>
      <c r="C9" s="119" t="s">
        <v>10</v>
      </c>
      <c r="D9" s="121"/>
      <c r="E9" s="119" t="s">
        <v>29</v>
      </c>
      <c r="F9" s="121"/>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224</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4" t="s">
        <v>85</v>
      </c>
      <c r="C10" s="125"/>
      <c r="D10" s="125"/>
      <c r="E10" s="125"/>
      <c r="F10" s="126"/>
      <c r="G10" s="1"/>
    </row>
    <row r="11" spans="1:7" ht="26.25" x14ac:dyDescent="0.25">
      <c r="A11" s="1"/>
      <c r="B11" s="65" t="s">
        <v>16</v>
      </c>
      <c r="C11" s="65" t="s">
        <v>10</v>
      </c>
      <c r="D11" s="66"/>
      <c r="E11" s="65" t="s">
        <v>29</v>
      </c>
      <c r="F11" s="66"/>
      <c r="G11" s="1"/>
    </row>
    <row r="12" spans="1:7" x14ac:dyDescent="0.25">
      <c r="A12" s="1"/>
      <c r="B12" s="22" t="s">
        <v>241</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09" t="s">
        <v>225</v>
      </c>
      <c r="C3" s="109"/>
      <c r="D3" s="1"/>
    </row>
    <row r="4" spans="1:4" ht="25.5" customHeight="1" x14ac:dyDescent="0.25">
      <c r="A4" s="1"/>
      <c r="B4" s="109"/>
      <c r="C4" s="10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4"/>
      <c r="C16" s="126"/>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14418419.606921148</v>
      </c>
      <c r="D8" s="8" t="s">
        <v>3</v>
      </c>
      <c r="E8" s="1"/>
    </row>
    <row r="9" spans="1:5" ht="17.100000000000001" customHeight="1" x14ac:dyDescent="0.25">
      <c r="A9" s="1"/>
      <c r="B9" s="23" t="s">
        <v>35</v>
      </c>
      <c r="C9" s="7">
        <f>'Fane 10.1. Varige tillæg'!C14</f>
        <v>167664.67560000002</v>
      </c>
      <c r="D9" s="8" t="s">
        <v>3</v>
      </c>
      <c r="E9" s="1"/>
    </row>
    <row r="10" spans="1:5" ht="17.100000000000001" customHeight="1" x14ac:dyDescent="0.25">
      <c r="A10" s="1"/>
      <c r="B10" s="23" t="s">
        <v>36</v>
      </c>
      <c r="C10" s="9">
        <f>'Fane 10.1. Varige tillæg'!E14</f>
        <v>471069.58560000005</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536034.67770511284</v>
      </c>
      <c r="D15" s="8" t="s">
        <v>3</v>
      </c>
      <c r="E15" s="1"/>
    </row>
    <row r="16" spans="1:5" ht="17.100000000000001" customHeight="1" x14ac:dyDescent="0.25">
      <c r="A16" s="1"/>
      <c r="B16" s="23" t="s">
        <v>9</v>
      </c>
      <c r="C16" s="9">
        <f>-SUM(C8,C9:C15)*'Fane 5. Individuelt eff. krav'!G9</f>
        <v>0</v>
      </c>
      <c r="D16" s="8" t="s">
        <v>3</v>
      </c>
      <c r="E16" s="1"/>
    </row>
    <row r="17" spans="1:5" ht="17.100000000000001" customHeight="1" x14ac:dyDescent="0.25">
      <c r="A17" s="1"/>
      <c r="B17" s="23" t="s">
        <v>23</v>
      </c>
      <c r="C17" s="9">
        <f>-'Fane 4.1. Gen. krav - drift'!G43</f>
        <v>-130039.24586451131</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15463149.299961749</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omk.'!C18</f>
        <v>11342286.1032768</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26805435.40323855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mxzR9Dxx4txQH3kO4vRacRu1dyib7CvqTUWsX0L2gcox4esu9e1zFVooE+XKjm/DwyhZB80LHZa5fzaaCm20A==" saltValue="ShZEJ5KmJjlLRaGDuZiLc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15463149.299961749</v>
      </c>
      <c r="D8" s="8" t="s">
        <v>3</v>
      </c>
      <c r="E8" s="1"/>
    </row>
    <row r="9" spans="1:5" ht="15" customHeight="1" x14ac:dyDescent="0.25">
      <c r="A9" s="1"/>
      <c r="B9" s="64" t="s">
        <v>17</v>
      </c>
      <c r="C9" s="9">
        <f>SUM(C8:C8)*'Fane 13. Nøgletal'!C15</f>
        <v>550488.11507863831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-131975.27015694216</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15881662.144883446</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f>
        <v>11746071.488553455</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27627733.633436903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rZaQCbDLppugUZ+VBui44redmyIZ5XSfvePWpA6sWaVU5kEMEZ/5899Mn72XnQH8/2+EAn+ZPiNn1NX7NOFaw==" saltValue="uoqEPMuXG4t8x+PPYwd75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15881662.144883446</v>
      </c>
      <c r="D8" s="8" t="s">
        <v>3</v>
      </c>
      <c r="E8" s="1"/>
    </row>
    <row r="9" spans="1:5" ht="15" customHeight="1" x14ac:dyDescent="0.25">
      <c r="A9" s="1"/>
      <c r="B9" s="64" t="s">
        <v>17</v>
      </c>
      <c r="C9" s="9">
        <f>SUM(C8:C8)*'Fane 13. Nøgletal'!C15</f>
        <v>565387.17235785071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-133940.11797903871</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16313109.199262258</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Nøgletal'!C15)^2</f>
        <v>12164231.633545959</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28477340.832808219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azX11FKmfowxBoTvOBp0MK2kDeTVdj4FV8j+8dA+b7qYTKnufm+v8Kw9g0eoae+WHEcT+6ojOYY0+Ib1EbWOA==" saltValue="5j2XYuQyB1+EhvU4SnzTg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168</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16313109.199262258</v>
      </c>
      <c r="D8" s="8" t="s">
        <v>3</v>
      </c>
      <c r="E8" s="1"/>
    </row>
    <row r="9" spans="1:5" ht="15" customHeight="1" x14ac:dyDescent="0.25">
      <c r="A9" s="1"/>
      <c r="B9" s="64" t="s">
        <v>17</v>
      </c>
      <c r="C9" s="9">
        <f>SUM(C8:C8)*'Fane 13. Nøgletal'!C15</f>
        <v>580746.68749373639</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-135934.21845551065</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16757921.668300485</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Nøgletal'!C15)^3</f>
        <v>12597278.279700195</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29355199.948000681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2cQFe127xdt58M1kdix2K+oVMjasfjzWL+QdT+/bE6jsZqtaNyZjvpGQYdEkuNXXA054WJSaWBqtjWrDXF/2iQ==" saltValue="C6bFNOm3i+IssZ66evj35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171</v>
      </c>
      <c r="C3" s="109"/>
      <c r="D3" s="109"/>
      <c r="E3" s="109"/>
      <c r="F3" s="109"/>
      <c r="G3" s="1"/>
    </row>
    <row r="4" spans="1:7" ht="29.2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10" t="s">
        <v>22</v>
      </c>
      <c r="C9" s="111"/>
      <c r="D9" s="112"/>
      <c r="E9" s="7">
        <v>13140772.703282548</v>
      </c>
      <c r="F9" s="8" t="s">
        <v>3</v>
      </c>
      <c r="G9" s="1"/>
    </row>
    <row r="10" spans="1:7" ht="15" customHeight="1" x14ac:dyDescent="0.25">
      <c r="A10" s="1"/>
      <c r="B10" s="103" t="s">
        <v>35</v>
      </c>
      <c r="C10" s="104"/>
      <c r="D10" s="105"/>
      <c r="E10" s="9">
        <v>708751.1860000001</v>
      </c>
      <c r="F10" s="8" t="s">
        <v>3</v>
      </c>
      <c r="G10" s="1"/>
    </row>
    <row r="11" spans="1:7" ht="15" customHeight="1" x14ac:dyDescent="0.25">
      <c r="A11" s="1"/>
      <c r="B11" s="103" t="s">
        <v>36</v>
      </c>
      <c r="C11" s="104"/>
      <c r="D11" s="105"/>
      <c r="E11" s="9">
        <v>759396.76670000004</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165162.31522395712</v>
      </c>
      <c r="F16" s="8" t="s">
        <v>3</v>
      </c>
      <c r="G16" s="30"/>
    </row>
    <row r="17" spans="1:7" x14ac:dyDescent="0.25">
      <c r="A17" s="1"/>
      <c r="B17" s="103" t="s">
        <v>9</v>
      </c>
      <c r="C17" s="104"/>
      <c r="D17" s="105"/>
      <c r="E17" s="9">
        <v>0</v>
      </c>
      <c r="F17" s="8" t="s">
        <v>3</v>
      </c>
      <c r="G17" s="1"/>
    </row>
    <row r="18" spans="1:7" x14ac:dyDescent="0.25">
      <c r="A18" s="1"/>
      <c r="B18" s="103" t="s">
        <v>23</v>
      </c>
      <c r="C18" s="104"/>
      <c r="D18" s="105"/>
      <c r="E18" s="9">
        <v>-124709.89419865453</v>
      </c>
      <c r="F18" s="8" t="s">
        <v>3</v>
      </c>
      <c r="G18" s="1"/>
    </row>
    <row r="19" spans="1:7" x14ac:dyDescent="0.25">
      <c r="A19" s="1"/>
      <c r="B19" s="103" t="s">
        <v>24</v>
      </c>
      <c r="C19" s="104"/>
      <c r="D19" s="105"/>
      <c r="E19" s="9">
        <v>-230953.47008670267</v>
      </c>
      <c r="F19" s="8" t="s">
        <v>3</v>
      </c>
      <c r="G19" s="1"/>
    </row>
    <row r="20" spans="1:7" x14ac:dyDescent="0.25">
      <c r="A20" s="1"/>
      <c r="B20" s="116" t="s">
        <v>19</v>
      </c>
      <c r="C20" s="117"/>
      <c r="D20" s="118"/>
      <c r="E20" s="31">
        <f>SUM(E9:E19)</f>
        <v>14418419.606921148</v>
      </c>
      <c r="F20" s="34" t="s">
        <v>3</v>
      </c>
      <c r="G20" s="1"/>
    </row>
    <row r="21" spans="1:7" x14ac:dyDescent="0.25">
      <c r="A21" s="1"/>
      <c r="B21" s="71" t="s">
        <v>11</v>
      </c>
      <c r="C21" s="72"/>
      <c r="D21" s="72"/>
      <c r="E21" s="72"/>
      <c r="F21" s="19"/>
      <c r="G21" s="1"/>
    </row>
    <row r="22" spans="1:7" x14ac:dyDescent="0.25">
      <c r="A22" s="1"/>
      <c r="B22" s="106" t="s">
        <v>11</v>
      </c>
      <c r="C22" s="107"/>
      <c r="D22" s="108"/>
      <c r="E22" s="10">
        <v>9601009.371329952</v>
      </c>
      <c r="F22" s="11" t="s">
        <v>3</v>
      </c>
      <c r="G22" s="1"/>
    </row>
    <row r="23" spans="1:7" ht="15" customHeight="1" x14ac:dyDescent="0.25">
      <c r="A23" s="1"/>
      <c r="B23" s="122" t="s">
        <v>80</v>
      </c>
      <c r="C23" s="123"/>
      <c r="D23" s="123"/>
      <c r="E23" s="72"/>
      <c r="F23" s="72"/>
      <c r="G23" s="1"/>
    </row>
    <row r="24" spans="1:7" ht="14.25" customHeight="1" x14ac:dyDescent="0.25">
      <c r="A24" s="1"/>
      <c r="B24" s="113" t="s">
        <v>76</v>
      </c>
      <c r="C24" s="114"/>
      <c r="D24" s="115"/>
      <c r="E24" s="9">
        <v>0</v>
      </c>
      <c r="F24" s="8" t="s">
        <v>3</v>
      </c>
      <c r="G24" s="1"/>
    </row>
    <row r="25" spans="1:7" ht="14.25" customHeight="1" x14ac:dyDescent="0.25">
      <c r="A25" s="1"/>
      <c r="B25" s="113" t="s">
        <v>77</v>
      </c>
      <c r="C25" s="114"/>
      <c r="D25" s="115"/>
      <c r="E25" s="9">
        <v>0</v>
      </c>
      <c r="F25" s="8" t="s">
        <v>3</v>
      </c>
      <c r="G25" s="1"/>
    </row>
    <row r="26" spans="1:7" x14ac:dyDescent="0.25">
      <c r="A26" s="1"/>
      <c r="B26" s="119" t="s">
        <v>81</v>
      </c>
      <c r="C26" s="120"/>
      <c r="D26" s="120"/>
      <c r="E26" s="10">
        <v>0</v>
      </c>
      <c r="F26" s="11" t="s">
        <v>3</v>
      </c>
      <c r="G26" s="1"/>
    </row>
    <row r="27" spans="1:7" x14ac:dyDescent="0.25">
      <c r="A27" s="1"/>
      <c r="B27" s="71" t="s">
        <v>128</v>
      </c>
      <c r="C27" s="72"/>
      <c r="D27" s="72"/>
      <c r="E27" s="72"/>
      <c r="F27" s="19"/>
      <c r="G27" s="1"/>
    </row>
    <row r="28" spans="1:7" ht="15" customHeight="1" x14ac:dyDescent="0.25">
      <c r="A28" s="1"/>
      <c r="B28" s="119" t="s">
        <v>129</v>
      </c>
      <c r="C28" s="120"/>
      <c r="D28" s="121"/>
      <c r="E28" s="10">
        <v>0</v>
      </c>
      <c r="F28" s="11" t="s">
        <v>3</v>
      </c>
      <c r="G28" s="1"/>
    </row>
    <row r="29" spans="1:7" x14ac:dyDescent="0.25">
      <c r="A29" s="1"/>
      <c r="B29" s="71" t="s">
        <v>159</v>
      </c>
      <c r="C29" s="72"/>
      <c r="D29" s="72"/>
      <c r="E29" s="72"/>
      <c r="F29" s="19"/>
      <c r="G29" s="1"/>
    </row>
    <row r="30" spans="1:7" ht="15.6" customHeight="1" x14ac:dyDescent="0.25">
      <c r="A30" s="1"/>
      <c r="B30" s="106" t="s">
        <v>160</v>
      </c>
      <c r="C30" s="107"/>
      <c r="D30" s="108"/>
      <c r="E30" s="10">
        <v>0</v>
      </c>
      <c r="F30" s="11" t="s">
        <v>3</v>
      </c>
      <c r="G30" s="1"/>
    </row>
    <row r="31" spans="1:7" ht="15.6" customHeight="1" x14ac:dyDescent="0.25">
      <c r="A31" s="1"/>
      <c r="B31" s="124" t="s">
        <v>153</v>
      </c>
      <c r="C31" s="125"/>
      <c r="D31" s="125"/>
      <c r="E31" s="125"/>
      <c r="F31" s="126"/>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24019428.9782511</v>
      </c>
      <c r="F33" s="37" t="s">
        <v>3</v>
      </c>
      <c r="G33" s="1"/>
    </row>
    <row r="34" spans="1:7" ht="27.75" customHeight="1" x14ac:dyDescent="0.25">
      <c r="A34" s="1"/>
      <c r="B34" s="113" t="s">
        <v>173</v>
      </c>
      <c r="C34" s="114"/>
      <c r="D34" s="114"/>
      <c r="E34" s="114"/>
      <c r="F34" s="11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loFv7NH/x1Okjtm0ZvNTfm8a+5Wu5Qq8t9iNw12yDWi7hBxQfp9UvoZpqvGRDo1rKw3F0gwL8Q+xoPHyODXRg==" saltValue="72wfsl+HdjYScXLvXMtDa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09" t="s">
        <v>98</v>
      </c>
      <c r="C1" s="109"/>
      <c r="D1" s="109"/>
      <c r="E1" s="109"/>
      <c r="F1" s="109"/>
      <c r="G1" s="109"/>
      <c r="H1" s="109"/>
      <c r="I1" s="1"/>
    </row>
    <row r="2" spans="1:9" ht="15" customHeight="1" x14ac:dyDescent="0.25">
      <c r="A2" s="1"/>
      <c r="B2" s="109"/>
      <c r="C2" s="109"/>
      <c r="D2" s="109"/>
      <c r="E2" s="109"/>
      <c r="F2" s="109"/>
      <c r="G2" s="109"/>
      <c r="H2" s="109"/>
      <c r="I2" s="1"/>
    </row>
    <row r="3" spans="1:9" ht="15" customHeight="1" x14ac:dyDescent="0.25">
      <c r="A3" s="1"/>
      <c r="B3" s="109"/>
      <c r="C3" s="109"/>
      <c r="D3" s="109"/>
      <c r="E3" s="109"/>
      <c r="F3" s="109"/>
      <c r="G3" s="109"/>
      <c r="H3" s="109"/>
      <c r="I3" s="1"/>
    </row>
    <row r="4" spans="1:9" x14ac:dyDescent="0.25">
      <c r="A4" s="1"/>
      <c r="B4" s="124" t="s">
        <v>49</v>
      </c>
      <c r="C4" s="125"/>
      <c r="D4" s="125"/>
      <c r="E4" s="125"/>
      <c r="F4" s="125"/>
      <c r="G4" s="125"/>
      <c r="H4" s="126"/>
      <c r="I4" s="1"/>
    </row>
    <row r="5" spans="1:9" x14ac:dyDescent="0.25">
      <c r="A5" s="1"/>
      <c r="B5" s="127" t="s">
        <v>38</v>
      </c>
      <c r="C5" s="128"/>
      <c r="D5" s="128"/>
      <c r="E5" s="128"/>
      <c r="F5" s="129"/>
      <c r="G5" s="58">
        <v>5577277.026705266</v>
      </c>
      <c r="H5" s="14" t="s">
        <v>3</v>
      </c>
      <c r="I5" s="1"/>
    </row>
    <row r="6" spans="1:9" x14ac:dyDescent="0.25">
      <c r="A6" s="1"/>
      <c r="B6" s="127" t="s">
        <v>39</v>
      </c>
      <c r="C6" s="128"/>
      <c r="D6" s="128"/>
      <c r="E6" s="128"/>
      <c r="F6" s="129"/>
      <c r="G6" s="58">
        <f>G5*'Fane 13. Nøgletal'!C31</f>
        <v>111545.54053410533</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4" t="s">
        <v>50</v>
      </c>
      <c r="C9" s="125"/>
      <c r="D9" s="125"/>
      <c r="E9" s="125"/>
      <c r="F9" s="125"/>
      <c r="G9" s="130"/>
      <c r="H9" s="126"/>
      <c r="I9" s="1"/>
    </row>
    <row r="10" spans="1:9" x14ac:dyDescent="0.25">
      <c r="A10" s="1"/>
      <c r="B10" s="127" t="s">
        <v>40</v>
      </c>
      <c r="C10" s="128"/>
      <c r="D10" s="128"/>
      <c r="E10" s="128"/>
      <c r="F10" s="129"/>
      <c r="G10" s="58">
        <f>(G5-G6)*(1+'Fane 13. Nøgletal'!C9)</f>
        <v>5535146.2760455338</v>
      </c>
      <c r="H10" s="14" t="s">
        <v>3</v>
      </c>
      <c r="I10" s="1"/>
    </row>
    <row r="11" spans="1:9" x14ac:dyDescent="0.25">
      <c r="A11" s="1"/>
      <c r="B11" s="131" t="s">
        <v>41</v>
      </c>
      <c r="C11" s="132"/>
      <c r="D11" s="132"/>
      <c r="E11" s="132"/>
      <c r="F11" s="133"/>
      <c r="G11" s="58">
        <v>0</v>
      </c>
      <c r="H11" s="14" t="s">
        <v>3</v>
      </c>
      <c r="I11" s="1"/>
    </row>
    <row r="12" spans="1:9" x14ac:dyDescent="0.25">
      <c r="A12" s="1"/>
      <c r="B12" s="127" t="s">
        <v>42</v>
      </c>
      <c r="C12" s="128"/>
      <c r="D12" s="128"/>
      <c r="E12" s="128"/>
      <c r="F12" s="129"/>
      <c r="G12" s="58">
        <f>(G10+G11)*'Fane 13. Nøgletal'!C31</f>
        <v>110702.92552091068</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4" t="s">
        <v>51</v>
      </c>
      <c r="C15" s="125"/>
      <c r="D15" s="125"/>
      <c r="E15" s="125"/>
      <c r="F15" s="125"/>
      <c r="G15" s="130"/>
      <c r="H15" s="126"/>
      <c r="I15" s="1"/>
    </row>
    <row r="16" spans="1:9" x14ac:dyDescent="0.25">
      <c r="A16" s="1"/>
      <c r="B16" s="127" t="s">
        <v>43</v>
      </c>
      <c r="C16" s="128"/>
      <c r="D16" s="128"/>
      <c r="E16" s="128"/>
      <c r="F16" s="129"/>
      <c r="G16" s="58">
        <f>(G10+G11-G12)*(1+'Fane 13. Nøgletal'!C11)</f>
        <v>5516116.4431484882</v>
      </c>
      <c r="H16" s="14" t="s">
        <v>3</v>
      </c>
      <c r="I16" s="1"/>
    </row>
    <row r="17" spans="1:9" x14ac:dyDescent="0.25">
      <c r="A17" s="1"/>
      <c r="B17" s="127" t="s">
        <v>108</v>
      </c>
      <c r="C17" s="128"/>
      <c r="D17" s="128"/>
      <c r="E17" s="128"/>
      <c r="F17" s="129"/>
      <c r="G17" s="58">
        <v>187.03322360885994</v>
      </c>
      <c r="H17" s="14" t="s">
        <v>3</v>
      </c>
      <c r="I17" s="1"/>
    </row>
    <row r="18" spans="1:9" x14ac:dyDescent="0.25">
      <c r="A18" s="1"/>
      <c r="B18" s="131" t="s">
        <v>44</v>
      </c>
      <c r="C18" s="132"/>
      <c r="D18" s="132"/>
      <c r="E18" s="132"/>
      <c r="F18" s="133"/>
      <c r="G18" s="58">
        <v>0</v>
      </c>
      <c r="H18" s="14" t="s">
        <v>3</v>
      </c>
      <c r="I18" s="1"/>
    </row>
    <row r="19" spans="1:9" x14ac:dyDescent="0.25">
      <c r="A19" s="1"/>
      <c r="B19" s="127" t="s">
        <v>45</v>
      </c>
      <c r="C19" s="128"/>
      <c r="D19" s="128"/>
      <c r="E19" s="128"/>
      <c r="F19" s="129"/>
      <c r="G19" s="58">
        <f>SUM(G16:G18)*'Fane 13. Nøgletal'!C31</f>
        <v>110326.06952744194</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4" t="s">
        <v>52</v>
      </c>
      <c r="C22" s="125"/>
      <c r="D22" s="125"/>
      <c r="E22" s="125"/>
      <c r="F22" s="125"/>
      <c r="G22" s="130"/>
      <c r="H22" s="126"/>
      <c r="I22" s="1"/>
    </row>
    <row r="23" spans="1:9" x14ac:dyDescent="0.25">
      <c r="A23" s="1"/>
      <c r="B23" s="127" t="s">
        <v>46</v>
      </c>
      <c r="C23" s="128"/>
      <c r="D23" s="128"/>
      <c r="E23" s="128"/>
      <c r="F23" s="129"/>
      <c r="G23" s="58">
        <f>(SUM(G16:G18)-G19)*(1+'Fane 13. Nøgletal'!C11)</f>
        <v>5497338.4250203297</v>
      </c>
      <c r="H23" s="14" t="s">
        <v>3</v>
      </c>
      <c r="I23" s="1"/>
    </row>
    <row r="24" spans="1:9" x14ac:dyDescent="0.25">
      <c r="A24" s="1"/>
      <c r="B24" s="131" t="s">
        <v>47</v>
      </c>
      <c r="C24" s="132"/>
      <c r="D24" s="132"/>
      <c r="E24" s="132"/>
      <c r="F24" s="133"/>
      <c r="G24" s="58">
        <v>0</v>
      </c>
      <c r="H24" s="14" t="s">
        <v>3</v>
      </c>
      <c r="I24" s="1"/>
    </row>
    <row r="25" spans="1:9" x14ac:dyDescent="0.25">
      <c r="A25" s="1"/>
      <c r="B25" s="127" t="s">
        <v>48</v>
      </c>
      <c r="C25" s="128"/>
      <c r="D25" s="128"/>
      <c r="E25" s="128"/>
      <c r="F25" s="129"/>
      <c r="G25" s="58">
        <f>(G23+G24)*'Fane 13. Nøgletal'!C31</f>
        <v>109946.7685004066</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4" t="s">
        <v>132</v>
      </c>
      <c r="C28" s="125"/>
      <c r="D28" s="125"/>
      <c r="E28" s="125"/>
      <c r="F28" s="125"/>
      <c r="G28" s="130"/>
      <c r="H28" s="126"/>
      <c r="I28" s="1"/>
    </row>
    <row r="29" spans="1:9" x14ac:dyDescent="0.25">
      <c r="A29" s="1"/>
      <c r="B29" s="127" t="s">
        <v>55</v>
      </c>
      <c r="C29" s="128"/>
      <c r="D29" s="128"/>
      <c r="E29" s="128"/>
      <c r="F29" s="129"/>
      <c r="G29" s="58">
        <f>(G23+G24-G25)*(1+'Fane 13. Nøgletal'!C13)</f>
        <v>5453117.8347294666</v>
      </c>
      <c r="H29" s="14" t="s">
        <v>3</v>
      </c>
      <c r="I29" s="1"/>
    </row>
    <row r="30" spans="1:9" x14ac:dyDescent="0.25">
      <c r="A30" s="1"/>
      <c r="B30" s="127" t="s">
        <v>121</v>
      </c>
      <c r="C30" s="128"/>
      <c r="D30" s="128"/>
      <c r="E30" s="128"/>
      <c r="F30" s="129"/>
      <c r="G30" s="58">
        <v>116085.48176736</v>
      </c>
      <c r="H30" s="14" t="s">
        <v>3</v>
      </c>
      <c r="I30" s="1"/>
    </row>
    <row r="31" spans="1:9" x14ac:dyDescent="0.25">
      <c r="A31" s="1"/>
      <c r="B31" s="127" t="s">
        <v>126</v>
      </c>
      <c r="C31" s="128"/>
      <c r="D31" s="128"/>
      <c r="E31" s="128"/>
      <c r="F31" s="129"/>
      <c r="G31" s="58">
        <f>(G29+G30)*'Fane 13. Nøgletal'!C31</f>
        <v>111384.06632993654</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4" t="s">
        <v>133</v>
      </c>
      <c r="C34" s="125"/>
      <c r="D34" s="125"/>
      <c r="E34" s="125"/>
      <c r="F34" s="125"/>
      <c r="G34" s="130"/>
      <c r="H34" s="126"/>
      <c r="I34" s="1"/>
    </row>
    <row r="35" spans="1:9" x14ac:dyDescent="0.25">
      <c r="A35" s="1"/>
      <c r="B35" s="127" t="s">
        <v>74</v>
      </c>
      <c r="C35" s="128"/>
      <c r="D35" s="128"/>
      <c r="E35" s="128"/>
      <c r="F35" s="129"/>
      <c r="G35" s="58">
        <f>(G29+G30-G31)*(1+'Fane 13. Nøgletal'!C13)</f>
        <v>5524404.6450189259</v>
      </c>
      <c r="H35" s="14" t="s">
        <v>3</v>
      </c>
      <c r="I35" s="1"/>
    </row>
    <row r="36" spans="1:9" x14ac:dyDescent="0.25">
      <c r="A36" s="1"/>
      <c r="B36" s="127" t="s">
        <v>152</v>
      </c>
      <c r="C36" s="128"/>
      <c r="D36" s="128"/>
      <c r="E36" s="128"/>
      <c r="F36" s="129"/>
      <c r="G36" s="58">
        <f>('Fane 3. Omkostninger i ØR2022'!E10+'Fane 3. Omkostninger i ØR2022'!E12+'Fane 3. Omkostninger i ØR2022'!E14)*(1+'Fane 13. Nøgletal'!C14)</f>
        <v>711090.06491380022</v>
      </c>
      <c r="H36" s="14" t="s">
        <v>3</v>
      </c>
      <c r="I36" s="1"/>
    </row>
    <row r="37" spans="1:9" x14ac:dyDescent="0.25">
      <c r="A37" s="1"/>
      <c r="B37" s="127" t="s">
        <v>134</v>
      </c>
      <c r="C37" s="128"/>
      <c r="D37" s="128"/>
      <c r="E37" s="128"/>
      <c r="F37" s="129"/>
      <c r="G37" s="58">
        <f>(G35+G36)*'Fane 13. Nøgletal'!C31</f>
        <v>124709.89419865453</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4" t="s">
        <v>198</v>
      </c>
      <c r="C40" s="125"/>
      <c r="D40" s="125"/>
      <c r="E40" s="125"/>
      <c r="F40" s="125"/>
      <c r="G40" s="130"/>
      <c r="H40" s="126"/>
      <c r="I40" s="1"/>
    </row>
    <row r="41" spans="1:9" x14ac:dyDescent="0.25">
      <c r="A41" s="1"/>
      <c r="B41" s="127" t="s">
        <v>73</v>
      </c>
      <c r="C41" s="128"/>
      <c r="D41" s="128"/>
      <c r="E41" s="128"/>
      <c r="F41" s="129"/>
      <c r="G41" s="58">
        <f>(G35+G36-G37)*(1+'Fane 13. Nøgletal'!C15)</f>
        <v>6328328.7551742047</v>
      </c>
      <c r="H41" s="14" t="s">
        <v>3</v>
      </c>
      <c r="I41" s="1"/>
    </row>
    <row r="42" spans="1:9" x14ac:dyDescent="0.25">
      <c r="A42" s="1"/>
      <c r="B42" s="127" t="s">
        <v>197</v>
      </c>
      <c r="C42" s="128"/>
      <c r="D42" s="128"/>
      <c r="E42" s="128"/>
      <c r="F42" s="129"/>
      <c r="G42" s="58">
        <f>('Fane 2.1. Økonomisk ramme 2023'!C9+'Fane 2.1. Økonomisk ramme 2023'!C11+'Fane 2.1. Økonomisk ramme 2023'!C13)*(1+'Fane 13. Nøgletal'!C15)</f>
        <v>173633.53805136002</v>
      </c>
      <c r="H42" s="14" t="s">
        <v>3</v>
      </c>
      <c r="I42" s="1"/>
    </row>
    <row r="43" spans="1:9" x14ac:dyDescent="0.25">
      <c r="A43" s="1"/>
      <c r="B43" s="127" t="s">
        <v>208</v>
      </c>
      <c r="C43" s="128"/>
      <c r="D43" s="128"/>
      <c r="E43" s="128"/>
      <c r="F43" s="129"/>
      <c r="G43" s="58">
        <f>(G41+G42)*'Fane 13. Nøgletal'!C31</f>
        <v>130039.24586451131</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4" t="s">
        <v>199</v>
      </c>
      <c r="C46" s="125"/>
      <c r="D46" s="125"/>
      <c r="E46" s="125"/>
      <c r="F46" s="125"/>
      <c r="G46" s="130"/>
      <c r="H46" s="126"/>
      <c r="I46" s="1"/>
    </row>
    <row r="47" spans="1:9" x14ac:dyDescent="0.25">
      <c r="A47" s="1"/>
      <c r="B47" s="127" t="s">
        <v>122</v>
      </c>
      <c r="C47" s="128"/>
      <c r="D47" s="128"/>
      <c r="E47" s="128"/>
      <c r="F47" s="129"/>
      <c r="G47" s="58">
        <f>(G41+G42-G43)*(1+'Fane 13. Nøgletal'!C15)</f>
        <v>6598763.5078471079</v>
      </c>
      <c r="H47" s="14" t="s">
        <v>3</v>
      </c>
      <c r="I47" s="1"/>
    </row>
    <row r="48" spans="1:9" x14ac:dyDescent="0.25">
      <c r="A48" s="1"/>
      <c r="B48" s="127" t="s">
        <v>209</v>
      </c>
      <c r="C48" s="128"/>
      <c r="D48" s="128"/>
      <c r="E48" s="128"/>
      <c r="F48" s="129"/>
      <c r="G48" s="58">
        <f>(G47)*'Fane 13. Nøgletal'!C31</f>
        <v>131975.27015694216</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4" t="s">
        <v>145</v>
      </c>
      <c r="C51" s="125"/>
      <c r="D51" s="125"/>
      <c r="E51" s="125"/>
      <c r="F51" s="125"/>
      <c r="G51" s="130"/>
      <c r="H51" s="126"/>
      <c r="I51" s="1"/>
    </row>
    <row r="52" spans="1:9" x14ac:dyDescent="0.25">
      <c r="A52" s="1"/>
      <c r="B52" s="127" t="s">
        <v>146</v>
      </c>
      <c r="C52" s="128"/>
      <c r="D52" s="128"/>
      <c r="E52" s="128"/>
      <c r="F52" s="129"/>
      <c r="G52" s="58">
        <f>(G47-G48)*(1+'Fane 13. Nøgletal'!C15)</f>
        <v>6697005.8989519356</v>
      </c>
      <c r="H52" s="14" t="s">
        <v>3</v>
      </c>
      <c r="I52" s="1"/>
    </row>
    <row r="53" spans="1:9" x14ac:dyDescent="0.25">
      <c r="A53" s="1"/>
      <c r="B53" s="127" t="s">
        <v>147</v>
      </c>
      <c r="C53" s="128"/>
      <c r="D53" s="128"/>
      <c r="E53" s="128"/>
      <c r="F53" s="129"/>
      <c r="G53" s="58">
        <f>(G52)*'Fane 13. Nøgletal'!C31</f>
        <v>133940.11797903871</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4" t="s">
        <v>174</v>
      </c>
      <c r="C56" s="125"/>
      <c r="D56" s="125"/>
      <c r="E56" s="125"/>
      <c r="F56" s="125"/>
      <c r="G56" s="130"/>
      <c r="H56" s="126"/>
      <c r="I56" s="1"/>
    </row>
    <row r="57" spans="1:9" x14ac:dyDescent="0.25">
      <c r="A57" s="1"/>
      <c r="B57" s="127" t="s">
        <v>175</v>
      </c>
      <c r="C57" s="128"/>
      <c r="D57" s="128"/>
      <c r="E57" s="128"/>
      <c r="F57" s="129"/>
      <c r="G57" s="58">
        <f>(G52-G53)*(1+'Fane 13. Nøgletal'!C15)</f>
        <v>6796710.9227755331</v>
      </c>
      <c r="H57" s="14" t="s">
        <v>3</v>
      </c>
      <c r="I57" s="1"/>
    </row>
    <row r="58" spans="1:9" x14ac:dyDescent="0.25">
      <c r="A58" s="1"/>
      <c r="B58" s="127" t="s">
        <v>176</v>
      </c>
      <c r="C58" s="128"/>
      <c r="D58" s="128"/>
      <c r="E58" s="128"/>
      <c r="F58" s="129"/>
      <c r="G58" s="58">
        <f>(G57)*'Fane 13. Nøgletal'!C31</f>
        <v>135934.21845551065</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23.85546875" style="2" customWidth="1"/>
    <col min="7" max="7" width="10.28515625" style="2" customWidth="1"/>
    <col min="8" max="8" width="2.85546875" style="2" bestFit="1" customWidth="1"/>
    <col min="9" max="9" width="6" style="2" customWidth="1"/>
    <col min="10" max="16384" width="9.140625" style="2"/>
  </cols>
  <sheetData>
    <row r="1" spans="1:9" x14ac:dyDescent="0.25">
      <c r="A1" s="1"/>
      <c r="B1" s="134" t="s">
        <v>99</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4" t="s">
        <v>53</v>
      </c>
      <c r="C4" s="125"/>
      <c r="D4" s="125"/>
      <c r="E4" s="125"/>
      <c r="F4" s="125"/>
      <c r="G4" s="125"/>
      <c r="H4" s="126"/>
      <c r="I4" s="1"/>
    </row>
    <row r="5" spans="1:9" x14ac:dyDescent="0.25">
      <c r="A5" s="1"/>
      <c r="B5" s="127" t="s">
        <v>56</v>
      </c>
      <c r="C5" s="128"/>
      <c r="D5" s="128"/>
      <c r="E5" s="128"/>
      <c r="F5" s="129"/>
      <c r="G5" s="58">
        <v>7784275.0229191277</v>
      </c>
      <c r="H5" s="14" t="s">
        <v>3</v>
      </c>
      <c r="I5" s="1"/>
    </row>
    <row r="6" spans="1:9" x14ac:dyDescent="0.25">
      <c r="A6" s="1"/>
      <c r="B6" s="127" t="s">
        <v>54</v>
      </c>
      <c r="C6" s="128"/>
      <c r="D6" s="128"/>
      <c r="E6" s="128"/>
      <c r="F6" s="129"/>
      <c r="G6" s="58">
        <f>G5*'Fane 13. Nøgletal'!C20</f>
        <v>70836.90270856407</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4" t="s">
        <v>57</v>
      </c>
      <c r="C9" s="125"/>
      <c r="D9" s="125"/>
      <c r="E9" s="125"/>
      <c r="F9" s="125"/>
      <c r="G9" s="130"/>
      <c r="H9" s="126"/>
      <c r="I9" s="1"/>
    </row>
    <row r="10" spans="1:9" x14ac:dyDescent="0.25">
      <c r="A10" s="1"/>
      <c r="B10" s="127" t="s">
        <v>58</v>
      </c>
      <c r="C10" s="128"/>
      <c r="D10" s="128"/>
      <c r="E10" s="128"/>
      <c r="F10" s="129"/>
      <c r="G10" s="58">
        <f>(G5-G6)*(1+'Fane 13. Nøgletal'!C9)</f>
        <v>7811398.7843372375</v>
      </c>
      <c r="H10" s="14" t="s">
        <v>3</v>
      </c>
      <c r="I10" s="1"/>
    </row>
    <row r="11" spans="1:9" x14ac:dyDescent="0.25">
      <c r="A11" s="1"/>
      <c r="B11" s="131" t="s">
        <v>59</v>
      </c>
      <c r="C11" s="132"/>
      <c r="D11" s="132"/>
      <c r="E11" s="132"/>
      <c r="F11" s="133"/>
      <c r="G11" s="63">
        <v>0</v>
      </c>
      <c r="H11" s="14" t="s">
        <v>3</v>
      </c>
      <c r="I11" s="1"/>
    </row>
    <row r="12" spans="1:9" x14ac:dyDescent="0.25">
      <c r="A12" s="1"/>
      <c r="B12" s="127" t="s">
        <v>60</v>
      </c>
      <c r="C12" s="128"/>
      <c r="D12" s="128"/>
      <c r="E12" s="128"/>
      <c r="F12" s="129"/>
      <c r="G12" s="58">
        <f>G10*'Fane 13. Nøgletal'!C20+G11*'Fane 13. Nøgletal'!C21</f>
        <v>71083.72893746887</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4" t="s">
        <v>61</v>
      </c>
      <c r="C15" s="125"/>
      <c r="D15" s="125"/>
      <c r="E15" s="125"/>
      <c r="F15" s="125"/>
      <c r="G15" s="130"/>
      <c r="H15" s="126"/>
      <c r="I15" s="1"/>
    </row>
    <row r="16" spans="1:9" x14ac:dyDescent="0.25">
      <c r="A16" s="1"/>
      <c r="B16" s="127" t="s">
        <v>62</v>
      </c>
      <c r="C16" s="128"/>
      <c r="D16" s="128"/>
      <c r="E16" s="128"/>
      <c r="F16" s="129"/>
      <c r="G16" s="58">
        <f>(G10+G11-G12)*(1+'Fane 13. Nøgletal'!C11)</f>
        <v>7871126.3798360247</v>
      </c>
      <c r="H16" s="14" t="s">
        <v>3</v>
      </c>
      <c r="I16" s="1"/>
    </row>
    <row r="17" spans="1:9" x14ac:dyDescent="0.25">
      <c r="A17" s="1"/>
      <c r="B17" s="127" t="s">
        <v>109</v>
      </c>
      <c r="C17" s="128"/>
      <c r="D17" s="128"/>
      <c r="E17" s="128"/>
      <c r="F17" s="129"/>
      <c r="G17" s="58">
        <v>145226.58795668685</v>
      </c>
      <c r="H17" s="14" t="s">
        <v>3</v>
      </c>
      <c r="I17" s="1"/>
    </row>
    <row r="18" spans="1:9" x14ac:dyDescent="0.25">
      <c r="A18" s="1"/>
      <c r="B18" s="131" t="s">
        <v>63</v>
      </c>
      <c r="C18" s="132"/>
      <c r="D18" s="132"/>
      <c r="E18" s="132"/>
      <c r="F18" s="133"/>
      <c r="G18" s="58">
        <v>0</v>
      </c>
      <c r="H18" s="14" t="s">
        <v>3</v>
      </c>
      <c r="I18" s="1"/>
    </row>
    <row r="19" spans="1:9" x14ac:dyDescent="0.25">
      <c r="A19" s="1"/>
      <c r="B19" s="127" t="s">
        <v>64</v>
      </c>
      <c r="C19" s="128"/>
      <c r="D19" s="128"/>
      <c r="E19" s="128"/>
      <c r="F19" s="129"/>
      <c r="G19" s="58">
        <f>(G16+G17+G18)*'Fane 13. Nøgletal'!C22</f>
        <v>69742.270819796584</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4" t="s">
        <v>65</v>
      </c>
      <c r="C22" s="125"/>
      <c r="D22" s="125"/>
      <c r="E22" s="125"/>
      <c r="F22" s="125"/>
      <c r="G22" s="130"/>
      <c r="H22" s="126"/>
      <c r="I22" s="1"/>
    </row>
    <row r="23" spans="1:9" x14ac:dyDescent="0.25">
      <c r="A23" s="1"/>
      <c r="B23" s="127" t="s">
        <v>66</v>
      </c>
      <c r="C23" s="128"/>
      <c r="D23" s="128"/>
      <c r="E23" s="128"/>
      <c r="F23" s="129"/>
      <c r="G23" s="58">
        <f>(SUM(G16:G18)-G19)*(1+'Fane 13. Nøgletal'!C11)</f>
        <v>8080908.4177517565</v>
      </c>
      <c r="H23" s="14" t="s">
        <v>3</v>
      </c>
      <c r="I23" s="1"/>
    </row>
    <row r="24" spans="1:9" x14ac:dyDescent="0.25">
      <c r="A24" s="1"/>
      <c r="B24" s="131" t="s">
        <v>67</v>
      </c>
      <c r="C24" s="132"/>
      <c r="D24" s="132"/>
      <c r="E24" s="132"/>
      <c r="F24" s="133"/>
      <c r="G24" s="58">
        <v>0</v>
      </c>
      <c r="H24" s="14" t="s">
        <v>3</v>
      </c>
      <c r="I24" s="1"/>
    </row>
    <row r="25" spans="1:9" x14ac:dyDescent="0.25">
      <c r="A25" s="1"/>
      <c r="B25" s="127" t="s">
        <v>68</v>
      </c>
      <c r="C25" s="128"/>
      <c r="D25" s="128"/>
      <c r="E25" s="128"/>
      <c r="F25" s="129"/>
      <c r="G25" s="58">
        <f>G23*'Fane 13. Nøgletal'!C22+G24*'Fane 13. Nøgletal'!C23</f>
        <v>70303.90323444028</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4" t="s">
        <v>130</v>
      </c>
      <c r="C28" s="125"/>
      <c r="D28" s="125"/>
      <c r="E28" s="125"/>
      <c r="F28" s="125"/>
      <c r="G28" s="130"/>
      <c r="H28" s="126"/>
      <c r="I28" s="1"/>
    </row>
    <row r="29" spans="1:9" x14ac:dyDescent="0.25">
      <c r="A29" s="1"/>
      <c r="B29" s="127" t="s">
        <v>69</v>
      </c>
      <c r="C29" s="128"/>
      <c r="D29" s="128"/>
      <c r="E29" s="128"/>
      <c r="F29" s="129"/>
      <c r="G29" s="58">
        <f>(G23+G24-G25)*(1+'Fane 13. Nøgletal'!C13)</f>
        <v>8108333.8895944273</v>
      </c>
      <c r="H29" s="14" t="s">
        <v>3</v>
      </c>
      <c r="I29" s="1"/>
    </row>
    <row r="30" spans="1:9" x14ac:dyDescent="0.25">
      <c r="A30" s="1"/>
      <c r="B30" s="127" t="s">
        <v>123</v>
      </c>
      <c r="C30" s="128"/>
      <c r="D30" s="128"/>
      <c r="E30" s="128"/>
      <c r="F30" s="129"/>
      <c r="G30" s="58">
        <v>6816.3234325199992</v>
      </c>
      <c r="H30" s="14" t="s">
        <v>3</v>
      </c>
      <c r="I30" s="1"/>
    </row>
    <row r="31" spans="1:9" x14ac:dyDescent="0.25">
      <c r="A31" s="1"/>
      <c r="B31" s="127" t="s">
        <v>131</v>
      </c>
      <c r="C31" s="128"/>
      <c r="D31" s="128"/>
      <c r="E31" s="128"/>
      <c r="F31" s="129"/>
      <c r="G31" s="58">
        <f>(G29+G30)*'Fane 13. Nøgletal'!C24</f>
        <v>223166.63085824106</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4" t="s">
        <v>135</v>
      </c>
      <c r="C34" s="125"/>
      <c r="D34" s="125"/>
      <c r="E34" s="125"/>
      <c r="F34" s="125"/>
      <c r="G34" s="130"/>
      <c r="H34" s="126"/>
      <c r="I34" s="1"/>
    </row>
    <row r="35" spans="1:9" x14ac:dyDescent="0.25">
      <c r="A35" s="1"/>
      <c r="B35" s="127" t="s">
        <v>72</v>
      </c>
      <c r="C35" s="128"/>
      <c r="D35" s="128"/>
      <c r="E35" s="128"/>
      <c r="F35" s="129"/>
      <c r="G35" s="58">
        <f>(G29+G30-G31)*(1+'Fane 13. Nøgletal'!C13)</f>
        <v>7988265.7818711651</v>
      </c>
      <c r="H35" s="14" t="s">
        <v>3</v>
      </c>
      <c r="I35" s="1"/>
    </row>
    <row r="36" spans="1:9" x14ac:dyDescent="0.25">
      <c r="A36" s="1"/>
      <c r="B36" s="127" t="s">
        <v>141</v>
      </c>
      <c r="C36" s="128"/>
      <c r="D36" s="128"/>
      <c r="E36" s="128"/>
      <c r="F36" s="129"/>
      <c r="G36" s="58">
        <f>SUM('Fane 3. Omkostninger i ØR2022'!E11)*(1+'Fane 13. Nøgletal'!C14)</f>
        <v>761902.77603011008</v>
      </c>
      <c r="H36" s="14" t="s">
        <v>3</v>
      </c>
      <c r="I36" s="1"/>
    </row>
    <row r="37" spans="1:9" x14ac:dyDescent="0.25">
      <c r="A37" s="1"/>
      <c r="B37" s="127" t="s">
        <v>136</v>
      </c>
      <c r="C37" s="128"/>
      <c r="D37" s="128"/>
      <c r="E37" s="128"/>
      <c r="F37" s="129"/>
      <c r="G37" s="58">
        <f>G35*'Fane 13. Nøgletal'!C24+G36*'Fane 13. Nøgletal'!C25</f>
        <v>230953.47008670267</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4" t="s">
        <v>200</v>
      </c>
      <c r="C40" s="125"/>
      <c r="D40" s="125"/>
      <c r="E40" s="125"/>
      <c r="F40" s="125"/>
      <c r="G40" s="130"/>
      <c r="H40" s="126"/>
      <c r="I40" s="1"/>
    </row>
    <row r="41" spans="1:9" x14ac:dyDescent="0.25">
      <c r="A41" s="1"/>
      <c r="B41" s="127" t="s">
        <v>71</v>
      </c>
      <c r="C41" s="128"/>
      <c r="D41" s="128"/>
      <c r="E41" s="128"/>
      <c r="F41" s="129"/>
      <c r="G41" s="58">
        <f>(G35+G36-G37)*(1+'Fane 13. Nøgletal'!C15)</f>
        <v>8822499.1449407712</v>
      </c>
      <c r="H41" s="14" t="s">
        <v>3</v>
      </c>
      <c r="I41" s="1"/>
    </row>
    <row r="42" spans="1:9" x14ac:dyDescent="0.25">
      <c r="A42" s="1"/>
      <c r="B42" s="127" t="s">
        <v>211</v>
      </c>
      <c r="C42" s="128"/>
      <c r="D42" s="128"/>
      <c r="E42" s="128"/>
      <c r="F42" s="129"/>
      <c r="G42" s="63">
        <f>SUM('Fane 2.1. Økonomisk ramme 2023'!C10+'Fane 2.1. Økonomisk ramme 2023'!C12+'Fane 2.1. Økonomisk ramme 2023'!C14)*(1+'Fane 13. Nøgletal'!C15)</f>
        <v>487839.66284736007</v>
      </c>
      <c r="H42" s="14" t="s">
        <v>3</v>
      </c>
      <c r="I42" s="1"/>
    </row>
    <row r="43" spans="1:9" x14ac:dyDescent="0.25">
      <c r="A43" s="1"/>
      <c r="B43" s="127" t="s">
        <v>70</v>
      </c>
      <c r="C43" s="128"/>
      <c r="D43" s="128"/>
      <c r="E43" s="128"/>
      <c r="F43" s="129"/>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4" t="s">
        <v>201</v>
      </c>
      <c r="C46" s="125"/>
      <c r="D46" s="125"/>
      <c r="E46" s="125"/>
      <c r="F46" s="125"/>
      <c r="G46" s="130"/>
      <c r="H46" s="126"/>
      <c r="I46" s="1"/>
    </row>
    <row r="47" spans="1:9" x14ac:dyDescent="0.25">
      <c r="A47" s="1"/>
      <c r="B47" s="127" t="s">
        <v>124</v>
      </c>
      <c r="C47" s="128"/>
      <c r="D47" s="128"/>
      <c r="E47" s="128"/>
      <c r="F47" s="129"/>
      <c r="G47" s="58">
        <f>(G41+G42-G43)*(1+'Fane 13. Nøgletal'!C15)</f>
        <v>9641786.8693453893</v>
      </c>
      <c r="H47" s="14" t="s">
        <v>3</v>
      </c>
      <c r="I47" s="1"/>
    </row>
    <row r="48" spans="1:9" x14ac:dyDescent="0.25">
      <c r="A48" s="1"/>
      <c r="B48" s="127" t="s">
        <v>125</v>
      </c>
      <c r="C48" s="128"/>
      <c r="D48" s="128"/>
      <c r="E48" s="128"/>
      <c r="F48" s="129"/>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4" t="s">
        <v>142</v>
      </c>
      <c r="C51" s="125"/>
      <c r="D51" s="125"/>
      <c r="E51" s="125"/>
      <c r="F51" s="125"/>
      <c r="G51" s="130"/>
      <c r="H51" s="126"/>
      <c r="I51" s="1"/>
    </row>
    <row r="52" spans="1:9" x14ac:dyDescent="0.25">
      <c r="A52" s="1"/>
      <c r="B52" s="127" t="s">
        <v>143</v>
      </c>
      <c r="C52" s="128"/>
      <c r="D52" s="128"/>
      <c r="E52" s="128"/>
      <c r="F52" s="129"/>
      <c r="G52" s="58">
        <f>(G47-G48)*(1+'Fane 13. Nøgletal'!C15)</f>
        <v>9985034.4818940852</v>
      </c>
      <c r="H52" s="14" t="s">
        <v>3</v>
      </c>
      <c r="I52" s="1"/>
    </row>
    <row r="53" spans="1:9" x14ac:dyDescent="0.25">
      <c r="A53" s="1"/>
      <c r="B53" s="127" t="s">
        <v>144</v>
      </c>
      <c r="C53" s="128"/>
      <c r="D53" s="128"/>
      <c r="E53" s="128"/>
      <c r="F53" s="129"/>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4" t="s">
        <v>177</v>
      </c>
      <c r="C56" s="125"/>
      <c r="D56" s="125"/>
      <c r="E56" s="125"/>
      <c r="F56" s="125"/>
      <c r="G56" s="130"/>
      <c r="H56" s="126"/>
      <c r="I56" s="1"/>
    </row>
    <row r="57" spans="1:9" x14ac:dyDescent="0.25">
      <c r="A57" s="1"/>
      <c r="B57" s="127" t="s">
        <v>178</v>
      </c>
      <c r="C57" s="128"/>
      <c r="D57" s="128"/>
      <c r="E57" s="128"/>
      <c r="F57" s="129"/>
      <c r="G57" s="58">
        <f>(G52-G53)*(1+'Fane 13. Nøgletal'!C15)</f>
        <v>10340501.709449515</v>
      </c>
      <c r="H57" s="14" t="s">
        <v>3</v>
      </c>
      <c r="I57" s="1"/>
    </row>
    <row r="58" spans="1:9" x14ac:dyDescent="0.25">
      <c r="A58" s="1"/>
      <c r="B58" s="127" t="s">
        <v>179</v>
      </c>
      <c r="C58" s="128"/>
      <c r="D58" s="128"/>
      <c r="E58" s="128"/>
      <c r="F58" s="129"/>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4" t="s">
        <v>9</v>
      </c>
      <c r="C8" s="125"/>
      <c r="D8" s="125"/>
      <c r="E8" s="125"/>
      <c r="F8" s="125"/>
      <c r="G8" s="125"/>
      <c r="H8" s="1"/>
    </row>
    <row r="9" spans="1:8" x14ac:dyDescent="0.25">
      <c r="A9" s="1"/>
      <c r="B9" s="76" t="s">
        <v>180</v>
      </c>
      <c r="C9" s="77"/>
      <c r="D9" s="77"/>
      <c r="E9" s="77"/>
      <c r="F9" s="78"/>
      <c r="G9" s="28">
        <v>0</v>
      </c>
      <c r="H9" s="1"/>
    </row>
    <row r="10" spans="1:8" x14ac:dyDescent="0.25">
      <c r="A10" s="1"/>
      <c r="B10" s="71"/>
      <c r="C10" s="72"/>
      <c r="D10" s="72"/>
      <c r="E10" s="72"/>
      <c r="F10" s="72"/>
      <c r="G10" s="72"/>
      <c r="H10" s="1"/>
    </row>
    <row r="11" spans="1:8" x14ac:dyDescent="0.25">
      <c r="A11" s="1"/>
      <c r="B11" s="1"/>
      <c r="C11" s="1"/>
      <c r="D11" s="1"/>
      <c r="E11" s="1"/>
      <c r="F11" s="1"/>
      <c r="G11" s="1"/>
      <c r="H11" s="1"/>
    </row>
    <row r="12" spans="1:8" ht="31.5" customHeight="1" x14ac:dyDescent="0.25">
      <c r="A12" s="1"/>
      <c r="B12" s="137" t="s">
        <v>202</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A648UswX7JE0ILD328zBw10AVjrVT5w6lE+XOSNwTRTyopZvZPkwKMxXHK8XZxvXv5fZK08BEU2Dx/nqWlA1AQ==" saltValue="h/ippv1mXFPhl+rOImOYy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2022-12-01T09:35:34Z</dcterms:modified>
</cp:coreProperties>
</file>