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Allerød AS (S00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E24" i="32" l="1"/>
  <c r="E32" i="32" s="1"/>
  <c r="E34" i="32" s="1"/>
  <c r="C20" i="23" l="1"/>
  <c r="C20" i="22"/>
  <c r="C20" i="15"/>
  <c r="E28" i="32"/>
  <c r="C32" i="2" s="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<sst xmlns="http://schemas.openxmlformats.org/spreadsheetml/2006/main" count="609" uniqueCount="290">
  <si>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</si>
  <si>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</si>
  <si>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</si>
  <si>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</si>
  <si>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</si>
  <si>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</si>
  <si>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</si>
  <si>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</si>
  <si>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</si>
  <si>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</si>
  <si>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</si>
  <si>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</si>
  <si>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</si>
  <si>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</si>
  <si>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</si>
  <si>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</si>
  <si>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</si>
  <si>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</si>
  <si>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</si>
  <si>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</si>
  <si>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</si>
  <si>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</si>
  <si>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</si>
  <si>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</si>
  <si>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</si>
  <si>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</si>
  <si>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</si>
  <si>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</si>
  <si>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</si>
  <si>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</si>
  <si>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</si>
  <si>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</si>
  <si>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</si>
  <si>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</si>
  <si>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</si>
  <si>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</si>
  <si>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</si>
  <si>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</si>
  <si>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</si>
  <si>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</si>
  <si>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</si>
  <si>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</si>
  <si>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</si>
  <si>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</si>
  <si>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</si>
  <si>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</si>
  <si>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</si>
  <si>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</si>
  <si>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</si>
  <si>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</si>
  <si>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</si>
  <si>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</si>
  <si>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</si>
  <si>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</si>
  <si>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</si>
  <si>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</si>
  <si>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</si>
  <si>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</si>
  <si>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</si>
  <si>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</si>
  <si>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</si>
  <si>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</si>
  <si>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</si>
  <si>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</si>
  <si>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</si>
  <si>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</si>
  <si>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</si>
  <si>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</si>
  <si>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</si>
  <si>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</si>
  <si>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</si>
  <si>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</si>
  <si>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</si>
  <si>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</si>
  <si>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</si>
  <si>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</si>
  <si>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</si>
  <si>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</si>
  <si>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</si>
  <si>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</si>
  <si>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</si>
  <si>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</si>
  <si>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</si>
  <si>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</si>
  <si>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</si>
  <si>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</si>
  <si>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</si>
  <si>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</si>
  <si>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</si>
  <si>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</si>
  <si>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</si>
  <si>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</si>
  <si>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</si>
  <si>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</si>
  <si>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</si>
  <si>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</si>
  <si>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</si>
  <si>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</si>
  <si>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</si>
  <si>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</si>
  <si>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</si>
  <si>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</si>
  <si>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</si>
  <si>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</si>
  <si>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</si>
  <si>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</si>
  <si>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</si>
  <si>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</si>
  <si>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</si>
  <si>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</si>
  <si>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</si>
  <si>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</si>
  <si>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</si>
  <si>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</si>
  <si>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</si>
  <si>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</si>
  <si>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</si>
  <si>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</si>
  <si>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</si>
  <si>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</si>
  <si>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</si>
  <si>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</si>
  <si>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</si>
  <si>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</si>
  <si>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</si>
  <si>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</si>
  <si>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</si>
  <si>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</si>
  <si>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</si>
  <si>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</si>
  <si>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</si>
  <si>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</si>
  <si>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</si>
  <si>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</si>
  <si>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</si>
  <si>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</si>
  <si>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</si>
  <si>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</si>
  <si>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</si>
  <si>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</si>
  <si>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</si>
  <si>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</si>
  <si>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</si>
  <si>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</si>
  <si>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</si>
  <si>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</si>
  <si>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</si>
  <si>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</si>
  <si>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</si>
  <si>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</si>
  <si>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</si>
  <si>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</si>
  <si>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</si>
  <si>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</si>
  <si>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</si>
  <si>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</si>
  <si>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</si>
  <si>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</si>
  <si>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</si>
  <si>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</si>
  <si>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</si>
  <si>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</si>
  <si>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</si>
  <si>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</si>
  <si>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</si>
  <si>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</si>
  <si>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</si>
  <si>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</si>
  <si>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</si>
  <si>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</si>
  <si>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</si>
  <si>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</si>
  <si>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</si>
  <si>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</si>
  <si>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</si>
  <si>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</si>
  <si>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</si>
  <si>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</si>
  <si>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</si>
  <si>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</si>
  <si>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</si>
  <si>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</si>
  <si>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</si>
  <si>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</si>
  <si>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</si>
  <si>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</si>
  <si>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</si>
  <si>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</si>
  <si>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</si>
  <si>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</si>
  <si>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</si>
  <si>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</si>
  <si>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</si>
  <si>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</si>
  <si>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</si>
  <si>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</si>
  <si>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</si>
  <si>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</si>
  <si>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</si>
  <si>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</si>
  <si>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</si>
  <si>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</si>
  <si>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</si>
  <si>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</si>
  <si>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</si>
  <si>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</si>
  <si>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</si>
  <si>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</si>
  <si>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</si>
  <si>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</si>
  <si>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</si>
  <si>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</si>
  <si>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</si>
  <si>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</si>
  <si>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</si>
  <si>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</si>
  <si>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</si>
  <si>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</si>
  <si>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</si>
  <si>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</si>
  <si>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</si>
  <si>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</si>
  <si>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</si>
  <si>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</si>
  <si>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</si>
  <si>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</si>
  <si>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</si>
  <si>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</si>
  <si>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</si>
  <si>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</si>
  <si>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</si>
  <si>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</si>
  <si>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</si>
  <si>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</si>
  <si>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</si>
  <si>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</si>
  <si>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</si>
  <si>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</si>
  <si>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</si>
  <si>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</si>
  <si>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</si>
  <si>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</si>
  <si>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</si>
  <si>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</si>
  <si>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</si>
  <si>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</si>
  <si>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</si>
  <si>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</si>
  <si>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</si>
  <si>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</si>
  <si>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</si>
  <si>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</si>
  <si>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</si>
  <si>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</si>
  <si>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</si>
  <si>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</si>
  <si>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</si>
  <si>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</si>
  <si>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</si>
  <si>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</si>
  <si>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</si>
  <si>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</si>
  <si>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</si>
  <si>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</si>
  <si>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</si>
  <si>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</si>
  <si>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</si>
  <si>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</si>
  <si>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</si>
  <si>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</si>
  <si>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</si>
  <si>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</si>
  <si>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</si>
  <si>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</si>
  <si>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</si>
  <si>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</si>
  <si>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</si>
  <si>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</si>
  <si>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</si>
  <si>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</si>
  <si>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</si>
  <si>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</si>
  <si>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</si>
  <si>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</si>
  <si>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</si>
  <si>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Byggemodninger og nye stik</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</si>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</sst>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4" t="s">
        <v>4</v>
      </c>
      <c r="E6" s="114"/>
      <c r="F6" s="114"/>
      <c r="G6" s="114"/>
      <c r="H6" s="3"/>
      <c r="I6" s="1"/>
    </row>
    <row r="7" spans="1:9" ht="15" customHeight="1" x14ac:dyDescent="0.25">
      <c r="A7" s="1"/>
      <c r="B7" s="1"/>
      <c r="C7" s="3"/>
      <c r="D7" s="114"/>
      <c r="E7" s="114"/>
      <c r="F7" s="114"/>
      <c r="G7" s="114"/>
      <c r="H7" s="3"/>
      <c r="I7" s="1"/>
    </row>
    <row r="8" spans="1:9" ht="15.75" x14ac:dyDescent="0.25">
      <c r="A8" s="1"/>
      <c r="B8" s="1"/>
      <c r="C8" s="4"/>
      <c r="D8" s="119" t="s">
        <v>225</v>
      </c>
      <c r="E8" s="119"/>
      <c r="F8" s="119"/>
      <c r="G8" s="11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8" t="s">
        <v>5</v>
      </c>
      <c r="E11" s="118"/>
      <c r="F11" s="118"/>
      <c r="G11" s="118"/>
      <c r="H11" s="5"/>
      <c r="I11" s="1"/>
    </row>
    <row r="12" spans="1:9" x14ac:dyDescent="0.25">
      <c r="A12" s="1"/>
      <c r="B12" s="1"/>
      <c r="C12" s="1"/>
      <c r="D12" s="1"/>
      <c r="E12" s="1"/>
      <c r="F12" s="1"/>
      <c r="G12" s="1"/>
      <c r="H12" s="5"/>
      <c r="I12" s="1"/>
    </row>
    <row r="13" spans="1:9" x14ac:dyDescent="0.25">
      <c r="A13" s="1"/>
      <c r="B13" s="1"/>
      <c r="C13" s="6" t="s">
        <v>6</v>
      </c>
      <c r="D13" s="120" t="s">
        <v>169</v>
      </c>
      <c r="E13" s="121"/>
      <c r="F13" s="121"/>
      <c r="G13" s="122"/>
      <c r="H13" s="5"/>
      <c r="I13" s="1"/>
    </row>
    <row r="14" spans="1:9" x14ac:dyDescent="0.25">
      <c r="A14" s="1"/>
      <c r="B14" s="1"/>
      <c r="C14" s="6" t="s">
        <v>16</v>
      </c>
      <c r="D14" s="111" t="s">
        <v>235</v>
      </c>
      <c r="E14" s="112"/>
      <c r="F14" s="112"/>
      <c r="G14" s="113"/>
      <c r="H14" s="5"/>
      <c r="I14" s="1"/>
    </row>
    <row r="15" spans="1:9" x14ac:dyDescent="0.25">
      <c r="A15" s="1"/>
      <c r="B15" s="1"/>
      <c r="C15" s="6" t="s">
        <v>34</v>
      </c>
      <c r="D15" s="111" t="s">
        <v>170</v>
      </c>
      <c r="E15" s="112"/>
      <c r="F15" s="112"/>
      <c r="G15" s="113"/>
      <c r="H15" s="5"/>
      <c r="I15" s="1"/>
    </row>
    <row r="16" spans="1:9" x14ac:dyDescent="0.25">
      <c r="A16" s="1"/>
      <c r="B16" s="1"/>
      <c r="C16" s="6" t="s">
        <v>35</v>
      </c>
      <c r="D16" s="111" t="s">
        <v>182</v>
      </c>
      <c r="E16" s="112"/>
      <c r="F16" s="112"/>
      <c r="G16" s="113"/>
      <c r="H16" s="5"/>
      <c r="I16" s="1"/>
    </row>
    <row r="17" spans="1:9" x14ac:dyDescent="0.25">
      <c r="A17" s="1"/>
      <c r="B17" s="1"/>
      <c r="C17" s="6" t="s">
        <v>119</v>
      </c>
      <c r="D17" s="111" t="s">
        <v>183</v>
      </c>
      <c r="E17" s="112"/>
      <c r="F17" s="112"/>
      <c r="G17" s="113"/>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15" t="s">
        <v>12</v>
      </c>
      <c r="E21" s="116"/>
      <c r="F21" s="116"/>
      <c r="G21" s="117"/>
      <c r="H21" s="5"/>
      <c r="I21" s="1"/>
    </row>
    <row r="22" spans="1:9" x14ac:dyDescent="0.25">
      <c r="A22" s="1"/>
      <c r="B22" s="1"/>
      <c r="C22" s="6" t="s">
        <v>83</v>
      </c>
      <c r="D22" s="102" t="s">
        <v>184</v>
      </c>
      <c r="E22" s="103"/>
      <c r="F22" s="103"/>
      <c r="G22" s="104"/>
      <c r="H22" s="5"/>
      <c r="I22" s="1"/>
    </row>
    <row r="23" spans="1:9" x14ac:dyDescent="0.25">
      <c r="A23" s="1"/>
      <c r="B23" s="1"/>
      <c r="C23" s="6" t="s">
        <v>8</v>
      </c>
      <c r="D23" s="102" t="s">
        <v>253</v>
      </c>
      <c r="E23" s="103"/>
      <c r="F23" s="103"/>
      <c r="G23" s="104"/>
      <c r="H23" s="5"/>
      <c r="I23" s="1"/>
    </row>
    <row r="24" spans="1:9" x14ac:dyDescent="0.25">
      <c r="A24" s="1"/>
      <c r="B24" s="1"/>
      <c r="C24" s="6" t="s">
        <v>9</v>
      </c>
      <c r="D24" s="102" t="s">
        <v>185</v>
      </c>
      <c r="E24" s="103"/>
      <c r="F24" s="103"/>
      <c r="G24" s="104"/>
      <c r="H24" s="5"/>
      <c r="I24" s="1"/>
    </row>
    <row r="25" spans="1:9" x14ac:dyDescent="0.25">
      <c r="A25" s="1"/>
      <c r="B25" s="1"/>
      <c r="C25" s="6" t="s">
        <v>246</v>
      </c>
      <c r="D25" s="102" t="s">
        <v>237</v>
      </c>
      <c r="E25" s="103"/>
      <c r="F25" s="103"/>
      <c r="G25" s="104"/>
      <c r="H25" s="1"/>
      <c r="I25" s="1"/>
    </row>
    <row r="26" spans="1:9" x14ac:dyDescent="0.25">
      <c r="A26" s="1"/>
      <c r="B26" s="1"/>
      <c r="C26" s="6" t="s">
        <v>247</v>
      </c>
      <c r="D26" s="102" t="s">
        <v>84</v>
      </c>
      <c r="E26" s="103"/>
      <c r="F26" s="103"/>
      <c r="G26" s="104"/>
      <c r="H26" s="1"/>
      <c r="I26" s="1"/>
    </row>
    <row r="27" spans="1:9" x14ac:dyDescent="0.25">
      <c r="A27" s="1"/>
      <c r="B27" s="1"/>
      <c r="C27" s="6" t="s">
        <v>248</v>
      </c>
      <c r="D27" s="102" t="s">
        <v>85</v>
      </c>
      <c r="E27" s="103"/>
      <c r="F27" s="103"/>
      <c r="G27" s="104"/>
      <c r="H27" s="1"/>
      <c r="I27" s="1"/>
    </row>
    <row r="28" spans="1:9" x14ac:dyDescent="0.25">
      <c r="A28" s="1"/>
      <c r="B28" s="1"/>
      <c r="C28" s="6" t="s">
        <v>15</v>
      </c>
      <c r="D28" s="102" t="s">
        <v>86</v>
      </c>
      <c r="E28" s="103"/>
      <c r="F28" s="103"/>
      <c r="G28" s="104"/>
      <c r="H28" s="1"/>
      <c r="I28" s="1"/>
    </row>
    <row r="29" spans="1:9" x14ac:dyDescent="0.25">
      <c r="A29" s="1"/>
      <c r="B29" s="1"/>
      <c r="C29" s="6" t="s">
        <v>37</v>
      </c>
      <c r="D29" s="102" t="s">
        <v>134</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249</v>
      </c>
      <c r="D31" s="105" t="s">
        <v>105</v>
      </c>
      <c r="E31" s="106"/>
      <c r="F31" s="106"/>
      <c r="G31" s="10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fhw2Pooykj4DUleYaCSUSS8dEjFNp3Ew2FK6XGcZwA8yDA0BpVJ14EpdgBcUYeFMqNqypEa4LeIdRNR76p2HZw==" saltValue="OAhzzBZErVPxRCFAbdQXp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5" t="s">
        <v>199</v>
      </c>
      <c r="C8" s="136"/>
      <c r="D8" s="137"/>
      <c r="E8" s="1"/>
      <c r="F8" s="1"/>
    </row>
    <row r="9" spans="1:6" ht="15" customHeight="1" x14ac:dyDescent="0.25">
      <c r="A9" s="1"/>
      <c r="B9" s="26" t="s">
        <v>32</v>
      </c>
      <c r="C9" s="58" t="s">
        <v>240</v>
      </c>
      <c r="D9" s="11"/>
      <c r="E9" s="1"/>
      <c r="F9" s="1"/>
    </row>
    <row r="10" spans="1:6" x14ac:dyDescent="0.25">
      <c r="A10" s="1"/>
      <c r="B10" s="94" t="s">
        <v>265</v>
      </c>
      <c r="C10" s="9">
        <v>597377</v>
      </c>
      <c r="D10" s="14" t="s">
        <v>3</v>
      </c>
      <c r="E10" s="1"/>
      <c r="F10" s="1"/>
    </row>
    <row r="11" spans="1:6" x14ac:dyDescent="0.25">
      <c r="A11" s="1"/>
      <c r="B11" s="94" t="s">
        <v>266</v>
      </c>
      <c r="C11" s="9">
        <v>81564</v>
      </c>
      <c r="D11" s="14" t="s">
        <v>3</v>
      </c>
      <c r="E11" s="1"/>
      <c r="F11" s="1"/>
    </row>
    <row r="12" spans="1:6" x14ac:dyDescent="0.25">
      <c r="A12" s="1"/>
      <c r="B12" s="94" t="s">
        <v>267</v>
      </c>
      <c r="C12" s="9">
        <v>246532</v>
      </c>
      <c r="D12" s="14" t="s">
        <v>3</v>
      </c>
      <c r="E12" s="1"/>
      <c r="F12" s="1"/>
    </row>
    <row r="13" spans="1:6" x14ac:dyDescent="0.25">
      <c r="A13" s="1"/>
      <c r="B13" s="94" t="s">
        <v>268</v>
      </c>
      <c r="C13" s="9">
        <v>108606</v>
      </c>
      <c r="D13" s="14" t="s">
        <v>3</v>
      </c>
      <c r="E13" s="1"/>
      <c r="F13" s="1"/>
    </row>
    <row r="14" spans="1:6" x14ac:dyDescent="0.25">
      <c r="A14" s="1"/>
      <c r="B14" s="94" t="s">
        <v>269</v>
      </c>
      <c r="C14" s="9">
        <v>10000</v>
      </c>
      <c r="D14" s="14" t="s">
        <v>3</v>
      </c>
      <c r="E14" s="1"/>
      <c r="F14" s="1"/>
    </row>
    <row r="15" spans="1:6" x14ac:dyDescent="0.25">
      <c r="A15" s="1"/>
      <c r="B15" s="32" t="s">
        <v>200</v>
      </c>
      <c r="C15" s="12">
        <f>SUM(C10:C14)</f>
        <v>1044079</v>
      </c>
      <c r="D15" s="13" t="s">
        <v>3</v>
      </c>
      <c r="E15" s="1"/>
      <c r="F15" s="1"/>
    </row>
    <row r="16" spans="1:6" x14ac:dyDescent="0.25">
      <c r="A16" s="1"/>
      <c r="B16" s="32" t="s">
        <v>201</v>
      </c>
      <c r="C16" s="12">
        <f>C15*(1+'Fane 15. Nøgletal'!C15)^2</f>
        <v>1119740.6487614401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5" t="s">
        <v>117</v>
      </c>
      <c r="C19" s="136"/>
      <c r="D19" s="137"/>
      <c r="E19" s="1"/>
      <c r="F19" s="1"/>
    </row>
    <row r="20" spans="1:6" x14ac:dyDescent="0.25">
      <c r="A20" s="1"/>
      <c r="B20" s="94" t="s">
        <v>99</v>
      </c>
      <c r="C20" s="9">
        <v>0</v>
      </c>
      <c r="D20" s="14" t="s">
        <v>3</v>
      </c>
      <c r="E20" s="1"/>
      <c r="F20" s="1"/>
    </row>
    <row r="21" spans="1:6" x14ac:dyDescent="0.25">
      <c r="A21" s="1"/>
      <c r="B21" s="94" t="s">
        <v>129</v>
      </c>
      <c r="C21" s="9">
        <v>0</v>
      </c>
      <c r="D21" s="14" t="s">
        <v>3</v>
      </c>
      <c r="E21" s="1"/>
      <c r="F21" s="1"/>
    </row>
    <row r="22" spans="1:6" x14ac:dyDescent="0.25">
      <c r="A22" s="1"/>
      <c r="B22" s="94" t="s">
        <v>155</v>
      </c>
      <c r="C22" s="9">
        <v>0</v>
      </c>
      <c r="D22" s="14" t="s">
        <v>3</v>
      </c>
      <c r="E22" s="1"/>
      <c r="F22" s="1"/>
    </row>
    <row r="23" spans="1:6" x14ac:dyDescent="0.25">
      <c r="A23" s="1"/>
      <c r="B23" s="33" t="s">
        <v>202</v>
      </c>
      <c r="C23" s="9">
        <v>0</v>
      </c>
      <c r="D23" s="40" t="s">
        <v>3</v>
      </c>
      <c r="E23" s="1"/>
      <c r="F23" s="1"/>
    </row>
    <row r="24" spans="1:6" x14ac:dyDescent="0.25">
      <c r="A24" s="1"/>
      <c r="B24" s="135"/>
      <c r="C24" s="136"/>
      <c r="D24" s="137"/>
      <c r="E24" s="1"/>
      <c r="F24" s="1"/>
    </row>
    <row r="25" spans="1:6" x14ac:dyDescent="0.25">
      <c r="A25" s="1"/>
      <c r="B25" s="1"/>
      <c r="C25" s="1"/>
      <c r="D25" s="1"/>
      <c r="E25" s="1"/>
      <c r="F25" s="1"/>
    </row>
    <row r="26" spans="1:6" x14ac:dyDescent="0.25">
      <c r="A26" s="1"/>
      <c r="B26" s="1"/>
      <c r="C26" s="1"/>
      <c r="D26" s="1"/>
      <c r="E26" s="1"/>
      <c r="F26" s="1"/>
    </row>
    <row r="27" spans="1:6" x14ac:dyDescent="0.25">
      <c r="A27" s="1"/>
      <c r="B27" s="135" t="s">
        <v>98</v>
      </c>
      <c r="C27" s="136"/>
      <c r="D27" s="137"/>
      <c r="E27" s="1"/>
      <c r="F27" s="1"/>
    </row>
    <row r="28" spans="1:6" x14ac:dyDescent="0.25">
      <c r="A28" s="1"/>
      <c r="B28" s="94" t="s">
        <v>99</v>
      </c>
      <c r="C28" s="9">
        <v>660953</v>
      </c>
      <c r="D28" s="14" t="s">
        <v>3</v>
      </c>
      <c r="E28" s="1"/>
      <c r="F28" s="1"/>
    </row>
    <row r="29" spans="1:6" x14ac:dyDescent="0.25">
      <c r="A29" s="1"/>
      <c r="B29" s="94" t="s">
        <v>129</v>
      </c>
      <c r="C29" s="9">
        <v>0</v>
      </c>
      <c r="D29" s="14" t="s">
        <v>3</v>
      </c>
      <c r="E29" s="1"/>
      <c r="F29" s="1"/>
    </row>
    <row r="30" spans="1:6" x14ac:dyDescent="0.25">
      <c r="A30" s="1"/>
      <c r="B30" s="94" t="s">
        <v>155</v>
      </c>
      <c r="C30" s="9">
        <v>0</v>
      </c>
      <c r="D30" s="14" t="s">
        <v>3</v>
      </c>
      <c r="E30" s="1"/>
      <c r="F30" s="1"/>
    </row>
    <row r="31" spans="1:6" x14ac:dyDescent="0.25">
      <c r="A31" s="1"/>
      <c r="B31" s="33" t="s">
        <v>202</v>
      </c>
      <c r="C31" s="9">
        <v>0</v>
      </c>
      <c r="D31" s="40" t="s">
        <v>3</v>
      </c>
      <c r="E31" s="1"/>
      <c r="F31" s="1"/>
    </row>
    <row r="32" spans="1:6" x14ac:dyDescent="0.25">
      <c r="A32" s="1"/>
      <c r="B32" s="135"/>
      <c r="C32" s="136"/>
      <c r="D32" s="137"/>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MXyJk6kOiacaW0+/Y96FxVDkjD0CoambXhXWLIwV1I7EYheYrFrFYSO5eRNY8hF9KgpmP/boxQF5Tv7pmO+QTw==" saltValue="t3kOA9LY9asKveOb19S3W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1"/>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203</v>
      </c>
      <c r="C3" s="128"/>
      <c r="D3" s="128"/>
      <c r="E3" s="128"/>
      <c r="F3" s="128"/>
      <c r="G3" s="1"/>
    </row>
    <row r="4" spans="1:7" ht="15" customHeight="1" x14ac:dyDescent="0.25">
      <c r="A4" s="1"/>
      <c r="B4" s="128"/>
      <c r="C4" s="128"/>
      <c r="D4" s="128"/>
      <c r="E4" s="128"/>
      <c r="F4" s="128"/>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5" t="s">
        <v>178</v>
      </c>
      <c r="C8" s="136"/>
      <c r="D8" s="136"/>
      <c r="E8" s="136"/>
      <c r="F8" s="137"/>
      <c r="G8" s="1"/>
    </row>
    <row r="9" spans="1:7" x14ac:dyDescent="0.25">
      <c r="A9" s="1"/>
      <c r="B9" s="140" t="s">
        <v>204</v>
      </c>
      <c r="C9" s="141"/>
      <c r="D9" s="142"/>
      <c r="E9" s="9">
        <v>-3537570.2766564041</v>
      </c>
      <c r="F9" s="14" t="s">
        <v>3</v>
      </c>
      <c r="G9" s="1"/>
    </row>
    <row r="10" spans="1:7" x14ac:dyDescent="0.25">
      <c r="A10" s="1"/>
      <c r="B10" s="140" t="s">
        <v>263</v>
      </c>
      <c r="C10" s="141"/>
      <c r="D10" s="142"/>
      <c r="E10" s="9">
        <v>-3537570.2766564041</v>
      </c>
      <c r="F10" s="14" t="s">
        <v>3</v>
      </c>
      <c r="G10" s="1"/>
    </row>
    <row r="11" spans="1:7" x14ac:dyDescent="0.25">
      <c r="A11" s="1"/>
      <c r="B11" s="32"/>
      <c r="C11" s="27"/>
      <c r="D11" s="27"/>
      <c r="E11" s="27"/>
      <c r="F11" s="19"/>
      <c r="G11" s="1"/>
    </row>
    <row r="12" spans="1:7" ht="80.25" customHeight="1" x14ac:dyDescent="0.25">
      <c r="A12" s="1"/>
      <c r="B12" s="125" t="s">
        <v>288</v>
      </c>
      <c r="C12" s="126"/>
      <c r="D12" s="126"/>
      <c r="E12" s="126"/>
      <c r="F12" s="127"/>
      <c r="G12" s="1"/>
    </row>
    <row r="13" spans="1:7" ht="27" customHeight="1" x14ac:dyDescent="0.25">
      <c r="A13" s="1"/>
      <c r="B13" s="1"/>
      <c r="C13" s="1"/>
      <c r="D13" s="1"/>
      <c r="E13" s="1"/>
      <c r="F13" s="1"/>
      <c r="G13" s="1"/>
    </row>
    <row r="14" spans="1:7" ht="28.5" customHeight="1" x14ac:dyDescent="0.25">
      <c r="A14" s="1"/>
      <c r="B14" s="135" t="s">
        <v>179</v>
      </c>
      <c r="C14" s="136"/>
      <c r="D14" s="136"/>
      <c r="E14" s="136"/>
      <c r="F14" s="137"/>
      <c r="G14" s="1"/>
    </row>
    <row r="15" spans="1:7" x14ac:dyDescent="0.25">
      <c r="A15" s="1"/>
      <c r="B15" s="140" t="s">
        <v>281</v>
      </c>
      <c r="C15" s="141"/>
      <c r="D15" s="142"/>
      <c r="E15" s="9">
        <v>0</v>
      </c>
      <c r="F15" s="14" t="s">
        <v>3</v>
      </c>
      <c r="G15" s="1"/>
    </row>
    <row r="16" spans="1:7" x14ac:dyDescent="0.25">
      <c r="A16" s="1"/>
      <c r="B16" s="140" t="s">
        <v>282</v>
      </c>
      <c r="C16" s="141"/>
      <c r="D16" s="142"/>
      <c r="E16" s="9">
        <v>0</v>
      </c>
      <c r="F16" s="14" t="s">
        <v>3</v>
      </c>
      <c r="G16" s="1"/>
    </row>
    <row r="17" spans="1:7" x14ac:dyDescent="0.25">
      <c r="A17" s="1"/>
      <c r="B17" s="32"/>
      <c r="C17" s="27"/>
      <c r="D17" s="27"/>
      <c r="E17" s="27"/>
      <c r="F17" s="19"/>
      <c r="G17" s="1"/>
    </row>
    <row r="18" spans="1:7" ht="29.25" customHeight="1" x14ac:dyDescent="0.25">
      <c r="A18" s="1"/>
      <c r="B18" s="125" t="s">
        <v>289</v>
      </c>
      <c r="C18" s="126"/>
      <c r="D18" s="126"/>
      <c r="E18" s="126"/>
      <c r="F18" s="127"/>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43727914.701661237</v>
      </c>
      <c r="F21" s="14" t="s">
        <v>3</v>
      </c>
      <c r="G21" s="1"/>
    </row>
    <row r="22" spans="1:7" x14ac:dyDescent="0.25">
      <c r="A22" s="1"/>
      <c r="B22" s="91" t="s">
        <v>207</v>
      </c>
      <c r="C22" s="92"/>
      <c r="D22" s="93"/>
      <c r="E22" s="9">
        <v>44783912</v>
      </c>
      <c r="F22" s="14" t="s">
        <v>3</v>
      </c>
      <c r="G22" s="1"/>
    </row>
    <row r="23" spans="1:7" x14ac:dyDescent="0.25">
      <c r="A23" s="1"/>
      <c r="B23" s="91" t="s">
        <v>33</v>
      </c>
      <c r="C23" s="92"/>
      <c r="D23" s="93"/>
      <c r="E23" s="9">
        <v>0</v>
      </c>
      <c r="F23" s="14" t="s">
        <v>3</v>
      </c>
      <c r="G23" s="1"/>
    </row>
    <row r="24" spans="1:7" x14ac:dyDescent="0.25">
      <c r="A24" s="1"/>
      <c r="B24" s="89" t="s">
        <v>270</v>
      </c>
      <c r="C24" s="90"/>
      <c r="D24" s="96"/>
      <c r="E24" s="72">
        <f>E21-(E22-E23)</f>
        <v>-1055997.2983387634</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5" t="s">
        <v>283</v>
      </c>
      <c r="C27" s="136"/>
      <c r="D27" s="136"/>
      <c r="E27" s="136"/>
      <c r="F27" s="137"/>
      <c r="G27" s="1"/>
    </row>
    <row r="28" spans="1:7" x14ac:dyDescent="0.25">
      <c r="A28" s="1"/>
      <c r="B28" s="138" t="s">
        <v>284</v>
      </c>
      <c r="C28" s="139"/>
      <c r="D28" s="162"/>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5"/>
      <c r="C29" s="136"/>
      <c r="D29" s="136"/>
      <c r="E29" s="136"/>
      <c r="F29" s="137"/>
      <c r="G29" s="1"/>
    </row>
    <row r="30" spans="1:7" x14ac:dyDescent="0.25">
      <c r="A30" s="1"/>
      <c r="B30" s="1"/>
      <c r="C30" s="1"/>
      <c r="D30" s="1"/>
      <c r="E30" s="1"/>
      <c r="F30" s="1"/>
      <c r="G30" s="1"/>
    </row>
    <row r="31" spans="1:7" ht="28.5" customHeight="1" x14ac:dyDescent="0.25">
      <c r="A31" s="1"/>
      <c r="B31" s="135" t="s">
        <v>264</v>
      </c>
      <c r="C31" s="136"/>
      <c r="D31" s="136"/>
      <c r="E31" s="136"/>
      <c r="F31" s="137"/>
      <c r="G31" s="1"/>
    </row>
    <row r="32" spans="1:7" x14ac:dyDescent="0.25">
      <c r="A32" s="1"/>
      <c r="B32" s="159" t="s">
        <v>143</v>
      </c>
      <c r="C32" s="160"/>
      <c r="D32" s="161"/>
      <c r="E32" s="74">
        <f>IF(AND(E9&gt;0,(E9+E24)&gt;0),0,IF(AND(E9&gt;0,(E9+E24)&lt;0),(E9+E24),IF(AND(E9&lt;0,E24&lt;0),E24,0)))</f>
        <v>-1055997.2983387634</v>
      </c>
      <c r="F32" s="14" t="s">
        <v>3</v>
      </c>
      <c r="G32" s="1"/>
    </row>
    <row r="33" spans="1:7" x14ac:dyDescent="0.25">
      <c r="A33" s="1"/>
      <c r="B33" s="159" t="s">
        <v>102</v>
      </c>
      <c r="C33" s="160"/>
      <c r="D33" s="161"/>
      <c r="E33" s="9">
        <v>4</v>
      </c>
      <c r="F33" s="14" t="s">
        <v>20</v>
      </c>
      <c r="G33" s="1"/>
    </row>
    <row r="34" spans="1:7" x14ac:dyDescent="0.25">
      <c r="A34" s="1"/>
      <c r="B34" s="155" t="s">
        <v>144</v>
      </c>
      <c r="C34" s="155"/>
      <c r="D34" s="155"/>
      <c r="E34" s="73">
        <f>E32/E33</f>
        <v>-263999.32458469085</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49"/>
      <c r="C39" s="49"/>
      <c r="D39" s="49"/>
      <c r="E39" s="49"/>
      <c r="F39" s="49"/>
    </row>
    <row r="40" spans="1:7" x14ac:dyDescent="0.25">
      <c r="A40" s="49"/>
      <c r="B40" s="49"/>
      <c r="C40" s="49"/>
      <c r="D40" s="49"/>
      <c r="E40" s="49"/>
      <c r="F40" s="49"/>
      <c r="G40" s="49"/>
    </row>
    <row r="41" spans="1:7" x14ac:dyDescent="0.25">
      <c r="A41" s="49"/>
      <c r="B41" s="49"/>
      <c r="C41" s="49"/>
      <c r="D41" s="49"/>
      <c r="E41" s="49"/>
      <c r="F41" s="49"/>
      <c r="G41" s="49"/>
    </row>
  </sheetData>
  <sheetProtection algorithmName="SHA-512" hashValue="dp9M0QjnoX7rUEdAuAoLLRlKS9sGsSMa1ojEfUNo7M3792A0mkn7/ZD73LsosW7x+gSEtN5+NbYwKXDcnjoErw==" saltValue="T4d1/Yg+iHsbflBseGJBsQ==" spinCount="100000" sheet="1" objects="1" scenarios="1"/>
  <mergeCells count="17">
    <mergeCell ref="B3:F4"/>
    <mergeCell ref="B8:F8"/>
    <mergeCell ref="B9:D9"/>
    <mergeCell ref="B10:D10"/>
    <mergeCell ref="B14:F14"/>
    <mergeCell ref="B12:F12"/>
    <mergeCell ref="B34:D34"/>
    <mergeCell ref="B35:F35"/>
    <mergeCell ref="B15:D15"/>
    <mergeCell ref="B16:D16"/>
    <mergeCell ref="B32:D32"/>
    <mergeCell ref="B29:F29"/>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5" t="s">
        <v>262</v>
      </c>
      <c r="C8" s="136"/>
      <c r="D8" s="136"/>
      <c r="E8" s="136"/>
      <c r="F8" s="136"/>
      <c r="G8" s="136"/>
      <c r="H8" s="137"/>
      <c r="I8" s="1"/>
    </row>
    <row r="9" spans="1:9" ht="15" customHeight="1" x14ac:dyDescent="0.25">
      <c r="A9" s="1"/>
      <c r="B9" s="132" t="s">
        <v>251</v>
      </c>
      <c r="C9" s="133"/>
      <c r="D9" s="133"/>
      <c r="E9" s="133"/>
      <c r="F9" s="133"/>
      <c r="G9" s="133"/>
      <c r="H9" s="134"/>
      <c r="I9" s="1"/>
    </row>
    <row r="10" spans="1:9" x14ac:dyDescent="0.25">
      <c r="A10" s="1"/>
      <c r="B10" s="163" t="s">
        <v>272</v>
      </c>
      <c r="C10" s="164"/>
      <c r="D10" s="164"/>
      <c r="E10" s="164"/>
      <c r="F10" s="165"/>
      <c r="G10" s="9">
        <v>0</v>
      </c>
      <c r="H10" s="9" t="s">
        <v>3</v>
      </c>
      <c r="I10" s="1"/>
    </row>
    <row r="11" spans="1:9" x14ac:dyDescent="0.25">
      <c r="A11" s="1"/>
      <c r="B11" s="163" t="s">
        <v>273</v>
      </c>
      <c r="C11" s="164"/>
      <c r="D11" s="164"/>
      <c r="E11" s="164"/>
      <c r="F11" s="165"/>
      <c r="G11" s="9">
        <v>0</v>
      </c>
      <c r="H11" s="9" t="s">
        <v>3</v>
      </c>
      <c r="I11" s="1"/>
    </row>
    <row r="12" spans="1:9" x14ac:dyDescent="0.25">
      <c r="A12" s="1"/>
      <c r="B12" s="163" t="s">
        <v>274</v>
      </c>
      <c r="C12" s="164"/>
      <c r="D12" s="164"/>
      <c r="E12" s="164"/>
      <c r="F12" s="165"/>
      <c r="G12" s="9">
        <v>0</v>
      </c>
      <c r="H12" s="9" t="s">
        <v>3</v>
      </c>
      <c r="I12" s="1"/>
    </row>
    <row r="13" spans="1:9" x14ac:dyDescent="0.25">
      <c r="A13" s="1"/>
      <c r="B13" s="163" t="s">
        <v>275</v>
      </c>
      <c r="C13" s="164"/>
      <c r="D13" s="164"/>
      <c r="E13" s="164"/>
      <c r="F13" s="165"/>
      <c r="G13" s="9">
        <v>0</v>
      </c>
      <c r="H13" s="9" t="s">
        <v>3</v>
      </c>
      <c r="I13" s="1"/>
    </row>
    <row r="14" spans="1:9" x14ac:dyDescent="0.25">
      <c r="A14" s="1"/>
      <c r="B14" s="163" t="s">
        <v>276</v>
      </c>
      <c r="C14" s="164"/>
      <c r="D14" s="164"/>
      <c r="E14" s="164"/>
      <c r="F14" s="165"/>
      <c r="G14" s="9">
        <v>0</v>
      </c>
      <c r="H14" s="9" t="s">
        <v>3</v>
      </c>
      <c r="I14" s="1"/>
    </row>
    <row r="15" spans="1:9" x14ac:dyDescent="0.25">
      <c r="A15" s="1"/>
      <c r="B15" s="163" t="s">
        <v>277</v>
      </c>
      <c r="C15" s="164"/>
      <c r="D15" s="164"/>
      <c r="E15" s="164"/>
      <c r="F15" s="165"/>
      <c r="G15" s="9">
        <v>0</v>
      </c>
      <c r="H15" s="9" t="s">
        <v>3</v>
      </c>
      <c r="I15" s="1"/>
    </row>
    <row r="16" spans="1:9" x14ac:dyDescent="0.25">
      <c r="A16" s="1"/>
      <c r="B16" s="163" t="s">
        <v>278</v>
      </c>
      <c r="C16" s="164"/>
      <c r="D16" s="164"/>
      <c r="E16" s="164"/>
      <c r="F16" s="165"/>
      <c r="G16" s="9">
        <v>0</v>
      </c>
      <c r="H16" s="9" t="s">
        <v>3</v>
      </c>
      <c r="I16" s="1"/>
    </row>
    <row r="17" spans="1:9" x14ac:dyDescent="0.25">
      <c r="A17" s="1"/>
      <c r="B17" s="163" t="s">
        <v>279</v>
      </c>
      <c r="C17" s="164"/>
      <c r="D17" s="164"/>
      <c r="E17" s="164"/>
      <c r="F17" s="165"/>
      <c r="G17" s="9">
        <v>0</v>
      </c>
      <c r="H17" s="9" t="s">
        <v>3</v>
      </c>
      <c r="I17" s="1"/>
    </row>
    <row r="18" spans="1:9" x14ac:dyDescent="0.25">
      <c r="A18" s="1"/>
      <c r="B18" s="135" t="s">
        <v>252</v>
      </c>
      <c r="C18" s="136"/>
      <c r="D18" s="136"/>
      <c r="E18" s="136"/>
      <c r="F18" s="13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7UVBZ/rbjFdox7hJ2SkLtRyrakKJwbZoMR50a+aR8RzMFGcTh/G3/LqS23PtU2xKY4CLPZr3aVeh6o9wa2aPwA==" saltValue="hEnr4t4HqliSjf2WS4RW4Q=="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254</v>
      </c>
      <c r="C3" s="128"/>
      <c r="D3" s="128"/>
      <c r="E3" s="128"/>
      <c r="F3" s="128"/>
      <c r="G3" s="1"/>
    </row>
    <row r="4" spans="1:7" ht="1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208</v>
      </c>
      <c r="C9" s="136"/>
      <c r="D9" s="136"/>
      <c r="E9" s="136"/>
      <c r="F9" s="137"/>
      <c r="G9" s="1"/>
    </row>
    <row r="10" spans="1:7" x14ac:dyDescent="0.25">
      <c r="A10" s="1"/>
      <c r="B10" s="125" t="s">
        <v>100</v>
      </c>
      <c r="C10" s="126"/>
      <c r="D10" s="127"/>
      <c r="E10" s="7">
        <v>0</v>
      </c>
      <c r="F10" s="8" t="s">
        <v>3</v>
      </c>
      <c r="G10" s="1"/>
    </row>
    <row r="11" spans="1:7" x14ac:dyDescent="0.25">
      <c r="A11" s="1"/>
      <c r="B11" s="140" t="s">
        <v>209</v>
      </c>
      <c r="C11" s="141"/>
      <c r="D11" s="142"/>
      <c r="E11" s="7">
        <v>0</v>
      </c>
      <c r="F11" s="8" t="s">
        <v>3</v>
      </c>
      <c r="G11" s="1"/>
    </row>
    <row r="12" spans="1:7" x14ac:dyDescent="0.25">
      <c r="A12" s="1"/>
      <c r="B12" s="138" t="s">
        <v>101</v>
      </c>
      <c r="C12" s="139"/>
      <c r="D12" s="162"/>
      <c r="E12" s="10">
        <f>E11-E10</f>
        <v>0</v>
      </c>
      <c r="F12" s="11" t="s">
        <v>3</v>
      </c>
      <c r="G12" s="1"/>
    </row>
    <row r="13" spans="1:7" x14ac:dyDescent="0.25">
      <c r="A13" s="1"/>
      <c r="B13" s="135" t="s">
        <v>94</v>
      </c>
      <c r="C13" s="136"/>
      <c r="D13" s="136"/>
      <c r="E13" s="136"/>
      <c r="F13" s="137"/>
      <c r="G13" s="1"/>
    </row>
    <row r="14" spans="1:7" x14ac:dyDescent="0.25">
      <c r="A14" s="1"/>
      <c r="B14" s="140" t="s">
        <v>210</v>
      </c>
      <c r="C14" s="141"/>
      <c r="D14" s="142"/>
      <c r="E14" s="9">
        <v>739741</v>
      </c>
      <c r="F14" s="8" t="s">
        <v>3</v>
      </c>
      <c r="G14" s="1"/>
    </row>
    <row r="15" spans="1:7" x14ac:dyDescent="0.25">
      <c r="A15" s="1"/>
      <c r="B15" s="125" t="s">
        <v>211</v>
      </c>
      <c r="C15" s="126"/>
      <c r="D15" s="127"/>
      <c r="E15" s="9">
        <v>0</v>
      </c>
      <c r="F15" s="8" t="s">
        <v>3</v>
      </c>
      <c r="G15" s="1"/>
    </row>
    <row r="16" spans="1:7" x14ac:dyDescent="0.25">
      <c r="A16" s="1"/>
      <c r="B16" s="138" t="s">
        <v>101</v>
      </c>
      <c r="C16" s="139"/>
      <c r="D16" s="162"/>
      <c r="E16" s="10">
        <f>E15-E14</f>
        <v>-739741</v>
      </c>
      <c r="F16" s="11" t="s">
        <v>3</v>
      </c>
      <c r="G16" s="1"/>
    </row>
    <row r="17" spans="1:7" x14ac:dyDescent="0.25">
      <c r="A17" s="1"/>
      <c r="B17" s="32" t="s">
        <v>212</v>
      </c>
      <c r="C17" s="27"/>
      <c r="D17" s="27"/>
      <c r="E17" s="12">
        <f>E12+E16</f>
        <v>-739741</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Tcz/b57LUG+5BvyhHT2ydZC/vD3hmPlLPgvo4a+KN02EFXU9UbcCTaZ08+Zska/DFMTHsaPtokbF7Vfu3RYg==" saltValue="gw+wnpsgldFggvHDjh6ri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5" t="s">
        <v>219</v>
      </c>
      <c r="C8" s="136"/>
      <c r="D8" s="136"/>
      <c r="E8" s="136"/>
      <c r="F8" s="136"/>
      <c r="G8" s="136"/>
      <c r="H8" s="136"/>
      <c r="I8" s="136"/>
      <c r="J8" s="136"/>
      <c r="K8" s="137"/>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280</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WM4FdwN9deLnWI4qttwAFTCCvl7ViXzj3/C1ZTERfutHZ7nstPDGCkE8/48DX94irTQb69rMaOySlXrEvK7jZQ==" saltValue="F4452/TKlKpGAfPknMzLC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285</v>
      </c>
      <c r="C11" s="21">
        <v>9247</v>
      </c>
      <c r="D11" s="14" t="s">
        <v>3</v>
      </c>
      <c r="E11" s="9">
        <v>51681</v>
      </c>
      <c r="F11" s="14" t="s">
        <v>3</v>
      </c>
      <c r="G11" s="1"/>
    </row>
    <row r="12" spans="1:7" x14ac:dyDescent="0.25">
      <c r="A12" s="1"/>
      <c r="B12" s="32" t="s">
        <v>156</v>
      </c>
      <c r="C12" s="12">
        <f>SUM(C10:C11)</f>
        <v>9247</v>
      </c>
      <c r="D12" s="13" t="s">
        <v>3</v>
      </c>
      <c r="E12" s="12">
        <f>SUM(E10:E11)</f>
        <v>51681</v>
      </c>
      <c r="F12" s="13" t="s">
        <v>3</v>
      </c>
      <c r="G12" s="1"/>
    </row>
    <row r="13" spans="1:7" x14ac:dyDescent="0.25">
      <c r="A13" s="1"/>
      <c r="B13" s="32" t="s">
        <v>213</v>
      </c>
      <c r="C13" s="12">
        <f>C12*(1+'Fane 15. Nøgletal'!C15)</f>
        <v>9576.1932000000015</v>
      </c>
      <c r="D13" s="13" t="s">
        <v>3</v>
      </c>
      <c r="E13" s="12">
        <f>E12*(1+'Fane 15. Nøgletal'!C15)</f>
        <v>53520.843600000007</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5SZcfi2zY9fZq3IVVXL8dUpxUhqFVbOtK5JShJj3wgqAgX/DXA8n8KYl+YnwCzyNYwXjRYhpwEELDjGOs+ajrg==" saltValue="+ZUuMbzID6AFGuOHqTt+c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97</v>
      </c>
      <c r="C8" s="136"/>
      <c r="D8" s="136"/>
      <c r="E8" s="136"/>
      <c r="F8" s="137"/>
      <c r="G8" s="1"/>
    </row>
    <row r="9" spans="1:7" x14ac:dyDescent="0.25">
      <c r="A9" s="1"/>
      <c r="B9" s="84" t="s">
        <v>17</v>
      </c>
      <c r="C9" s="84" t="s">
        <v>11</v>
      </c>
      <c r="D9" s="85"/>
      <c r="E9" s="84" t="s">
        <v>31</v>
      </c>
      <c r="F9" s="31"/>
      <c r="G9" s="1"/>
    </row>
    <row r="10" spans="1:7" x14ac:dyDescent="0.25">
      <c r="A10" s="1"/>
      <c r="B10" s="23" t="s">
        <v>286</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br2LtV/Se1c3NrGjxZF+NiWyPbMdYIf3ens5Tw4XPvgfFThHcKPVZz+8UU1g7I24VNvQjZ2ad+6nrach+FudvA==" saltValue="fpA+2iQl9Vs0gJzxPad8h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258</v>
      </c>
      <c r="C3" s="128"/>
      <c r="D3" s="128"/>
      <c r="E3" s="128"/>
      <c r="F3" s="128"/>
      <c r="G3" s="1"/>
    </row>
    <row r="4" spans="1:7" ht="15" customHeight="1" x14ac:dyDescent="0.25">
      <c r="A4" s="1"/>
      <c r="B4" s="128"/>
      <c r="C4" s="128"/>
      <c r="D4" s="128"/>
      <c r="E4" s="128"/>
      <c r="F4" s="128"/>
      <c r="G4" s="1"/>
    </row>
    <row r="5" spans="1:7" x14ac:dyDescent="0.25">
      <c r="A5" s="1"/>
      <c r="B5" s="128"/>
      <c r="C5" s="128"/>
      <c r="D5" s="128"/>
      <c r="E5" s="128"/>
      <c r="F5" s="12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5" t="s">
        <v>91</v>
      </c>
      <c r="C9" s="136"/>
      <c r="D9" s="136"/>
      <c r="E9" s="136"/>
      <c r="F9" s="137"/>
      <c r="G9" s="1"/>
    </row>
    <row r="10" spans="1:7" x14ac:dyDescent="0.25">
      <c r="A10" s="1"/>
      <c r="B10" s="163" t="s">
        <v>224</v>
      </c>
      <c r="C10" s="164"/>
      <c r="D10" s="165"/>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24</v>
      </c>
      <c r="C12" s="130"/>
      <c r="D12" s="131"/>
      <c r="E12" s="9">
        <f>-E10*'Fane 15. Nøgletal'!C31</f>
        <v>0</v>
      </c>
      <c r="F12" s="14" t="s">
        <v>3</v>
      </c>
      <c r="G12" s="1"/>
    </row>
    <row r="13" spans="1:7" x14ac:dyDescent="0.25">
      <c r="A13" s="1"/>
      <c r="B13" s="135" t="s">
        <v>92</v>
      </c>
      <c r="C13" s="136"/>
      <c r="D13" s="137"/>
      <c r="E13" s="12">
        <f>SUM(E10:E12)*(1+'Fane 15. Nøgletal'!C15)^2</f>
        <v>0</v>
      </c>
      <c r="F13" s="13" t="s">
        <v>3</v>
      </c>
      <c r="G13" s="1"/>
    </row>
    <row r="14" spans="1:7" x14ac:dyDescent="0.25">
      <c r="A14" s="1"/>
      <c r="B14" s="1"/>
      <c r="C14" s="1"/>
      <c r="D14" s="1"/>
      <c r="E14" s="1"/>
      <c r="F14" s="1"/>
      <c r="G14" s="1"/>
    </row>
    <row r="15" spans="1:7" ht="15" customHeight="1" x14ac:dyDescent="0.25">
      <c r="A15" s="1"/>
      <c r="B15" s="135" t="s">
        <v>130</v>
      </c>
      <c r="C15" s="136"/>
      <c r="D15" s="136"/>
      <c r="E15" s="136"/>
      <c r="F15" s="137"/>
      <c r="G15" s="1"/>
    </row>
    <row r="16" spans="1:7" x14ac:dyDescent="0.25">
      <c r="A16" s="1"/>
      <c r="B16" s="163" t="s">
        <v>224</v>
      </c>
      <c r="C16" s="164"/>
      <c r="D16" s="165"/>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24</v>
      </c>
      <c r="C18" s="130"/>
      <c r="D18" s="131"/>
      <c r="E18" s="9">
        <f>-E16*'Fane 15. Nøgletal'!C31</f>
        <v>0</v>
      </c>
      <c r="F18" s="14" t="s">
        <v>3</v>
      </c>
      <c r="G18" s="1"/>
    </row>
    <row r="19" spans="1:7" x14ac:dyDescent="0.25">
      <c r="A19" s="1"/>
      <c r="B19" s="135" t="s">
        <v>131</v>
      </c>
      <c r="C19" s="136"/>
      <c r="D19" s="137"/>
      <c r="E19" s="12">
        <f>SUM(E16:E18)*(1+'Fane 15. Nøgletal'!C15)^3</f>
        <v>0</v>
      </c>
      <c r="F19" s="13" t="s">
        <v>3</v>
      </c>
      <c r="G19" s="1"/>
    </row>
    <row r="20" spans="1:7" x14ac:dyDescent="0.25">
      <c r="A20" s="1"/>
      <c r="B20" s="1"/>
      <c r="C20" s="1"/>
      <c r="D20" s="1"/>
      <c r="E20" s="1"/>
      <c r="F20" s="1"/>
      <c r="G20" s="1"/>
    </row>
    <row r="21" spans="1:7" ht="15" customHeight="1" x14ac:dyDescent="0.25">
      <c r="A21" s="1"/>
      <c r="B21" s="135" t="s">
        <v>157</v>
      </c>
      <c r="C21" s="136"/>
      <c r="D21" s="136"/>
      <c r="E21" s="136"/>
      <c r="F21" s="137"/>
      <c r="G21" s="1"/>
    </row>
    <row r="22" spans="1:7" x14ac:dyDescent="0.25">
      <c r="A22" s="1"/>
      <c r="B22" s="163" t="s">
        <v>224</v>
      </c>
      <c r="C22" s="164"/>
      <c r="D22" s="165"/>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24</v>
      </c>
      <c r="C24" s="130"/>
      <c r="D24" s="131"/>
      <c r="E24" s="9">
        <f>-E22*'Fane 15. Nøgletal'!C31</f>
        <v>0</v>
      </c>
      <c r="F24" s="14" t="s">
        <v>3</v>
      </c>
      <c r="G24" s="1"/>
    </row>
    <row r="25" spans="1:7" x14ac:dyDescent="0.25">
      <c r="A25" s="1"/>
      <c r="B25" s="135" t="s">
        <v>158</v>
      </c>
      <c r="C25" s="136"/>
      <c r="D25" s="137"/>
      <c r="E25" s="12">
        <f>SUM(E22:E24)*(1+'Fane 15. Nøgletal'!C15)^4</f>
        <v>0</v>
      </c>
      <c r="F25" s="13" t="s">
        <v>3</v>
      </c>
      <c r="G25" s="1"/>
    </row>
    <row r="26" spans="1:7" x14ac:dyDescent="0.25">
      <c r="A26" s="1"/>
      <c r="B26" s="1"/>
      <c r="C26" s="1"/>
      <c r="D26" s="1"/>
      <c r="E26" s="1"/>
      <c r="F26" s="1"/>
      <c r="G26" s="1"/>
    </row>
    <row r="27" spans="1:7" ht="15" customHeight="1" x14ac:dyDescent="0.25">
      <c r="A27" s="1"/>
      <c r="B27" s="135" t="s">
        <v>214</v>
      </c>
      <c r="C27" s="136"/>
      <c r="D27" s="136"/>
      <c r="E27" s="136"/>
      <c r="F27" s="137"/>
      <c r="G27" s="1"/>
    </row>
    <row r="28" spans="1:7" ht="14.25" customHeight="1" x14ac:dyDescent="0.25">
      <c r="A28" s="1"/>
      <c r="B28" s="163" t="s">
        <v>224</v>
      </c>
      <c r="C28" s="164"/>
      <c r="D28" s="165"/>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24</v>
      </c>
      <c r="C30" s="130"/>
      <c r="D30" s="131"/>
      <c r="E30" s="9">
        <f>-E28*'Fane 15. Nøgletal'!C31</f>
        <v>0</v>
      </c>
      <c r="F30" s="14" t="s">
        <v>3</v>
      </c>
      <c r="G30" s="1"/>
    </row>
    <row r="31" spans="1:7" x14ac:dyDescent="0.25">
      <c r="A31" s="1"/>
      <c r="B31" s="135" t="s">
        <v>215</v>
      </c>
      <c r="C31" s="136"/>
      <c r="D31" s="137"/>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7smaJI8cZ8XCBgV5CnXCINraFwJ4RAc4rfOJ8e7D09ANQneOFuSErQBi+rkCyXULDyJHNA9lmgV2mbzK6iNKw==" saltValue="i07n1kozp3SrQXQbUneGW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3.140625" style="2" customWidth="1"/>
    <col min="2" max="2" width="40.42578125" style="2" customWidth="1"/>
    <col min="3" max="3" width="15.5703125" style="2" customWidth="1"/>
    <col min="4" max="4" width="3.28515625" style="2" customWidth="1"/>
    <col min="5" max="5" width="17.140625" style="2"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259</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132</v>
      </c>
      <c r="C8" s="136"/>
      <c r="D8" s="136"/>
      <c r="E8" s="136"/>
      <c r="F8" s="137"/>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9rqVVjo048MEyWx3m5Qz83xgE5QLkGFYMSED5Gh1Qec0jRPE0z5u5uFsd2k+IQV5LkHpcLuaoGXI2hmTpTzBQw==" saltValue="OtFFpCi7PT6PFxb5YSR0W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260</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93</v>
      </c>
      <c r="C9" s="136"/>
      <c r="D9" s="136"/>
      <c r="E9" s="136"/>
      <c r="F9" s="137"/>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Jqp4xer4BwxXNOIAjUEgjjU6cXOV4LV/9uvFaYGJJDEABF/+14/h7pMOTlFbqJkwJSndv9t9FvnoH9rYGAXWTQ==" saltValue="sQLBmicDlgTVC02KOzWlO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6"/>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42501224.523257293</v>
      </c>
      <c r="D9" s="8" t="s">
        <v>3</v>
      </c>
      <c r="E9" s="1"/>
    </row>
    <row r="10" spans="1:5" ht="17.25" customHeight="1" x14ac:dyDescent="0.25">
      <c r="A10" s="1"/>
      <c r="B10" s="83" t="s">
        <v>39</v>
      </c>
      <c r="C10" s="7">
        <f>'Fane 11.1. Varige tillæg'!C13</f>
        <v>9576.1932000000015</v>
      </c>
      <c r="D10" s="8" t="s">
        <v>3</v>
      </c>
      <c r="E10" s="1"/>
    </row>
    <row r="11" spans="1:5" ht="17.25" customHeight="1" x14ac:dyDescent="0.25">
      <c r="A11" s="1"/>
      <c r="B11" s="83" t="s">
        <v>40</v>
      </c>
      <c r="C11" s="9">
        <f>'Fane 11.1. Varige tillæg'!E13</f>
        <v>53520.843600000007</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142500.29543682907</v>
      </c>
      <c r="D16" s="8" t="s">
        <v>3</v>
      </c>
      <c r="E16" s="1"/>
    </row>
    <row r="17" spans="1:5" ht="17.25" customHeight="1" x14ac:dyDescent="0.25">
      <c r="A17" s="1"/>
      <c r="B17" s="83" t="s">
        <v>10</v>
      </c>
      <c r="C17" s="44">
        <f>-SUM(C9,C10:C16)*'Fane 5. Individuelt eff. krav'!G9</f>
        <v>-350025.79639404092</v>
      </c>
      <c r="D17" s="8" t="s">
        <v>3</v>
      </c>
      <c r="E17" s="1"/>
    </row>
    <row r="18" spans="1:5" ht="17.25" customHeight="1" x14ac:dyDescent="0.25">
      <c r="A18" s="1"/>
      <c r="B18" s="83" t="s">
        <v>24</v>
      </c>
      <c r="C18" s="44">
        <f>-'Fane 4.1. Gen. krav - drift'!G45</f>
        <v>-299328.61668778682</v>
      </c>
      <c r="D18" s="8" t="s">
        <v>3</v>
      </c>
      <c r="E18" s="1"/>
    </row>
    <row r="19" spans="1:5" ht="17.25" customHeight="1" x14ac:dyDescent="0.25">
      <c r="A19" s="1"/>
      <c r="B19" s="83" t="s">
        <v>25</v>
      </c>
      <c r="C19" s="44">
        <f>-'Fane 4.2. Gen. krav - anlæg'!G43</f>
        <v>-467953.55450409534</v>
      </c>
      <c r="D19" s="8" t="s">
        <v>3</v>
      </c>
      <c r="E19" s="48"/>
    </row>
    <row r="20" spans="1:5" ht="17.25" customHeight="1" x14ac:dyDescent="0.25">
      <c r="A20" s="1"/>
      <c r="B20" s="89" t="s">
        <v>21</v>
      </c>
      <c r="C20" s="10">
        <f>SUM(C9:C19)</f>
        <v>41589513.88790819</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1780693.6487614401</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-739741</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42630466.536669627</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ZJRdhGz0cPuYTXjH/u+vdnwm+ogK6S2HJtF0GLCttrRq4eqQzxD56/VaeeOvOSiheRDhLEEsNCPGCqwsC24dmQ==" saltValue="sM9RG7MAa4zqPSMvMTgh+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8" t="s">
        <v>261</v>
      </c>
      <c r="C3" s="128"/>
      <c r="D3" s="1"/>
    </row>
    <row r="4" spans="1:4" ht="25.5" customHeight="1" x14ac:dyDescent="0.25">
      <c r="A4" s="1"/>
      <c r="B4" s="128"/>
      <c r="C4" s="12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oVo22IHOCciWqZWJ28q0ozLBHe2sAycdKJHy5E4xubdy7iVsrg8CwV7ad7QM5yiWc3shJe2mIix2lh0nNBOmbA==" saltValue="F40sZEY8BTRThAszZgM28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41589513.88790819</v>
      </c>
      <c r="D9" s="8" t="s">
        <v>3</v>
      </c>
      <c r="E9" s="1"/>
    </row>
    <row r="10" spans="1:5" ht="15" customHeight="1" x14ac:dyDescent="0.25">
      <c r="A10" s="1"/>
      <c r="B10" s="25" t="s">
        <v>19</v>
      </c>
      <c r="C10" s="7">
        <f>SUM(C9:C9)*'Fane 15. Nøgletal'!C15</f>
        <v>1480586.6944095315</v>
      </c>
      <c r="D10" s="8" t="s">
        <v>3</v>
      </c>
      <c r="E10" s="1"/>
    </row>
    <row r="11" spans="1:5" ht="15" customHeight="1" x14ac:dyDescent="0.25">
      <c r="A11" s="1"/>
      <c r="B11" s="25" t="s">
        <v>10</v>
      </c>
      <c r="C11" s="9">
        <f>-SUM(C9:C10)*'Fane 5. Individuelt eff. krav'!G9</f>
        <v>-353003.23466139089</v>
      </c>
      <c r="D11" s="8" t="s">
        <v>3</v>
      </c>
      <c r="E11" s="1"/>
    </row>
    <row r="12" spans="1:5" ht="15" customHeight="1" x14ac:dyDescent="0.25">
      <c r="A12" s="1"/>
      <c r="B12" s="25" t="s">
        <v>24</v>
      </c>
      <c r="C12" s="9">
        <f>-'Fane 4.1. Gen. krav - drift'!G53</f>
        <v>-303785.02113303455</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42413312.326523297</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omk.'!C21+'Fane 6. Ikke-påvirkelige omk.'!C29</f>
        <v>1159603.4158573474</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-263999.32458469085</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43308916.417795949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hc8fMBtOrFS81lW+5SUaMOzUY3xhwlh14Wb+1fnZbbnjed2IJ/wsjw8gFU3LHNgWpebNIMOay/I8/Wx223TaHQ==" saltValue="Yy2BzGuaGbobWFJfdppXZ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42413312.326523297</v>
      </c>
      <c r="D9" s="8" t="s">
        <v>3</v>
      </c>
      <c r="E9" s="1"/>
    </row>
    <row r="10" spans="1:5" ht="15" customHeight="1" x14ac:dyDescent="0.25">
      <c r="A10" s="1"/>
      <c r="B10" s="25" t="s">
        <v>19</v>
      </c>
      <c r="C10" s="7">
        <f>SUM(C9:C9)*'Fane 15. Nøgletal'!C15</f>
        <v>1509913.9188242294</v>
      </c>
      <c r="D10" s="8" t="s">
        <v>3</v>
      </c>
      <c r="E10" s="1"/>
    </row>
    <row r="11" spans="1:5" ht="15" customHeight="1" x14ac:dyDescent="0.25">
      <c r="A11" s="1"/>
      <c r="B11" s="25" t="s">
        <v>10</v>
      </c>
      <c r="C11" s="9">
        <f>-SUM(C9:C10)*'Fane 5. Individuelt eff. krav'!G9</f>
        <v>-359995.46626871161</v>
      </c>
      <c r="D11" s="8" t="s">
        <v>3</v>
      </c>
      <c r="E11" s="1"/>
    </row>
    <row r="12" spans="1:5" ht="15" customHeight="1" x14ac:dyDescent="0.25">
      <c r="A12" s="1"/>
      <c r="B12" s="25" t="s">
        <v>24</v>
      </c>
      <c r="C12" s="9">
        <f>-'Fane 4.1. Gen. krav - drift'!G58</f>
        <v>-308307.77252766321</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43254923.006551154</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1200885.297461869</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-263999.32458469085</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44191808.979428329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UYFohHzidWk+s35T4F1ZPtbDgoDQZ7NMuulKy5UH6QxmJ1yzAL8PipBvcNAX5q/8cBykhzGGtjfPOJq6vsM6kw==" saltValue="Tk1fdNdEiTJSG5qEOrUAA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43254923.006551154</v>
      </c>
      <c r="D9" s="8" t="s">
        <v>3</v>
      </c>
      <c r="E9" s="1"/>
    </row>
    <row r="10" spans="1:5" ht="15" customHeight="1" x14ac:dyDescent="0.25">
      <c r="A10" s="1"/>
      <c r="B10" s="25" t="s">
        <v>19</v>
      </c>
      <c r="C10" s="7">
        <f>SUM(C9:C9)*'Fane 15. Nøgletal'!C15</f>
        <v>1539875.2590332211</v>
      </c>
      <c r="D10" s="8" t="s">
        <v>3</v>
      </c>
      <c r="E10" s="1"/>
    </row>
    <row r="11" spans="1:5" ht="15" customHeight="1" x14ac:dyDescent="0.25">
      <c r="A11" s="1"/>
      <c r="B11" s="25" t="s">
        <v>10</v>
      </c>
      <c r="C11" s="9">
        <f>-SUM(C9:C10)*'Fane 5. Individuelt eff. krav'!G9</f>
        <v>-367138.88451534277</v>
      </c>
      <c r="D11" s="8" t="s">
        <v>3</v>
      </c>
      <c r="E11" s="1"/>
    </row>
    <row r="12" spans="1:5" ht="15" customHeight="1" x14ac:dyDescent="0.25">
      <c r="A12" s="1"/>
      <c r="B12" s="25" t="s">
        <v>24</v>
      </c>
      <c r="C12" s="9">
        <f>-'Fane 4.1. Gen. krav - drift'!G63</f>
        <v>-312897.85864505509</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44114761.522423975</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1243636.8140515117</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-263999.32458469085</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45094399.011890791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VMA4x6sp/uon0B69RjxYoL5lIK+uUztolLRTfhKhogDPIsSEgsZMTS5DY51x+aa76PVie+/WrJkGilm3F8e3uA==" saltValue="N9hVRkHaYH5XYxE3HK9rL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0"/>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191</v>
      </c>
      <c r="C3" s="128"/>
      <c r="D3" s="128"/>
      <c r="E3" s="128"/>
      <c r="F3" s="128"/>
      <c r="G3" s="1"/>
    </row>
    <row r="4" spans="1:7" ht="29.2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25" t="s">
        <v>192</v>
      </c>
      <c r="C9" s="126"/>
      <c r="D9" s="127"/>
      <c r="E9" s="7">
        <v>42013439.830088221</v>
      </c>
      <c r="F9" s="8" t="s">
        <v>3</v>
      </c>
      <c r="G9" s="1"/>
    </row>
    <row r="10" spans="1:7" ht="15" customHeight="1" x14ac:dyDescent="0.25">
      <c r="A10" s="1"/>
      <c r="B10" s="129" t="s">
        <v>39</v>
      </c>
      <c r="C10" s="130"/>
      <c r="D10" s="131"/>
      <c r="E10" s="7">
        <v>212295.27010000002</v>
      </c>
      <c r="F10" s="8" t="s">
        <v>3</v>
      </c>
      <c r="G10" s="1"/>
    </row>
    <row r="11" spans="1:7" ht="15" customHeight="1" x14ac:dyDescent="0.25">
      <c r="A11" s="1"/>
      <c r="B11" s="129" t="s">
        <v>40</v>
      </c>
      <c r="C11" s="130"/>
      <c r="D11" s="131"/>
      <c r="E11" s="9">
        <v>1267260.2036000001</v>
      </c>
      <c r="F11" s="8" t="s">
        <v>3</v>
      </c>
      <c r="G11" s="1"/>
    </row>
    <row r="12" spans="1:7" ht="15" customHeight="1" x14ac:dyDescent="0.25">
      <c r="A12" s="1"/>
      <c r="B12" s="129" t="s">
        <v>27</v>
      </c>
      <c r="C12" s="130"/>
      <c r="D12" s="131"/>
      <c r="E12" s="9">
        <v>0</v>
      </c>
      <c r="F12" s="8" t="s">
        <v>3</v>
      </c>
      <c r="G12" s="1"/>
    </row>
    <row r="13" spans="1:7" ht="15" customHeight="1" x14ac:dyDescent="0.25">
      <c r="A13" s="1"/>
      <c r="B13" s="125" t="s">
        <v>26</v>
      </c>
      <c r="C13" s="126"/>
      <c r="D13" s="127"/>
      <c r="E13" s="9">
        <v>0</v>
      </c>
      <c r="F13" s="8" t="s">
        <v>3</v>
      </c>
      <c r="G13" s="1"/>
    </row>
    <row r="14" spans="1:7" ht="15" customHeight="1" x14ac:dyDescent="0.25">
      <c r="A14" s="1"/>
      <c r="B14" s="125" t="s">
        <v>29</v>
      </c>
      <c r="C14" s="126"/>
      <c r="D14" s="127"/>
      <c r="E14" s="9">
        <v>0</v>
      </c>
      <c r="F14" s="8" t="s">
        <v>3</v>
      </c>
      <c r="G14" s="1"/>
    </row>
    <row r="15" spans="1:7" ht="15" customHeight="1" x14ac:dyDescent="0.25">
      <c r="A15" s="1"/>
      <c r="B15" s="125" t="s">
        <v>28</v>
      </c>
      <c r="C15" s="126"/>
      <c r="D15" s="127"/>
      <c r="E15" s="9">
        <v>0</v>
      </c>
      <c r="F15" s="8" t="s">
        <v>3</v>
      </c>
      <c r="G15" s="1"/>
    </row>
    <row r="16" spans="1:7" ht="15" customHeight="1" x14ac:dyDescent="0.25">
      <c r="A16" s="1"/>
      <c r="B16" s="125" t="s">
        <v>19</v>
      </c>
      <c r="C16" s="126"/>
      <c r="D16" s="127"/>
      <c r="E16" s="9">
        <f>SUM(E9:E15)*'Fane 15. Nøgletal'!C14</f>
        <v>143526.88450250111</v>
      </c>
      <c r="F16" s="8" t="s">
        <v>3</v>
      </c>
      <c r="G16" s="1"/>
    </row>
    <row r="17" spans="1:7" ht="15" customHeight="1" x14ac:dyDescent="0.25">
      <c r="A17" s="1"/>
      <c r="B17" s="125" t="s">
        <v>10</v>
      </c>
      <c r="C17" s="126"/>
      <c r="D17" s="127"/>
      <c r="E17" s="9">
        <v>-357645.63522204</v>
      </c>
      <c r="F17" s="8" t="s">
        <v>3</v>
      </c>
      <c r="G17" s="1"/>
    </row>
    <row r="18" spans="1:7" ht="15" customHeight="1" x14ac:dyDescent="0.25">
      <c r="A18" s="1"/>
      <c r="B18" s="125" t="s">
        <v>24</v>
      </c>
      <c r="C18" s="126"/>
      <c r="D18" s="127"/>
      <c r="E18" s="9">
        <f>-'Fane 4.1. Gen. krav - drift'!G39</f>
        <v>-304231.01171667007</v>
      </c>
      <c r="F18" s="8" t="s">
        <v>3</v>
      </c>
      <c r="G18" s="1"/>
    </row>
    <row r="19" spans="1:7" ht="15" customHeight="1" x14ac:dyDescent="0.25">
      <c r="A19" s="1"/>
      <c r="B19" s="125" t="s">
        <v>25</v>
      </c>
      <c r="C19" s="126"/>
      <c r="D19" s="127"/>
      <c r="E19" s="9">
        <f>-'Fane 4.2. Gen. krav - anlæg'!G37</f>
        <v>-473421.01809470821</v>
      </c>
      <c r="F19" s="8" t="s">
        <v>3</v>
      </c>
      <c r="G19" s="1"/>
    </row>
    <row r="20" spans="1:7" ht="15" customHeight="1" x14ac:dyDescent="0.25">
      <c r="A20" s="1"/>
      <c r="B20" s="54" t="s">
        <v>21</v>
      </c>
      <c r="C20" s="99"/>
      <c r="D20" s="101"/>
      <c r="E20" s="51">
        <f>SUM(E9:E19)</f>
        <v>42501224.523257293</v>
      </c>
      <c r="F20" s="53" t="s">
        <v>3</v>
      </c>
      <c r="G20" s="1"/>
    </row>
    <row r="21" spans="1:7" ht="15" customHeight="1" x14ac:dyDescent="0.25">
      <c r="A21" s="1"/>
      <c r="B21" s="32" t="s">
        <v>12</v>
      </c>
      <c r="C21" s="27"/>
      <c r="D21" s="27"/>
      <c r="E21" s="27"/>
      <c r="F21" s="19"/>
      <c r="G21" s="1"/>
    </row>
    <row r="22" spans="1:7" ht="15" customHeight="1" x14ac:dyDescent="0.25">
      <c r="A22" s="1"/>
      <c r="B22" s="132" t="s">
        <v>12</v>
      </c>
      <c r="C22" s="133"/>
      <c r="D22" s="134"/>
      <c r="E22" s="10">
        <v>2444259.1394531601</v>
      </c>
      <c r="F22" s="11" t="s">
        <v>3</v>
      </c>
      <c r="G22" s="1"/>
    </row>
    <row r="23" spans="1:7" ht="15" customHeight="1" x14ac:dyDescent="0.25">
      <c r="A23" s="1"/>
      <c r="B23" s="135" t="s">
        <v>86</v>
      </c>
      <c r="C23" s="136"/>
      <c r="D23" s="137"/>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9" t="s">
        <v>81</v>
      </c>
      <c r="C26" s="130"/>
      <c r="D26" s="131"/>
      <c r="E26" s="9">
        <v>0</v>
      </c>
      <c r="F26" s="8" t="s">
        <v>3</v>
      </c>
      <c r="G26" s="1"/>
    </row>
    <row r="27" spans="1:7" ht="15" customHeight="1" x14ac:dyDescent="0.25">
      <c r="A27" s="1"/>
      <c r="B27" s="129" t="s">
        <v>82</v>
      </c>
      <c r="C27" s="130"/>
      <c r="D27" s="130"/>
      <c r="E27" s="9">
        <v>0</v>
      </c>
      <c r="F27" s="8" t="s">
        <v>3</v>
      </c>
      <c r="G27" s="1"/>
    </row>
    <row r="28" spans="1:7" ht="15" customHeight="1" x14ac:dyDescent="0.25">
      <c r="A28" s="1"/>
      <c r="B28" s="138" t="s">
        <v>87</v>
      </c>
      <c r="C28" s="139"/>
      <c r="D28" s="139"/>
      <c r="E28" s="39">
        <v>0</v>
      </c>
      <c r="F28" s="11" t="s">
        <v>3</v>
      </c>
      <c r="G28" s="1"/>
    </row>
    <row r="29" spans="1:7" ht="15" customHeight="1" x14ac:dyDescent="0.25">
      <c r="A29" s="1"/>
      <c r="B29" s="32" t="s">
        <v>143</v>
      </c>
      <c r="C29" s="32"/>
      <c r="D29" s="32"/>
      <c r="E29" s="27"/>
      <c r="F29" s="19"/>
      <c r="G29" s="1"/>
    </row>
    <row r="30" spans="1:7" ht="15" customHeight="1" x14ac:dyDescent="0.25">
      <c r="A30" s="1"/>
      <c r="B30" s="132" t="s">
        <v>142</v>
      </c>
      <c r="C30" s="133"/>
      <c r="D30" s="133"/>
      <c r="E30" s="39">
        <v>0</v>
      </c>
      <c r="F30" s="11" t="s">
        <v>3</v>
      </c>
      <c r="G30" s="1"/>
    </row>
    <row r="31" spans="1:7" x14ac:dyDescent="0.25">
      <c r="A31" s="1"/>
      <c r="B31" s="32" t="s">
        <v>123</v>
      </c>
      <c r="C31" s="27"/>
      <c r="D31" s="27"/>
      <c r="E31" s="27"/>
      <c r="F31" s="19"/>
      <c r="G31" s="1"/>
    </row>
    <row r="32" spans="1:7" ht="15.4" customHeight="1" x14ac:dyDescent="0.25">
      <c r="A32" s="1"/>
      <c r="B32" s="132" t="s">
        <v>123</v>
      </c>
      <c r="C32" s="133"/>
      <c r="D32" s="134"/>
      <c r="E32" s="10">
        <v>-739675</v>
      </c>
      <c r="F32" s="11" t="s">
        <v>3</v>
      </c>
      <c r="G32" s="1"/>
    </row>
    <row r="33" spans="1:7" ht="15.4" customHeight="1" x14ac:dyDescent="0.25">
      <c r="A33" s="1"/>
      <c r="B33" s="135" t="s">
        <v>175</v>
      </c>
      <c r="C33" s="136"/>
      <c r="D33" s="136"/>
      <c r="E33" s="136"/>
      <c r="F33" s="137"/>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44205808.662710451</v>
      </c>
      <c r="F35" s="52" t="s">
        <v>3</v>
      </c>
      <c r="G35" s="1"/>
    </row>
    <row r="36" spans="1:7" ht="27" customHeight="1" x14ac:dyDescent="0.25">
      <c r="A36" s="1"/>
      <c r="B36" s="125" t="s">
        <v>222</v>
      </c>
      <c r="C36" s="126"/>
      <c r="D36" s="126"/>
      <c r="E36" s="126"/>
      <c r="F36" s="127"/>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49"/>
      <c r="B47" s="49"/>
      <c r="C47" s="49"/>
      <c r="D47" s="49"/>
      <c r="E47" s="49"/>
      <c r="F47" s="49"/>
      <c r="G47" s="49"/>
    </row>
    <row r="48" spans="1:7" x14ac:dyDescent="0.25">
      <c r="A48" s="49"/>
      <c r="B48" s="49"/>
      <c r="C48" s="49"/>
      <c r="D48" s="49"/>
      <c r="E48" s="49"/>
      <c r="F48" s="49"/>
      <c r="G48" s="49"/>
    </row>
    <row r="49" spans="1:7" x14ac:dyDescent="0.25">
      <c r="A49" s="49"/>
      <c r="B49" s="49"/>
      <c r="C49" s="49"/>
      <c r="D49" s="49"/>
      <c r="E49" s="49"/>
      <c r="F49" s="49"/>
      <c r="G49" s="49"/>
    </row>
    <row r="50" spans="1:7" x14ac:dyDescent="0.25">
      <c r="A50" s="49"/>
      <c r="B50" s="49"/>
      <c r="C50" s="49"/>
      <c r="D50" s="49"/>
      <c r="E50" s="49"/>
      <c r="F50" s="49"/>
      <c r="G50" s="49"/>
    </row>
  </sheetData>
  <sheetProtection algorithmName="SHA-512" hashValue="qPx65Qaqy93JSxzIzE+loAVAVdILhd9sSt70af47wRj3KjtuVanIcBNusYPoBoOOFK0tWmuyciSYIlIakf4bTw==" saltValue="aS9Eq73QX0FifvMK2hfppA=="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3.5703125" style="2" customWidth="1"/>
    <col min="2" max="5" width="9.140625" style="2"/>
    <col min="6" max="6" width="20.42578125" style="2" customWidth="1"/>
    <col min="7" max="7" width="17.7109375" style="2" customWidth="1"/>
    <col min="8" max="8" width="3.42578125" style="2" customWidth="1"/>
    <col min="9" max="9" width="3.57031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8" t="s">
        <v>109</v>
      </c>
      <c r="C2" s="128"/>
      <c r="D2" s="128"/>
      <c r="E2" s="128"/>
      <c r="F2" s="128"/>
      <c r="G2" s="128"/>
      <c r="H2" s="128"/>
      <c r="I2" s="1"/>
    </row>
    <row r="3" spans="1:9" ht="28.5" customHeight="1" x14ac:dyDescent="0.25">
      <c r="A3" s="1"/>
      <c r="B3" s="128"/>
      <c r="C3" s="128"/>
      <c r="D3" s="128"/>
      <c r="E3" s="128"/>
      <c r="F3" s="128"/>
      <c r="G3" s="128"/>
      <c r="H3" s="128"/>
      <c r="I3" s="1"/>
    </row>
    <row r="4" spans="1:9" x14ac:dyDescent="0.25">
      <c r="A4" s="1"/>
      <c r="B4" s="135" t="s">
        <v>52</v>
      </c>
      <c r="C4" s="136"/>
      <c r="D4" s="136"/>
      <c r="E4" s="136"/>
      <c r="F4" s="136"/>
      <c r="G4" s="136"/>
      <c r="H4" s="137"/>
      <c r="I4" s="1"/>
    </row>
    <row r="5" spans="1:9" x14ac:dyDescent="0.25">
      <c r="A5" s="1"/>
      <c r="B5" s="140" t="s">
        <v>41</v>
      </c>
      <c r="C5" s="141"/>
      <c r="D5" s="141"/>
      <c r="E5" s="141"/>
      <c r="F5" s="142"/>
      <c r="G5" s="76">
        <v>15067392</v>
      </c>
      <c r="H5" s="14" t="s">
        <v>3</v>
      </c>
      <c r="I5" s="1"/>
    </row>
    <row r="6" spans="1:9" x14ac:dyDescent="0.25">
      <c r="A6" s="1"/>
      <c r="B6" s="125" t="s">
        <v>120</v>
      </c>
      <c r="C6" s="126"/>
      <c r="D6" s="126"/>
      <c r="E6" s="126"/>
      <c r="F6" s="127"/>
      <c r="G6" s="77">
        <v>0</v>
      </c>
      <c r="H6" s="14" t="s">
        <v>3</v>
      </c>
      <c r="I6" s="1"/>
    </row>
    <row r="7" spans="1:9" x14ac:dyDescent="0.25">
      <c r="A7" s="1"/>
      <c r="B7" s="140" t="s">
        <v>42</v>
      </c>
      <c r="C7" s="141"/>
      <c r="D7" s="141"/>
      <c r="E7" s="141"/>
      <c r="F7" s="142"/>
      <c r="G7" s="76">
        <f>SUM(G5:G6)*'Fane 15. Nøgletal'!C31</f>
        <v>301347.84000000003</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5" t="s">
        <v>53</v>
      </c>
      <c r="C10" s="136"/>
      <c r="D10" s="136"/>
      <c r="E10" s="136"/>
      <c r="F10" s="136"/>
      <c r="G10" s="143"/>
      <c r="H10" s="137"/>
      <c r="I10" s="1"/>
    </row>
    <row r="11" spans="1:9" x14ac:dyDescent="0.25">
      <c r="A11" s="1"/>
      <c r="B11" s="140" t="s">
        <v>43</v>
      </c>
      <c r="C11" s="141"/>
      <c r="D11" s="141"/>
      <c r="E11" s="141"/>
      <c r="F11" s="142"/>
      <c r="G11" s="76">
        <f>(G5-G7)*(1+'Fane 15. Nøgletal'!C10)</f>
        <v>15024449.932800001</v>
      </c>
      <c r="H11" s="14" t="s">
        <v>3</v>
      </c>
      <c r="I11" s="1"/>
    </row>
    <row r="12" spans="1:9" ht="15" customHeight="1" x14ac:dyDescent="0.25">
      <c r="A12" s="1"/>
      <c r="B12" s="140" t="s">
        <v>121</v>
      </c>
      <c r="C12" s="141"/>
      <c r="D12" s="141"/>
      <c r="E12" s="141"/>
      <c r="F12" s="142"/>
      <c r="G12" s="77">
        <v>-10265.46849770512</v>
      </c>
      <c r="H12" s="14" t="s">
        <v>3</v>
      </c>
      <c r="I12" s="1"/>
    </row>
    <row r="13" spans="1:9" x14ac:dyDescent="0.25">
      <c r="A13" s="1"/>
      <c r="B13" s="125" t="s">
        <v>118</v>
      </c>
      <c r="C13" s="126"/>
      <c r="D13" s="126"/>
      <c r="E13" s="126"/>
      <c r="F13" s="127"/>
      <c r="G13" s="77">
        <v>0</v>
      </c>
      <c r="H13" s="14" t="s">
        <v>3</v>
      </c>
      <c r="I13" s="1"/>
    </row>
    <row r="14" spans="1:9" x14ac:dyDescent="0.25">
      <c r="A14" s="1"/>
      <c r="B14" s="147" t="s">
        <v>44</v>
      </c>
      <c r="C14" s="148"/>
      <c r="D14" s="148"/>
      <c r="E14" s="148"/>
      <c r="F14" s="149"/>
      <c r="G14" s="77">
        <v>0</v>
      </c>
      <c r="H14" s="14" t="s">
        <v>3</v>
      </c>
      <c r="I14" s="1"/>
    </row>
    <row r="15" spans="1:9" x14ac:dyDescent="0.25">
      <c r="A15" s="1"/>
      <c r="B15" s="140" t="s">
        <v>45</v>
      </c>
      <c r="C15" s="141"/>
      <c r="D15" s="141"/>
      <c r="E15" s="141"/>
      <c r="F15" s="142"/>
      <c r="G15" s="76">
        <f>SUM(G11:G14)*'Fane 15. Nøgletal'!C31</f>
        <v>300283.6892860459</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5" t="s">
        <v>54</v>
      </c>
      <c r="C18" s="136"/>
      <c r="D18" s="136"/>
      <c r="E18" s="136"/>
      <c r="F18" s="136"/>
      <c r="G18" s="143"/>
      <c r="H18" s="137"/>
      <c r="I18" s="1"/>
    </row>
    <row r="19" spans="1:9" x14ac:dyDescent="0.25">
      <c r="A19" s="1"/>
      <c r="B19" s="140" t="s">
        <v>46</v>
      </c>
      <c r="C19" s="141"/>
      <c r="D19" s="141"/>
      <c r="E19" s="141"/>
      <c r="F19" s="142"/>
      <c r="G19" s="76">
        <f>(SUM(G11:G12,G14)-(G15))*(1+'Fane 15. Nøgletal'!C10)</f>
        <v>14971394.038579036</v>
      </c>
      <c r="H19" s="14" t="s">
        <v>3</v>
      </c>
      <c r="I19" s="1"/>
    </row>
    <row r="20" spans="1:9" x14ac:dyDescent="0.25">
      <c r="A20" s="1"/>
      <c r="B20" s="147" t="s">
        <v>47</v>
      </c>
      <c r="C20" s="148"/>
      <c r="D20" s="148"/>
      <c r="E20" s="148"/>
      <c r="F20" s="149"/>
      <c r="G20" s="77">
        <v>0</v>
      </c>
      <c r="H20" s="14" t="s">
        <v>3</v>
      </c>
      <c r="I20" s="1"/>
    </row>
    <row r="21" spans="1:9" x14ac:dyDescent="0.25">
      <c r="A21" s="1"/>
      <c r="B21" s="140" t="s">
        <v>48</v>
      </c>
      <c r="C21" s="141"/>
      <c r="D21" s="141"/>
      <c r="E21" s="141"/>
      <c r="F21" s="142"/>
      <c r="G21" s="76">
        <f>SUM(G19:G20)*'Fane 15. Nøgletal'!C31</f>
        <v>299427.88077158073</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5" t="s">
        <v>55</v>
      </c>
      <c r="C24" s="136"/>
      <c r="D24" s="136"/>
      <c r="E24" s="136"/>
      <c r="F24" s="136"/>
      <c r="G24" s="143"/>
      <c r="H24" s="137"/>
      <c r="I24" s="1"/>
    </row>
    <row r="25" spans="1:9" x14ac:dyDescent="0.25">
      <c r="A25" s="1"/>
      <c r="B25" s="140" t="s">
        <v>49</v>
      </c>
      <c r="C25" s="141"/>
      <c r="D25" s="141"/>
      <c r="E25" s="141"/>
      <c r="F25" s="142"/>
      <c r="G25" s="76">
        <f>(G19+G20-G21)*(1+'Fane 15. Nøgletal'!C12)</f>
        <v>14961003.891116261</v>
      </c>
      <c r="H25" s="14" t="s">
        <v>3</v>
      </c>
      <c r="I25" s="1"/>
    </row>
    <row r="26" spans="1:9" x14ac:dyDescent="0.25">
      <c r="A26" s="1"/>
      <c r="B26" s="147" t="s">
        <v>50</v>
      </c>
      <c r="C26" s="148"/>
      <c r="D26" s="148"/>
      <c r="E26" s="148"/>
      <c r="F26" s="149"/>
      <c r="G26" s="77">
        <v>266076.57329055003</v>
      </c>
      <c r="H26" s="14" t="s">
        <v>3</v>
      </c>
      <c r="I26" s="1"/>
    </row>
    <row r="27" spans="1:9" x14ac:dyDescent="0.25">
      <c r="A27" s="1"/>
      <c r="B27" s="140" t="s">
        <v>51</v>
      </c>
      <c r="C27" s="141"/>
      <c r="D27" s="141"/>
      <c r="E27" s="141"/>
      <c r="F27" s="142"/>
      <c r="G27" s="76">
        <f>(G25+G26)*'Fane 15. Nøgletal'!C31</f>
        <v>304541.60928813624</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5" t="s">
        <v>58</v>
      </c>
      <c r="C30" s="136"/>
      <c r="D30" s="136"/>
      <c r="E30" s="136"/>
      <c r="F30" s="136"/>
      <c r="G30" s="143"/>
      <c r="H30" s="137"/>
      <c r="I30" s="1"/>
    </row>
    <row r="31" spans="1:9" x14ac:dyDescent="0.25">
      <c r="A31" s="1"/>
      <c r="B31" s="140" t="s">
        <v>59</v>
      </c>
      <c r="C31" s="141"/>
      <c r="D31" s="141"/>
      <c r="E31" s="141"/>
      <c r="F31" s="142"/>
      <c r="G31" s="76">
        <f>(G25+G26-G27)*(1+'Fane 15. Nøgletal'!C12)</f>
        <v>15216512.870564513</v>
      </c>
      <c r="H31" s="14" t="s">
        <v>3</v>
      </c>
      <c r="I31" s="1"/>
    </row>
    <row r="32" spans="1:9" x14ac:dyDescent="0.25">
      <c r="A32" s="1"/>
      <c r="B32" s="140" t="s">
        <v>137</v>
      </c>
      <c r="C32" s="141"/>
      <c r="D32" s="141"/>
      <c r="E32" s="141"/>
      <c r="F32" s="142"/>
      <c r="G32" s="76">
        <v>37795.606707599996</v>
      </c>
      <c r="H32" s="14" t="s">
        <v>3</v>
      </c>
      <c r="I32" s="1"/>
    </row>
    <row r="33" spans="1:9" x14ac:dyDescent="0.25">
      <c r="A33" s="1"/>
      <c r="B33" s="140" t="s">
        <v>60</v>
      </c>
      <c r="C33" s="141"/>
      <c r="D33" s="141"/>
      <c r="E33" s="141"/>
      <c r="F33" s="142"/>
      <c r="G33" s="76">
        <f>(G31+G32)*'Fane 15. Nøgletal'!C31</f>
        <v>305086.16954544227</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5" t="s">
        <v>160</v>
      </c>
      <c r="C36" s="136"/>
      <c r="D36" s="136"/>
      <c r="E36" s="136"/>
      <c r="F36" s="136"/>
      <c r="G36" s="143"/>
      <c r="H36" s="137"/>
      <c r="I36" s="1"/>
    </row>
    <row r="37" spans="1:9" x14ac:dyDescent="0.25">
      <c r="A37" s="1"/>
      <c r="B37" s="140" t="s">
        <v>79</v>
      </c>
      <c r="C37" s="141"/>
      <c r="D37" s="141"/>
      <c r="E37" s="141"/>
      <c r="F37" s="142"/>
      <c r="G37" s="76">
        <f>(G31+G32-G33)*(1+'Fane 15. Nøgletal'!C14)</f>
        <v>14998554.741342172</v>
      </c>
      <c r="H37" s="14" t="s">
        <v>3</v>
      </c>
      <c r="I37" s="1"/>
    </row>
    <row r="38" spans="1:9" x14ac:dyDescent="0.25">
      <c r="A38" s="1"/>
      <c r="B38" s="140" t="s">
        <v>164</v>
      </c>
      <c r="C38" s="141"/>
      <c r="D38" s="141"/>
      <c r="E38" s="141"/>
      <c r="F38" s="142"/>
      <c r="G38" s="76">
        <v>212995.84449133003</v>
      </c>
      <c r="H38" s="14" t="s">
        <v>3</v>
      </c>
      <c r="I38" s="1"/>
    </row>
    <row r="39" spans="1:9" x14ac:dyDescent="0.25">
      <c r="A39" s="1"/>
      <c r="B39" s="140" t="s">
        <v>162</v>
      </c>
      <c r="C39" s="141"/>
      <c r="D39" s="141"/>
      <c r="E39" s="141"/>
      <c r="F39" s="142"/>
      <c r="G39" s="76">
        <f>(G37+G38)*'Fane 15. Nøgletal'!C31</f>
        <v>304231.01171667007</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5" t="s">
        <v>161</v>
      </c>
      <c r="C42" s="136"/>
      <c r="D42" s="136"/>
      <c r="E42" s="136"/>
      <c r="F42" s="136"/>
      <c r="G42" s="143"/>
      <c r="H42" s="137"/>
      <c r="I42" s="1"/>
    </row>
    <row r="43" spans="1:9" x14ac:dyDescent="0.25">
      <c r="A43" s="1"/>
      <c r="B43" s="140" t="s">
        <v>228</v>
      </c>
      <c r="C43" s="141"/>
      <c r="D43" s="141"/>
      <c r="E43" s="141"/>
      <c r="F43" s="142"/>
      <c r="G43" s="76">
        <f>(G37+G38-G39)*(1+'Fane 15. Nøgletal'!C14)</f>
        <v>14956513.728711421</v>
      </c>
      <c r="H43" s="14" t="s">
        <v>3</v>
      </c>
      <c r="I43" s="1"/>
    </row>
    <row r="44" spans="1:9" x14ac:dyDescent="0.25">
      <c r="A44" s="1"/>
      <c r="B44" s="144" t="s">
        <v>230</v>
      </c>
      <c r="C44" s="145"/>
      <c r="D44" s="145"/>
      <c r="E44" s="145"/>
      <c r="F44" s="146"/>
      <c r="G44" s="80">
        <f>('Fane 2.1. Økonomisk ramme 2023'!C10+'Fane 2.1. Økonomisk ramme 2023'!C12+'Fane 2.1. Økonomisk ramme 2023'!C14)*(1+'Fane 15. Nøgletal'!C15)</f>
        <v>9917.1056779200026</v>
      </c>
      <c r="H44" s="14" t="s">
        <v>3</v>
      </c>
      <c r="I44" s="1"/>
    </row>
    <row r="45" spans="1:9" x14ac:dyDescent="0.25">
      <c r="A45" s="1"/>
      <c r="B45" s="140" t="s">
        <v>163</v>
      </c>
      <c r="C45" s="141"/>
      <c r="D45" s="141"/>
      <c r="E45" s="141"/>
      <c r="F45" s="142"/>
      <c r="G45" s="76">
        <f>SUM(G43:G44)*'Fane 15. Nøgletal'!C31</f>
        <v>299328.61668778682</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5" t="s">
        <v>241</v>
      </c>
      <c r="C51" s="136"/>
      <c r="D51" s="136"/>
      <c r="E51" s="136"/>
      <c r="F51" s="136"/>
      <c r="G51" s="143"/>
      <c r="H51" s="137"/>
      <c r="I51" s="1"/>
    </row>
    <row r="52" spans="1:9" x14ac:dyDescent="0.25">
      <c r="A52" s="1"/>
      <c r="B52" s="140" t="s">
        <v>227</v>
      </c>
      <c r="C52" s="141"/>
      <c r="D52" s="141"/>
      <c r="E52" s="141"/>
      <c r="F52" s="142"/>
      <c r="G52" s="76">
        <f>(G43+G44-G45)*(1+'Fane 15. Nøgletal'!C15)</f>
        <v>15189251.056651728</v>
      </c>
      <c r="H52" s="14" t="s">
        <v>3</v>
      </c>
      <c r="I52" s="1"/>
    </row>
    <row r="53" spans="1:9" x14ac:dyDescent="0.25">
      <c r="A53" s="1"/>
      <c r="B53" s="140" t="s">
        <v>138</v>
      </c>
      <c r="C53" s="141"/>
      <c r="D53" s="141"/>
      <c r="E53" s="141"/>
      <c r="F53" s="142"/>
      <c r="G53" s="76">
        <f>(G52)*'Fane 15. Nøgletal'!C31</f>
        <v>303785.02113303455</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5" t="s">
        <v>150</v>
      </c>
      <c r="C56" s="136"/>
      <c r="D56" s="136"/>
      <c r="E56" s="136"/>
      <c r="F56" s="136"/>
      <c r="G56" s="143"/>
      <c r="H56" s="137"/>
      <c r="I56" s="1"/>
    </row>
    <row r="57" spans="1:9" x14ac:dyDescent="0.25">
      <c r="A57" s="1"/>
      <c r="B57" s="91" t="s">
        <v>151</v>
      </c>
      <c r="C57" s="92"/>
      <c r="D57" s="92"/>
      <c r="E57" s="92"/>
      <c r="F57" s="93"/>
      <c r="G57" s="76">
        <f>(G52-G53)*(1+'Fane 15. Nøgletal'!C15)</f>
        <v>15415388.626383159</v>
      </c>
      <c r="H57" s="14" t="s">
        <v>3</v>
      </c>
      <c r="I57" s="1"/>
    </row>
    <row r="58" spans="1:9" x14ac:dyDescent="0.25">
      <c r="A58" s="1"/>
      <c r="B58" s="91" t="s">
        <v>152</v>
      </c>
      <c r="C58" s="92"/>
      <c r="D58" s="92"/>
      <c r="E58" s="92"/>
      <c r="F58" s="93"/>
      <c r="G58" s="76">
        <f>(G57)*'Fane 15. Nøgletal'!C31</f>
        <v>308307.77252766321</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5" t="s">
        <v>193</v>
      </c>
      <c r="C61" s="136"/>
      <c r="D61" s="136"/>
      <c r="E61" s="136"/>
      <c r="F61" s="136"/>
      <c r="G61" s="143"/>
      <c r="H61" s="137"/>
      <c r="I61" s="1"/>
    </row>
    <row r="62" spans="1:9" x14ac:dyDescent="0.25">
      <c r="A62" s="1"/>
      <c r="B62" s="91" t="s">
        <v>194</v>
      </c>
      <c r="C62" s="92"/>
      <c r="D62" s="92"/>
      <c r="E62" s="92"/>
      <c r="F62" s="93"/>
      <c r="G62" s="76">
        <f>(G57-G58)*(1+'Fane 15. Nøgletal'!C15)</f>
        <v>15644892.932252754</v>
      </c>
      <c r="H62" s="14" t="s">
        <v>3</v>
      </c>
      <c r="I62" s="1"/>
    </row>
    <row r="63" spans="1:9" x14ac:dyDescent="0.25">
      <c r="A63" s="1"/>
      <c r="B63" s="91" t="s">
        <v>195</v>
      </c>
      <c r="C63" s="92"/>
      <c r="D63" s="92"/>
      <c r="E63" s="92"/>
      <c r="F63" s="93"/>
      <c r="G63" s="76">
        <f>(G62)*'Fane 15. Nøgletal'!C31</f>
        <v>312897.85864505509</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FJGwrcXtYeAZJOm5oeROno/wPasOuU/L+03NrP+tehvInWGL0IJ3OxpU+6gxhl0v9tVKIPHDM63pLtHtYCOtyg==" saltValue="cJsOOeggHO7kJjjTQ/zq1A=="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42578125" style="2" customWidth="1"/>
    <col min="2" max="5" width="9.140625" style="2"/>
    <col min="6" max="6" width="26.5703125" style="2" customWidth="1"/>
    <col min="7" max="7" width="14.140625" style="2" customWidth="1"/>
    <col min="8" max="8" width="3.28515625" style="2" customWidth="1"/>
    <col min="9" max="9" width="2.425781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5" t="s">
        <v>56</v>
      </c>
      <c r="C4" s="136"/>
      <c r="D4" s="136"/>
      <c r="E4" s="136"/>
      <c r="F4" s="136"/>
      <c r="G4" s="136"/>
      <c r="H4" s="137"/>
      <c r="I4" s="1"/>
    </row>
    <row r="5" spans="1:9" x14ac:dyDescent="0.25">
      <c r="A5" s="1"/>
      <c r="B5" s="140" t="s">
        <v>61</v>
      </c>
      <c r="C5" s="141"/>
      <c r="D5" s="141"/>
      <c r="E5" s="141"/>
      <c r="F5" s="142"/>
      <c r="G5" s="76">
        <v>29133275</v>
      </c>
      <c r="H5" s="14" t="s">
        <v>3</v>
      </c>
      <c r="I5" s="1"/>
    </row>
    <row r="6" spans="1:9" x14ac:dyDescent="0.25">
      <c r="A6" s="1"/>
      <c r="B6" s="140" t="s">
        <v>57</v>
      </c>
      <c r="C6" s="141"/>
      <c r="D6" s="141"/>
      <c r="E6" s="141"/>
      <c r="F6" s="142"/>
      <c r="G6" s="76">
        <f>G5*'Fane 15. Nøgletal'!C20</f>
        <v>265112.80249999999</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5" t="s">
        <v>62</v>
      </c>
      <c r="C9" s="136"/>
      <c r="D9" s="136"/>
      <c r="E9" s="136"/>
      <c r="F9" s="136"/>
      <c r="G9" s="143"/>
      <c r="H9" s="137"/>
      <c r="I9" s="1"/>
    </row>
    <row r="10" spans="1:9" x14ac:dyDescent="0.25">
      <c r="A10" s="1"/>
      <c r="B10" s="140" t="s">
        <v>63</v>
      </c>
      <c r="C10" s="141"/>
      <c r="D10" s="141"/>
      <c r="E10" s="141"/>
      <c r="F10" s="142"/>
      <c r="G10" s="76">
        <f>(G5-G6)*(1+'Fane 15. Nøgletal'!C10)</f>
        <v>29373355.035956252</v>
      </c>
      <c r="H10" s="14" t="s">
        <v>3</v>
      </c>
      <c r="I10" s="1"/>
    </row>
    <row r="11" spans="1:9" x14ac:dyDescent="0.25">
      <c r="A11" s="1"/>
      <c r="B11" s="140" t="s">
        <v>122</v>
      </c>
      <c r="C11" s="141"/>
      <c r="D11" s="141"/>
      <c r="E11" s="141"/>
      <c r="F11" s="142"/>
      <c r="G11" s="76">
        <v>391263.02436259849</v>
      </c>
      <c r="H11" s="14" t="s">
        <v>3</v>
      </c>
      <c r="I11" s="1"/>
    </row>
    <row r="12" spans="1:9" x14ac:dyDescent="0.25">
      <c r="A12" s="1"/>
      <c r="B12" s="147" t="s">
        <v>64</v>
      </c>
      <c r="C12" s="148"/>
      <c r="D12" s="148"/>
      <c r="E12" s="148"/>
      <c r="F12" s="149"/>
      <c r="G12" s="77">
        <v>0</v>
      </c>
      <c r="H12" s="14" t="s">
        <v>3</v>
      </c>
      <c r="I12" s="1"/>
    </row>
    <row r="13" spans="1:9" x14ac:dyDescent="0.25">
      <c r="A13" s="1"/>
      <c r="B13" s="140" t="s">
        <v>65</v>
      </c>
      <c r="C13" s="141"/>
      <c r="D13" s="141"/>
      <c r="E13" s="141"/>
      <c r="F13" s="142"/>
      <c r="G13" s="76">
        <f>SUM(G10:G12)*'Fane 15. Nøgletal'!C21</f>
        <v>526833.73966764368</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5" t="s">
        <v>66</v>
      </c>
      <c r="C16" s="136"/>
      <c r="D16" s="136"/>
      <c r="E16" s="136"/>
      <c r="F16" s="136"/>
      <c r="G16" s="143"/>
      <c r="H16" s="137"/>
      <c r="I16" s="1"/>
    </row>
    <row r="17" spans="1:9" x14ac:dyDescent="0.25">
      <c r="A17" s="1"/>
      <c r="B17" s="140" t="s">
        <v>67</v>
      </c>
      <c r="C17" s="141"/>
      <c r="D17" s="141"/>
      <c r="E17" s="141"/>
      <c r="F17" s="142"/>
      <c r="G17" s="76">
        <f>(SUM(G10:G12)-G13)*(1+'Fane 15. Nøgletal'!C10)</f>
        <v>29749445.546262607</v>
      </c>
      <c r="H17" s="14" t="s">
        <v>3</v>
      </c>
      <c r="I17" s="1"/>
    </row>
    <row r="18" spans="1:9" x14ac:dyDescent="0.25">
      <c r="A18" s="1"/>
      <c r="B18" s="147" t="s">
        <v>68</v>
      </c>
      <c r="C18" s="148"/>
      <c r="D18" s="148"/>
      <c r="E18" s="148"/>
      <c r="F18" s="149"/>
      <c r="G18" s="76">
        <v>96265.097606119976</v>
      </c>
      <c r="H18" s="14" t="s">
        <v>3</v>
      </c>
      <c r="I18" s="1"/>
    </row>
    <row r="19" spans="1:9" x14ac:dyDescent="0.25">
      <c r="A19" s="1"/>
      <c r="B19" s="140" t="s">
        <v>69</v>
      </c>
      <c r="C19" s="141"/>
      <c r="D19" s="141"/>
      <c r="E19" s="141"/>
      <c r="F19" s="142"/>
      <c r="G19" s="76">
        <f>G17*'Fane 15. Nøgletal'!C21+G18*'Fane 15. Nøgletal'!C22</f>
        <v>527402.69251802145</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5" t="s">
        <v>70</v>
      </c>
      <c r="C22" s="136"/>
      <c r="D22" s="136"/>
      <c r="E22" s="136"/>
      <c r="F22" s="136"/>
      <c r="G22" s="143"/>
      <c r="H22" s="137"/>
      <c r="I22" s="1"/>
    </row>
    <row r="23" spans="1:9" x14ac:dyDescent="0.25">
      <c r="A23" s="1"/>
      <c r="B23" s="140" t="s">
        <v>71</v>
      </c>
      <c r="C23" s="141"/>
      <c r="D23" s="141"/>
      <c r="E23" s="141"/>
      <c r="F23" s="142"/>
      <c r="G23" s="76">
        <f>(G17+G18-G19)*(1+'Fane 15. Nøgletal'!C12)</f>
        <v>29895878.617992315</v>
      </c>
      <c r="H23" s="14" t="s">
        <v>3</v>
      </c>
      <c r="I23" s="1"/>
    </row>
    <row r="24" spans="1:9" x14ac:dyDescent="0.25">
      <c r="A24" s="1"/>
      <c r="B24" s="147" t="s">
        <v>72</v>
      </c>
      <c r="C24" s="148"/>
      <c r="D24" s="148"/>
      <c r="E24" s="148"/>
      <c r="F24" s="149"/>
      <c r="G24" s="76">
        <v>1462919.1156804909</v>
      </c>
      <c r="H24" s="14" t="s">
        <v>3</v>
      </c>
      <c r="I24" s="1"/>
    </row>
    <row r="25" spans="1:9" x14ac:dyDescent="0.25">
      <c r="A25" s="1"/>
      <c r="B25" s="140" t="s">
        <v>73</v>
      </c>
      <c r="C25" s="141"/>
      <c r="D25" s="141"/>
      <c r="E25" s="141"/>
      <c r="F25" s="142"/>
      <c r="G25" s="76">
        <f>(G23+G24)*'Fane 15. Nøgletal'!C23</f>
        <v>890589.85563630774</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5" t="s">
        <v>74</v>
      </c>
      <c r="C28" s="136"/>
      <c r="D28" s="136"/>
      <c r="E28" s="136"/>
      <c r="F28" s="136"/>
      <c r="G28" s="143"/>
      <c r="H28" s="137"/>
      <c r="I28" s="1"/>
    </row>
    <row r="29" spans="1:9" x14ac:dyDescent="0.25">
      <c r="A29" s="1"/>
      <c r="B29" s="140" t="s">
        <v>75</v>
      </c>
      <c r="C29" s="141"/>
      <c r="D29" s="141"/>
      <c r="E29" s="141"/>
      <c r="F29" s="142"/>
      <c r="G29" s="76">
        <f>(G23+G24-G25)*(1+'Fane 15. Nøgletal'!C12)</f>
        <v>31068431.57323382</v>
      </c>
      <c r="H29" s="14" t="s">
        <v>3</v>
      </c>
      <c r="I29" s="1"/>
    </row>
    <row r="30" spans="1:9" x14ac:dyDescent="0.25">
      <c r="A30" s="1"/>
      <c r="B30" s="140" t="s">
        <v>139</v>
      </c>
      <c r="C30" s="141"/>
      <c r="D30" s="141"/>
      <c r="E30" s="141"/>
      <c r="F30" s="142"/>
      <c r="G30" s="76">
        <v>441486.29154672002</v>
      </c>
      <c r="H30" s="14" t="s">
        <v>3</v>
      </c>
      <c r="I30" s="1"/>
    </row>
    <row r="31" spans="1:9" x14ac:dyDescent="0.25">
      <c r="A31" s="1"/>
      <c r="B31" s="140" t="s">
        <v>76</v>
      </c>
      <c r="C31" s="141"/>
      <c r="D31" s="141"/>
      <c r="E31" s="141"/>
      <c r="F31" s="142"/>
      <c r="G31" s="76">
        <f>G29*'Fane 15. Nøgletal'!C23+G30*'Fane 15. Nøgletal'!C24</f>
        <v>894484.32969737542</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5" t="s">
        <v>165</v>
      </c>
      <c r="C34" s="136"/>
      <c r="D34" s="136"/>
      <c r="E34" s="136"/>
      <c r="F34" s="136"/>
      <c r="G34" s="143"/>
      <c r="H34" s="137"/>
      <c r="I34" s="1"/>
    </row>
    <row r="35" spans="1:9" x14ac:dyDescent="0.25">
      <c r="A35" s="1"/>
      <c r="B35" s="140" t="s">
        <v>78</v>
      </c>
      <c r="C35" s="141"/>
      <c r="D35" s="141"/>
      <c r="E35" s="141"/>
      <c r="F35" s="142"/>
      <c r="G35" s="76">
        <f>(G29+G30-G31)*(1+'Fane 15. Nøgletal'!C14)</f>
        <v>30716464.465748943</v>
      </c>
      <c r="H35" s="14" t="s">
        <v>3</v>
      </c>
      <c r="I35" s="1"/>
    </row>
    <row r="36" spans="1:9" x14ac:dyDescent="0.25">
      <c r="A36" s="1"/>
      <c r="B36" s="140" t="s">
        <v>167</v>
      </c>
      <c r="C36" s="141"/>
      <c r="D36" s="141"/>
      <c r="E36" s="141"/>
      <c r="F36" s="142"/>
      <c r="G36" s="76">
        <v>1271442.1622718803</v>
      </c>
      <c r="H36" s="14" t="s">
        <v>3</v>
      </c>
      <c r="I36" s="1"/>
    </row>
    <row r="37" spans="1:9" x14ac:dyDescent="0.25">
      <c r="A37" s="1"/>
      <c r="B37" s="140" t="s">
        <v>166</v>
      </c>
      <c r="C37" s="141"/>
      <c r="D37" s="141"/>
      <c r="E37" s="141"/>
      <c r="F37" s="142"/>
      <c r="G37" s="76">
        <f>(G35+G36)*'Fane 15. Nøgletal'!C25</f>
        <v>473421.01809470821</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5" t="s">
        <v>221</v>
      </c>
      <c r="C40" s="136"/>
      <c r="D40" s="136"/>
      <c r="E40" s="136"/>
      <c r="F40" s="136"/>
      <c r="G40" s="143"/>
      <c r="H40" s="137"/>
      <c r="I40" s="1"/>
    </row>
    <row r="41" spans="1:9" x14ac:dyDescent="0.25">
      <c r="A41" s="1"/>
      <c r="B41" s="140" t="s">
        <v>77</v>
      </c>
      <c r="C41" s="141"/>
      <c r="D41" s="141"/>
      <c r="E41" s="141"/>
      <c r="F41" s="142"/>
      <c r="G41" s="76">
        <f>(G35+G36-G37)*(1+'Fane 15. Nøgletal'!C14)</f>
        <v>31618483.412438873</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55426.185632160013</v>
      </c>
      <c r="H42" s="14" t="s">
        <v>3</v>
      </c>
      <c r="I42" s="1"/>
    </row>
    <row r="43" spans="1:9" x14ac:dyDescent="0.25">
      <c r="A43" s="1"/>
      <c r="B43" s="140" t="s">
        <v>168</v>
      </c>
      <c r="C43" s="141"/>
      <c r="D43" s="141"/>
      <c r="E43" s="141"/>
      <c r="F43" s="142"/>
      <c r="G43" s="76">
        <f>(G41)*'Fane 15. Nøgletal'!C25+G42*'Fane 15. Nøgletal'!C26</f>
        <v>467953.55450409534</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5" t="s">
        <v>242</v>
      </c>
      <c r="C52" s="136"/>
      <c r="D52" s="136"/>
      <c r="E52" s="136"/>
      <c r="F52" s="136"/>
      <c r="G52" s="143"/>
      <c r="H52" s="137"/>
      <c r="I52" s="1"/>
    </row>
    <row r="53" spans="1:9" x14ac:dyDescent="0.25">
      <c r="A53" s="1"/>
      <c r="B53" s="140" t="s">
        <v>140</v>
      </c>
      <c r="C53" s="141"/>
      <c r="D53" s="141"/>
      <c r="E53" s="141"/>
      <c r="F53" s="142"/>
      <c r="G53" s="76">
        <f>(G41+G42-G43)*(1+'Fane 15. Nøgletal'!C15)</f>
        <v>32316888.078717925</v>
      </c>
      <c r="H53" s="14" t="s">
        <v>3</v>
      </c>
      <c r="I53" s="1"/>
    </row>
    <row r="54" spans="1:9" x14ac:dyDescent="0.25">
      <c r="A54" s="1"/>
      <c r="B54" s="140" t="s">
        <v>141</v>
      </c>
      <c r="C54" s="141"/>
      <c r="D54" s="141"/>
      <c r="E54" s="141"/>
      <c r="F54" s="142"/>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5" t="s">
        <v>153</v>
      </c>
      <c r="C57" s="136"/>
      <c r="D57" s="136"/>
      <c r="E57" s="136"/>
      <c r="F57" s="136"/>
      <c r="G57" s="143"/>
      <c r="H57" s="137"/>
      <c r="I57" s="1"/>
    </row>
    <row r="58" spans="1:9" x14ac:dyDescent="0.25">
      <c r="A58" s="1"/>
      <c r="B58" s="140" t="s">
        <v>173</v>
      </c>
      <c r="C58" s="141"/>
      <c r="D58" s="141"/>
      <c r="E58" s="141"/>
      <c r="F58" s="142"/>
      <c r="G58" s="76">
        <f>(G53-G54)*(1+'Fane 15. Nøgletal'!C15)</f>
        <v>33467369.294320285</v>
      </c>
      <c r="H58" s="14" t="s">
        <v>3</v>
      </c>
      <c r="I58" s="1"/>
    </row>
    <row r="59" spans="1:9" x14ac:dyDescent="0.25">
      <c r="A59" s="1"/>
      <c r="B59" s="140" t="s">
        <v>174</v>
      </c>
      <c r="C59" s="141"/>
      <c r="D59" s="141"/>
      <c r="E59" s="141"/>
      <c r="F59" s="142"/>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5" t="s">
        <v>196</v>
      </c>
      <c r="C62" s="136"/>
      <c r="D62" s="136"/>
      <c r="E62" s="136"/>
      <c r="F62" s="136"/>
      <c r="G62" s="143"/>
      <c r="H62" s="137"/>
      <c r="I62" s="1"/>
    </row>
    <row r="63" spans="1:9" x14ac:dyDescent="0.25">
      <c r="A63" s="1"/>
      <c r="B63" s="140" t="s">
        <v>197</v>
      </c>
      <c r="C63" s="141"/>
      <c r="D63" s="141"/>
      <c r="E63" s="141"/>
      <c r="F63" s="142"/>
      <c r="G63" s="76">
        <f>(G58-G59)*(1+'Fane 15. Nøgletal'!C15)</f>
        <v>34658807.641198091</v>
      </c>
      <c r="H63" s="14" t="s">
        <v>3</v>
      </c>
      <c r="I63" s="1"/>
    </row>
    <row r="64" spans="1:9" x14ac:dyDescent="0.25">
      <c r="A64" s="1"/>
      <c r="B64" s="140" t="s">
        <v>198</v>
      </c>
      <c r="C64" s="141"/>
      <c r="D64" s="141"/>
      <c r="E64" s="141"/>
      <c r="F64" s="142"/>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OV7w/A3vhYOko0p+exiOC/wuFxRuJ82kYBqtaPgEpzKRZk7kH9K46vGbWfG4F2sfMpNp0GFEZgyiPKbi44NheA==" saltValue="GWQa57mDlPD8tgQPCVnVaA=="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5" t="s">
        <v>10</v>
      </c>
      <c r="C8" s="136"/>
      <c r="D8" s="136"/>
      <c r="E8" s="136"/>
      <c r="F8" s="136"/>
      <c r="G8" s="137"/>
      <c r="H8" s="1"/>
    </row>
    <row r="9" spans="1:8" x14ac:dyDescent="0.25">
      <c r="A9" s="1"/>
      <c r="B9" s="140" t="s">
        <v>154</v>
      </c>
      <c r="C9" s="141"/>
      <c r="D9" s="141"/>
      <c r="E9" s="141"/>
      <c r="F9" s="142"/>
      <c r="G9" s="35">
        <v>8.1960160270978123E-3</v>
      </c>
      <c r="H9" s="1"/>
    </row>
    <row r="10" spans="1:8" x14ac:dyDescent="0.25">
      <c r="A10" s="1"/>
      <c r="B10" s="32"/>
      <c r="C10" s="27"/>
      <c r="D10" s="27"/>
      <c r="E10" s="27"/>
      <c r="F10" s="27"/>
      <c r="G10" s="19"/>
      <c r="H10" s="1"/>
    </row>
    <row r="11" spans="1:8" ht="26.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YM2T1h53hNK44nckzfV6iZ5s6DzFGLMD2Z1mYx5Yr9GqB+Zs0a46x7qnHCgEaxtRaxeUAe2QUX78SBkmjpo5dA==" saltValue="YqrNiBbrQPntuo8H92pZv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2022-12-06T11:14:39Z</dcterms:modified>
</cp:coreProperties>
</file>