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Ikast-Brande Spildevand AS (S052)\ØR2024\"/>
    </mc:Choice>
  </mc:AlternateContent>
  <xr:revisionPtr revIDLastSave="0" documentId="13_ncr:1_{7FF20283-2CD3-45BB-82B8-D0C6256D4CC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s>
  <calcPr calcId="191029"/>
</workbook>
</file>

<file path=xl/calcChain.xml><?xml version="1.0" encoding="utf-8"?>
<calcChain xmlns="http://schemas.openxmlformats.org/spreadsheetml/2006/main">
  <c r="G60" i="36" l="1"/>
  <c r="G6" i="36" l="1"/>
  <c r="E16" i="44" l="1"/>
  <c r="E18" i="44" s="1"/>
  <c r="E17" i="44"/>
  <c r="E25" i="44" l="1"/>
  <c r="E29" i="44" s="1"/>
  <c r="E31" i="44" s="1"/>
  <c r="C20" i="15" l="1"/>
  <c r="C32" i="2"/>
  <c r="C9" i="2"/>
  <c r="G19" i="41" l="1"/>
  <c r="E30" i="20" l="1"/>
  <c r="E29" i="20"/>
  <c r="E31" i="20" s="1"/>
  <c r="E24" i="20"/>
  <c r="E23" i="20"/>
  <c r="E25" i="20" s="1"/>
  <c r="E17" i="20" l="1"/>
  <c r="E11" i="20"/>
  <c r="C22" i="23" l="1"/>
  <c r="C22" i="22"/>
  <c r="C22" i="15"/>
  <c r="C36" i="2"/>
  <c r="F11" i="11" l="1"/>
  <c r="F12" i="11"/>
  <c r="F13" i="11"/>
  <c r="F14" i="11"/>
  <c r="C13" i="29" l="1"/>
  <c r="C14" i="29" s="1"/>
  <c r="E13" i="29"/>
  <c r="E14" i="29" s="1"/>
  <c r="E13" i="39"/>
  <c r="E14" i="39" s="1"/>
  <c r="C13" i="39"/>
  <c r="C14" i="39" s="1"/>
  <c r="J15" i="11"/>
  <c r="H15" i="11"/>
  <c r="C20" i="19"/>
  <c r="C21" i="19" s="1"/>
  <c r="C16" i="23" l="1"/>
  <c r="C16" i="15"/>
  <c r="C16" i="22"/>
  <c r="F10" i="11"/>
  <c r="F15" i="11" s="1"/>
  <c r="C12" i="21" l="1"/>
  <c r="C13" i="21" s="1"/>
  <c r="C12" i="2" l="1"/>
  <c r="C15" i="2" l="1"/>
  <c r="C14" i="2"/>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C13" i="15" s="1"/>
  <c r="C16" i="2"/>
  <c r="C17" i="2" s="1"/>
  <c r="C18" i="2" l="1"/>
  <c r="C20" i="2" s="1"/>
  <c r="G64" i="36"/>
  <c r="G65" i="36" s="1"/>
  <c r="C13" i="22" s="1"/>
  <c r="G69" i="36" l="1"/>
  <c r="G70" i="36" s="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<sst xmlns="http://schemas.openxmlformats.org/spreadsheetml/2006/main" count="682" uniqueCount="301">
  <si>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</si>
  <si>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</si>
  <si>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</si>
  <si>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</si>
  <si>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</si>
  <si>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</si>
  <si>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</si>
  <si>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</si>
  <si>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</si>
  <si>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</si>
  <si>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</si>
  <si>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</si>
  <si>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</si>
  <si>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</si>
  <si>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</si>
  <si>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</si>
  <si>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</si>
  <si>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</si>
  <si>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</si>
  <si>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</si>
  <si>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</si>
  <si>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</si>
  <si>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</si>
  <si>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</si>
  <si>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</si>
  <si>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</si>
  <si>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</si>
  <si>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</si>
  <si>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</si>
  <si>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</si>
  <si>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</si>
  <si>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</si>
  <si>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</si>
  <si>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</si>
  <si>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</si>
  <si>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</si>
  <si>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</si>
  <si>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</si>
  <si>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</si>
  <si>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</si>
  <si>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</si>
  <si>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</si>
  <si>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</si>
  <si>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</si>
  <si>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</si>
  <si>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</si>
  <si>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</si>
  <si>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</si>
  <si>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</si>
  <si>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</si>
  <si>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</si>
  <si>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</si>
  <si>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</si>
  <si>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</si>
  <si>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</si>
  <si>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</si>
  <si>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</si>
  <si>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</si>
  <si>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</si>
  <si>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</si>
  <si>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</si>
  <si>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</si>
  <si>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</si>
  <si>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</si>
  <si>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</si>
  <si>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</si>
  <si>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</si>
  <si>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</si>
  <si>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</si>
  <si>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</si>
  <si>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</si>
  <si>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</si>
  <si>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</si>
  <si>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</si>
  <si>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</si>
  <si>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</si>
  <si>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</si>
  <si>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</si>
  <si>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</si>
  <si>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</si>
  <si>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</si>
  <si>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</si>
  <si>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</si>
  <si>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</si>
  <si>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</si>
  <si>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</si>
  <si>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</si>
  <si>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</si>
  <si>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</si>
  <si>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</si>
  <si>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</si>
  <si>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</si>
  <si>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</si>
  <si>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</si>
  <si>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</si>
  <si>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</si>
  <si>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</si>
  <si>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</si>
  <si>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</si>
  <si>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</si>
  <si>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</si>
  <si>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</si>
  <si>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</si>
  <si>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</si>
  <si>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</si>
  <si>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</si>
  <si>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</si>
  <si>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</si>
  <si>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</si>
  <si>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</si>
  <si>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</si>
  <si>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</si>
  <si>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</si>
  <si>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</si>
  <si>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</si>
  <si>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</si>
  <si>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</si>
  <si>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</si>
  <si>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</si>
  <si>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</si>
  <si>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</si>
  <si>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</si>
  <si>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</si>
  <si>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</si>
  <si>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</si>
  <si>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</si>
  <si>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</si>
  <si>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</si>
  <si>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</si>
  <si>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</si>
  <si>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</si>
  <si>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</si>
  <si>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</si>
  <si>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</si>
  <si>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</si>
  <si>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</si>
  <si>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</si>
  <si>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</si>
  <si>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</si>
  <si>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</si>
  <si>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</si>
  <si>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</si>
  <si>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</si>
  <si>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</si>
  <si>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</si>
  <si>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</si>
  <si>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</si>
  <si>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</si>
  <si>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</si>
  <si>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</si>
  <si>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</si>
  <si>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</si>
  <si>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</si>
  <si>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</si>
  <si>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</si>
  <si>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</si>
  <si>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</si>
  <si>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</si>
  <si>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</si>
  <si>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</si>
  <si>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</si>
  <si>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</si>
  <si>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</si>
  <si>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</si>
  <si>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</si>
  <si>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</si>
  <si>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</si>
  <si>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</si>
  <si>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</si>
  <si>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</si>
  <si>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</si>
  <si>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</si>
  <si>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</si>
  <si>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</si>
  <si>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</si>
  <si>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</si>
  <si>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</si>
  <si>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</si>
  <si>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</si>
  <si>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</si>
  <si>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</si>
  <si>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</si>
  <si>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</si>
  <si>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</si>
  <si>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</si>
  <si>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</si>
  <si>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</si>
  <si>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</si>
  <si>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</si>
  <si>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</si>
  <si>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</si>
  <si>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</si>
  <si>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</si>
  <si>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</si>
  <si>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</si>
  <si>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</si>
  <si>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</si>
  <si>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</si>
  <si>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</si>
  <si>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</si>
  <si>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</si>
  <si>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</si>
  <si>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</si>
  <si>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</si>
  <si>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</si>
  <si>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</si>
  <si>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</si>
  <si>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</si>
  <si>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</si>
  <si>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</si>
  <si>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</si>
  <si>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</si>
  <si>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</si>
  <si>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</si>
  <si>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</si>
  <si>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</si>
  <si>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</si>
  <si>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</si>
  <si>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</si>
  <si>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</si>
  <si>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</si>
  <si>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</si>
  <si>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</si>
  <si>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</si>
  <si>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</si>
  <si>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</si>
  <si>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</si>
  <si>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</si>
  <si>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</si>
  <si>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</si>
  <si>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</si>
  <si>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</si>
  <si>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</si>
  <si>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</si>
  <si>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</si>
  <si>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</si>
  <si>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</si>
  <si>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</si>
  <si>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</si>
  <si>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</si>
  <si>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</si>
  <si>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</si>
  <si>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</si>
  <si>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</si>
  <si>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</si>
  <si>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</si>
  <si>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</si>
  <si>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</si>
  <si>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</si>
  <si>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</si>
  <si>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</si>
  <si>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</si>
  <si>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</si>
  <si>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</si>
  <si>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</si>
  <si>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</si>
  <si>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</si>
  <si>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</si>
  <si>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</si>
  <si>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</si>
  <si>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</si>
  <si>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</si>
  <si>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</si>
  <si>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</si>
  <si>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</si>
  <si>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Brønde</t>
  </si>
  <si>
    <t>Ledningsnet ≤ Ø 200 mm</t>
  </si>
  <si>
    <t>Ø 200 mm &lt; Ledningsnet ≤ Ø 500 mm</t>
  </si>
  <si>
    <t>Strømpeforing ≤ Ø 200 mm</t>
  </si>
  <si>
    <t>Strømpeforing Ø 200 mm &lt; Ledningsnet ≤ Ø 500 mm</t>
  </si>
  <si>
    <t>Korrektion af den økonomiske ramme for 2021</t>
  </si>
  <si>
    <t xml:space="preserve">Økonomisk ramme for </t>
  </si>
  <si>
    <t>Fradrag i den økonomiske ramme for 2029</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</si>
  <si>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</si>
  <si>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</si>
  <si>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</si>
  <si>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</si>
  <si>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</si>
  <si>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</si>
  <si>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</si>
  <si>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</si>
  <si>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</si>
  <si>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</si>
  <si>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</si>
  <si>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</si>
  <si>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</si>
  <si>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</si>
  <si>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</si>
  <si>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</si>
  <si>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Separatkloakeringer 2021</t>
  </si>
  <si>
    <t>Separatkloakeringer 2022</t>
  </si>
  <si>
    <t xml:space="preserve">Strømpeforinger </t>
  </si>
  <si>
    <t>Brande Forfiltrering</t>
  </si>
  <si>
    <t>Byggemodninger 2022</t>
  </si>
  <si>
    <t>Ingen engangstillæg</t>
  </si>
  <si>
    <t>Spildevandsafgift</t>
  </si>
  <si>
    <t>Afgift til Forsyningssekretariatet</t>
  </si>
  <si>
    <t>Køb af ydelser og produkter fra andre vandselskaber</t>
  </si>
  <si>
    <t>Ejendomsskatter</t>
  </si>
  <si>
    <t>Erstatninger</t>
  </si>
  <si>
    <t>Øvrige IPO - elafgift og tinglysningsafgift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</si>
</sst>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1" fontId="8" fillId="8" borderId="1" xfId="1" applyNumberFormat="1" applyFont="1" applyFill="1" applyBorder="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7" t="s">
        <v>252</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9" t="s">
        <v>197</v>
      </c>
      <c r="E14" s="100"/>
      <c r="F14" s="100"/>
      <c r="G14" s="101"/>
      <c r="H14" s="5"/>
      <c r="I14" s="1"/>
    </row>
    <row r="15" spans="1:9" x14ac:dyDescent="0.25">
      <c r="A15" s="1"/>
      <c r="B15" s="1"/>
      <c r="C15" s="6" t="s">
        <v>31</v>
      </c>
      <c r="D15" s="99" t="s">
        <v>262</v>
      </c>
      <c r="E15" s="100"/>
      <c r="F15" s="100"/>
      <c r="G15" s="101"/>
      <c r="H15" s="5"/>
      <c r="I15" s="1"/>
    </row>
    <row r="16" spans="1:9" x14ac:dyDescent="0.25">
      <c r="A16" s="1"/>
      <c r="B16" s="1"/>
      <c r="C16" s="6" t="s">
        <v>32</v>
      </c>
      <c r="D16" s="99" t="s">
        <v>263</v>
      </c>
      <c r="E16" s="100"/>
      <c r="F16" s="100"/>
      <c r="G16" s="101"/>
      <c r="H16" s="5"/>
      <c r="I16" s="1"/>
    </row>
    <row r="17" spans="1:9" x14ac:dyDescent="0.25">
      <c r="A17" s="1"/>
      <c r="B17" s="1"/>
      <c r="C17" s="6" t="s">
        <v>101</v>
      </c>
      <c r="D17" s="99" t="s">
        <v>198</v>
      </c>
      <c r="E17" s="100"/>
      <c r="F17" s="100"/>
      <c r="G17" s="101"/>
      <c r="H17" s="5"/>
      <c r="I17" s="1"/>
    </row>
    <row r="18" spans="1:9" x14ac:dyDescent="0.25">
      <c r="A18" s="1"/>
      <c r="B18" s="1"/>
      <c r="C18" s="6" t="s">
        <v>88</v>
      </c>
      <c r="D18" s="96" t="s">
        <v>79</v>
      </c>
      <c r="E18" s="97"/>
      <c r="F18" s="97"/>
      <c r="G18" s="98"/>
      <c r="H18" s="5"/>
      <c r="I18" s="1"/>
    </row>
    <row r="19" spans="1:9" x14ac:dyDescent="0.25">
      <c r="A19" s="1"/>
      <c r="B19" s="1"/>
      <c r="C19" s="6" t="s">
        <v>89</v>
      </c>
      <c r="D19" s="96" t="s">
        <v>80</v>
      </c>
      <c r="E19" s="97"/>
      <c r="F19" s="97"/>
      <c r="G19" s="98"/>
      <c r="H19" s="5"/>
      <c r="I19" s="1"/>
    </row>
    <row r="20" spans="1:9" x14ac:dyDescent="0.25">
      <c r="A20" s="1"/>
      <c r="B20" s="1"/>
      <c r="C20" s="6" t="s">
        <v>7</v>
      </c>
      <c r="D20" s="96" t="s">
        <v>10</v>
      </c>
      <c r="E20" s="97"/>
      <c r="F20" s="97"/>
      <c r="G20" s="98"/>
      <c r="H20" s="5"/>
      <c r="I20" s="1"/>
    </row>
    <row r="21" spans="1:9" x14ac:dyDescent="0.25">
      <c r="A21" s="1"/>
      <c r="B21" s="1"/>
      <c r="C21" s="6" t="s">
        <v>90</v>
      </c>
      <c r="D21" s="103" t="s">
        <v>12</v>
      </c>
      <c r="E21" s="104"/>
      <c r="F21" s="104"/>
      <c r="G21" s="105"/>
      <c r="H21" s="5"/>
      <c r="I21" s="1"/>
    </row>
    <row r="22" spans="1:9" x14ac:dyDescent="0.25">
      <c r="A22" s="1"/>
      <c r="B22" s="1"/>
      <c r="C22" s="6" t="s">
        <v>71</v>
      </c>
      <c r="D22" s="90" t="s">
        <v>199</v>
      </c>
      <c r="E22" s="91"/>
      <c r="F22" s="91"/>
      <c r="G22" s="92"/>
      <c r="H22" s="5"/>
      <c r="I22" s="1"/>
    </row>
    <row r="23" spans="1:9" x14ac:dyDescent="0.25">
      <c r="A23" s="1"/>
      <c r="B23" s="1"/>
      <c r="C23" s="6" t="s">
        <v>8</v>
      </c>
      <c r="D23" s="90" t="s">
        <v>181</v>
      </c>
      <c r="E23" s="91"/>
      <c r="F23" s="91"/>
      <c r="G23" s="92"/>
      <c r="H23" s="5"/>
      <c r="I23" s="1"/>
    </row>
    <row r="24" spans="1:9" x14ac:dyDescent="0.25">
      <c r="A24" s="1"/>
      <c r="B24" s="1"/>
      <c r="C24" s="6" t="s">
        <v>9</v>
      </c>
      <c r="D24" s="90" t="s">
        <v>200</v>
      </c>
      <c r="E24" s="91"/>
      <c r="F24" s="91"/>
      <c r="G24" s="92"/>
      <c r="H24" s="5"/>
      <c r="I24" s="1"/>
    </row>
    <row r="25" spans="1:9" x14ac:dyDescent="0.25">
      <c r="A25" s="1"/>
      <c r="B25" s="1"/>
      <c r="C25" s="6" t="s">
        <v>166</v>
      </c>
      <c r="D25" s="90" t="s">
        <v>160</v>
      </c>
      <c r="E25" s="91"/>
      <c r="F25" s="91"/>
      <c r="G25" s="92"/>
      <c r="H25" s="1"/>
      <c r="I25" s="1"/>
    </row>
    <row r="26" spans="1:9" x14ac:dyDescent="0.25">
      <c r="A26" s="1"/>
      <c r="B26" s="1"/>
      <c r="C26" s="6" t="s">
        <v>167</v>
      </c>
      <c r="D26" s="90" t="s">
        <v>72</v>
      </c>
      <c r="E26" s="91"/>
      <c r="F26" s="91"/>
      <c r="G26" s="92"/>
      <c r="H26" s="1"/>
      <c r="I26" s="1"/>
    </row>
    <row r="27" spans="1:9" x14ac:dyDescent="0.25">
      <c r="A27" s="1"/>
      <c r="B27" s="1"/>
      <c r="C27" s="6" t="s">
        <v>168</v>
      </c>
      <c r="D27" s="90" t="s">
        <v>73</v>
      </c>
      <c r="E27" s="91"/>
      <c r="F27" s="91"/>
      <c r="G27" s="92"/>
      <c r="H27" s="1"/>
      <c r="I27" s="1"/>
    </row>
    <row r="28" spans="1:9" x14ac:dyDescent="0.25">
      <c r="A28" s="1"/>
      <c r="B28" s="1"/>
      <c r="C28" s="6" t="s">
        <v>15</v>
      </c>
      <c r="D28" s="90" t="s">
        <v>74</v>
      </c>
      <c r="E28" s="91"/>
      <c r="F28" s="91"/>
      <c r="G28" s="92"/>
      <c r="H28" s="1"/>
      <c r="I28" s="1"/>
    </row>
    <row r="29" spans="1:9" x14ac:dyDescent="0.25">
      <c r="A29" s="1"/>
      <c r="B29" s="1"/>
      <c r="C29" s="6" t="s">
        <v>34</v>
      </c>
      <c r="D29" s="90" t="s">
        <v>114</v>
      </c>
      <c r="E29" s="91"/>
      <c r="F29" s="91"/>
      <c r="G29" s="92"/>
      <c r="H29" s="1"/>
      <c r="I29" s="1"/>
    </row>
    <row r="30" spans="1:9" x14ac:dyDescent="0.25">
      <c r="A30" s="1"/>
      <c r="B30" s="1"/>
      <c r="C30" s="6" t="s">
        <v>35</v>
      </c>
      <c r="D30" s="90" t="s">
        <v>33</v>
      </c>
      <c r="E30" s="91"/>
      <c r="F30" s="91"/>
      <c r="G30" s="92"/>
      <c r="H30" s="1"/>
      <c r="I30" s="1"/>
    </row>
    <row r="31" spans="1:9" x14ac:dyDescent="0.25">
      <c r="A31" s="1"/>
      <c r="B31" s="1"/>
      <c r="C31" s="6" t="s">
        <v>169</v>
      </c>
      <c r="D31" s="93" t="s">
        <v>87</v>
      </c>
      <c r="E31" s="94"/>
      <c r="F31" s="94"/>
      <c r="G31" s="9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FqBXAxhQ6MldRhc6yf26XY+04Q92Jwg5WHWgUvkuSWhK08xc39zghrREotiNa94VCzXwFYNplM8FMnp0lrbxkA==" saltValue="0xIjEMCiU2k3RXXhKEvXj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1" t="s">
        <v>225</v>
      </c>
      <c r="D9" s="11"/>
      <c r="E9" s="1"/>
      <c r="F9" s="1"/>
    </row>
    <row r="10" spans="1:6" ht="15" customHeight="1" x14ac:dyDescent="0.25">
      <c r="A10" s="1"/>
      <c r="B10" s="81" t="s">
        <v>295</v>
      </c>
      <c r="C10" s="9">
        <v>1162045</v>
      </c>
      <c r="D10" s="14" t="s">
        <v>3</v>
      </c>
      <c r="E10" s="1"/>
      <c r="F10" s="1"/>
    </row>
    <row r="11" spans="1:6" ht="15" customHeight="1" x14ac:dyDescent="0.25">
      <c r="A11" s="1"/>
      <c r="B11" s="81" t="s">
        <v>296</v>
      </c>
      <c r="C11" s="9">
        <v>95384</v>
      </c>
      <c r="D11" s="14" t="s">
        <v>3</v>
      </c>
      <c r="E11" s="1"/>
      <c r="F11" s="1"/>
    </row>
    <row r="12" spans="1:6" x14ac:dyDescent="0.25">
      <c r="A12" s="1"/>
      <c r="B12" s="81" t="s">
        <v>297</v>
      </c>
      <c r="C12" s="9">
        <v>242324</v>
      </c>
      <c r="D12" s="14" t="s">
        <v>3</v>
      </c>
      <c r="E12" s="1"/>
      <c r="F12" s="1"/>
    </row>
    <row r="13" spans="1:6" x14ac:dyDescent="0.25">
      <c r="A13" s="1"/>
      <c r="B13" s="81" t="s">
        <v>298</v>
      </c>
      <c r="C13" s="9">
        <v>99275</v>
      </c>
      <c r="D13" s="14" t="s">
        <v>3</v>
      </c>
      <c r="E13" s="1"/>
      <c r="F13" s="1"/>
    </row>
    <row r="14" spans="1:6" x14ac:dyDescent="0.25">
      <c r="A14" s="1"/>
      <c r="B14" s="81" t="s">
        <v>299</v>
      </c>
      <c r="C14" s="9">
        <v>30125</v>
      </c>
      <c r="D14" s="14" t="s">
        <v>3</v>
      </c>
      <c r="E14" s="1"/>
      <c r="F14" s="1"/>
    </row>
    <row r="15" spans="1:6" x14ac:dyDescent="0.25">
      <c r="A15" s="1"/>
      <c r="B15" s="81" t="s">
        <v>300</v>
      </c>
      <c r="C15" s="9">
        <v>12666</v>
      </c>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1641819</v>
      </c>
      <c r="D20" s="13" t="s">
        <v>3</v>
      </c>
      <c r="E20" s="1"/>
      <c r="F20" s="1"/>
    </row>
    <row r="21" spans="1:6" x14ac:dyDescent="0.25">
      <c r="A21" s="1"/>
      <c r="B21" s="33" t="s">
        <v>227</v>
      </c>
      <c r="C21" s="12">
        <f>C20*(1+'Fane 15. Nøgletal'!C16)^2</f>
        <v>1917855.79559616</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81" t="s">
        <v>109</v>
      </c>
      <c r="C33" s="9">
        <v>449364</v>
      </c>
      <c r="D33" s="14" t="s">
        <v>3</v>
      </c>
      <c r="E33" s="1"/>
      <c r="F33" s="1"/>
    </row>
    <row r="34" spans="1:6" x14ac:dyDescent="0.25">
      <c r="A34" s="1"/>
      <c r="B34" s="81" t="s">
        <v>123</v>
      </c>
      <c r="C34" s="9">
        <v>449364</v>
      </c>
      <c r="D34" s="14" t="s">
        <v>3</v>
      </c>
      <c r="E34" s="1"/>
      <c r="F34" s="1"/>
    </row>
    <row r="35" spans="1:6" x14ac:dyDescent="0.25">
      <c r="A35" s="1"/>
      <c r="B35" s="81" t="s">
        <v>142</v>
      </c>
      <c r="C35" s="9">
        <v>449363</v>
      </c>
      <c r="D35" s="14" t="s">
        <v>3</v>
      </c>
      <c r="E35" s="1"/>
      <c r="F35" s="1"/>
    </row>
    <row r="36" spans="1:6" x14ac:dyDescent="0.25">
      <c r="A36" s="1"/>
      <c r="B36" s="34" t="s">
        <v>261</v>
      </c>
      <c r="C36" s="9">
        <v>449363</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9"/>
      <c r="B51" s="49"/>
      <c r="C51" s="49"/>
      <c r="D51" s="49"/>
      <c r="E51" s="49"/>
      <c r="F51" s="49"/>
    </row>
    <row r="52" spans="1:6" x14ac:dyDescent="0.25">
      <c r="A52" s="49"/>
      <c r="B52" s="49"/>
      <c r="C52" s="49"/>
      <c r="D52" s="49"/>
      <c r="E52" s="49"/>
      <c r="F52" s="49"/>
    </row>
    <row r="53" spans="1:6" x14ac:dyDescent="0.25">
      <c r="A53" s="49"/>
      <c r="B53" s="49"/>
      <c r="C53" s="49"/>
      <c r="D53" s="49"/>
      <c r="E53" s="49"/>
      <c r="F53" s="49"/>
    </row>
    <row r="54" spans="1:6" x14ac:dyDescent="0.25">
      <c r="A54" s="49"/>
      <c r="B54" s="49"/>
      <c r="C54" s="49"/>
      <c r="D54" s="49"/>
      <c r="E54" s="49"/>
      <c r="F54" s="49"/>
    </row>
    <row r="55" spans="1:6" x14ac:dyDescent="0.25">
      <c r="A55" s="49"/>
      <c r="B55" s="49"/>
      <c r="C55" s="49"/>
      <c r="D55" s="49"/>
      <c r="E55" s="49"/>
      <c r="F55" s="49"/>
    </row>
    <row r="56" spans="1:6" x14ac:dyDescent="0.25">
      <c r="A56" s="49"/>
      <c r="B56" s="49"/>
      <c r="C56" s="49"/>
      <c r="D56" s="49"/>
      <c r="E56" s="49"/>
      <c r="F56" s="49"/>
    </row>
    <row r="57" spans="1:6" x14ac:dyDescent="0.25">
      <c r="A57" s="49"/>
      <c r="B57" s="49"/>
      <c r="C57" s="49"/>
      <c r="D57" s="49"/>
      <c r="E57" s="49"/>
      <c r="F57" s="49"/>
    </row>
  </sheetData>
  <sheetProtection algorithmName="SHA-512" hashValue="dgoonAgKZuOWVWcesm5gI685Rj8liwCqQ0/bKcEs3Tp5ptokWPqi7ioZu9iqEUxLyNcKCwyxNEQBR7raCZBZqw==" saltValue="+Fj+/Qf58C2OWp1ByRNk/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16425-B17C-424E-8524-FB4AD047742D}">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277</v>
      </c>
      <c r="C9" s="119"/>
      <c r="D9" s="120"/>
      <c r="E9" s="9">
        <v>2445982</v>
      </c>
      <c r="F9" s="14" t="s">
        <v>3</v>
      </c>
      <c r="G9" s="1"/>
    </row>
    <row r="10" spans="1:7" ht="15" customHeight="1" x14ac:dyDescent="0.25">
      <c r="A10" s="1"/>
      <c r="B10" s="118" t="s">
        <v>143</v>
      </c>
      <c r="C10" s="119"/>
      <c r="D10" s="120"/>
      <c r="E10" s="9">
        <v>-1525012</v>
      </c>
      <c r="F10" s="14" t="s">
        <v>3</v>
      </c>
      <c r="G10" s="1"/>
    </row>
    <row r="11" spans="1:7" ht="15" customHeight="1" x14ac:dyDescent="0.25">
      <c r="A11" s="1"/>
      <c r="B11" s="118" t="s">
        <v>278</v>
      </c>
      <c r="C11" s="119"/>
      <c r="D11" s="120"/>
      <c r="E11" s="9">
        <v>-922843</v>
      </c>
      <c r="F11" s="14" t="s">
        <v>3</v>
      </c>
      <c r="G11" s="1"/>
    </row>
    <row r="12" spans="1:7" x14ac:dyDescent="0.25">
      <c r="A12" s="1"/>
      <c r="B12" s="33"/>
      <c r="C12" s="28"/>
      <c r="D12" s="28"/>
      <c r="E12" s="28"/>
      <c r="F12" s="19"/>
      <c r="G12" s="1"/>
    </row>
    <row r="13" spans="1:7" ht="42" customHeight="1" x14ac:dyDescent="0.25">
      <c r="A13" s="1"/>
      <c r="B13" s="127" t="s">
        <v>279</v>
      </c>
      <c r="C13" s="128"/>
      <c r="D13" s="128"/>
      <c r="E13" s="128"/>
      <c r="F13" s="129"/>
      <c r="G13" s="1"/>
    </row>
    <row r="14" spans="1:7" ht="15" customHeight="1" x14ac:dyDescent="0.25">
      <c r="A14" s="1"/>
      <c r="B14" s="1"/>
      <c r="C14" s="1"/>
      <c r="D14" s="1"/>
      <c r="E14" s="1"/>
      <c r="F14" s="1"/>
      <c r="G14" s="1"/>
    </row>
    <row r="15" spans="1:7" x14ac:dyDescent="0.25">
      <c r="A15" s="1"/>
      <c r="B15" s="75" t="s">
        <v>280</v>
      </c>
      <c r="C15" s="76"/>
      <c r="D15" s="76"/>
      <c r="E15" s="76"/>
      <c r="F15" s="77"/>
      <c r="G15" s="1"/>
    </row>
    <row r="16" spans="1:7" x14ac:dyDescent="0.25">
      <c r="A16" s="1"/>
      <c r="B16" s="78" t="s">
        <v>281</v>
      </c>
      <c r="C16" s="79"/>
      <c r="D16" s="80"/>
      <c r="E16" s="9">
        <f>IF(E11&lt;0,E11,0)</f>
        <v>-922843</v>
      </c>
      <c r="F16" s="14" t="s">
        <v>3</v>
      </c>
      <c r="G16" s="1"/>
    </row>
    <row r="17" spans="1:7" x14ac:dyDescent="0.25">
      <c r="A17" s="1"/>
      <c r="B17" s="78" t="s">
        <v>282</v>
      </c>
      <c r="C17" s="79"/>
      <c r="D17" s="80"/>
      <c r="E17" s="9">
        <f>IF(SUM(E10)&gt;0,SUM(E10),0)</f>
        <v>0</v>
      </c>
      <c r="F17" s="14" t="s">
        <v>3</v>
      </c>
      <c r="G17" s="1"/>
    </row>
    <row r="18" spans="1:7" x14ac:dyDescent="0.25">
      <c r="A18" s="1"/>
      <c r="B18" s="82" t="s">
        <v>283</v>
      </c>
      <c r="C18" s="83"/>
      <c r="D18" s="84"/>
      <c r="E18" s="63">
        <f>IF(SUM(E16:E17)&gt;0,0,SUM(E16:E17))</f>
        <v>-922843</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284</v>
      </c>
      <c r="C21" s="76"/>
      <c r="D21" s="76"/>
      <c r="E21" s="76"/>
      <c r="F21" s="77"/>
      <c r="G21" s="1"/>
    </row>
    <row r="22" spans="1:7" x14ac:dyDescent="0.25">
      <c r="A22" s="1"/>
      <c r="B22" s="78" t="s">
        <v>285</v>
      </c>
      <c r="C22" s="79"/>
      <c r="D22" s="80"/>
      <c r="E22" s="9">
        <v>67856985</v>
      </c>
      <c r="F22" s="14" t="s">
        <v>3</v>
      </c>
      <c r="G22" s="1"/>
    </row>
    <row r="23" spans="1:7" x14ac:dyDescent="0.25">
      <c r="A23" s="1"/>
      <c r="B23" s="78" t="s">
        <v>286</v>
      </c>
      <c r="C23" s="79"/>
      <c r="D23" s="80"/>
      <c r="E23" s="9">
        <v>73598303</v>
      </c>
      <c r="F23" s="14" t="s">
        <v>3</v>
      </c>
      <c r="G23" s="1"/>
    </row>
    <row r="24" spans="1:7" x14ac:dyDescent="0.25">
      <c r="A24" s="1"/>
      <c r="B24" s="78" t="s">
        <v>30</v>
      </c>
      <c r="C24" s="79"/>
      <c r="D24" s="80"/>
      <c r="E24" s="9">
        <v>0</v>
      </c>
      <c r="F24" s="14" t="s">
        <v>3</v>
      </c>
      <c r="G24" s="1"/>
    </row>
    <row r="25" spans="1:7" x14ac:dyDescent="0.25">
      <c r="A25" s="1"/>
      <c r="B25" s="82" t="s">
        <v>287</v>
      </c>
      <c r="C25" s="83"/>
      <c r="D25" s="84"/>
      <c r="E25" s="63">
        <f>E22-E23-E24</f>
        <v>-5741318</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288</v>
      </c>
      <c r="C28" s="116"/>
      <c r="D28" s="116"/>
      <c r="E28" s="116"/>
      <c r="F28" s="117"/>
      <c r="G28" s="1"/>
    </row>
    <row r="29" spans="1:7" x14ac:dyDescent="0.25">
      <c r="A29" s="1"/>
      <c r="B29" s="133" t="s">
        <v>116</v>
      </c>
      <c r="C29" s="134"/>
      <c r="D29" s="135"/>
      <c r="E29" s="9">
        <f>IF(E18&lt;0,IF(E25&lt;0,SUM(E18,E25),IF(E10&gt;0,SUM(E10:E11),E18)),IF(AND(E25&lt;0,SUM(E25,E11)&lt;0),IF(E11&lt;0,E25,IF(SUM(E10:E11)&gt;0,SUM(E25,E11),IF(AND(E25&lt;0,E18=0,E11&gt;0),IF(SUM(E9:E11)&gt;0,E25+E11,E25)))),0))</f>
        <v>-6664161</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-3332080.5</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9"/>
      <c r="B46" s="49"/>
      <c r="C46" s="49"/>
      <c r="D46" s="49"/>
      <c r="E46" s="49"/>
      <c r="F46" s="49"/>
      <c r="G46" s="49"/>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G51" s="49"/>
    </row>
  </sheetData>
  <sheetProtection algorithmName="SHA-512" hashValue="QE6SMTVHlJNJup/th+PsDb6wADHEu3pP8FgNZc/ospIyc9smdPiasbtWDreU9SNTpx5Qi1IHCtAEZk8dw9psgA==" saltValue="8czu6tiWoUXGYCASgqudpA=="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1"/>
  <sheetViews>
    <sheetView view="pageLayout" zoomScaleNormal="100" workbookViewId="0"/>
  </sheetViews>
  <sheetFormatPr defaultColWidth="9.140625" defaultRowHeight="15" x14ac:dyDescent="0.25"/>
  <cols>
    <col min="1" max="1" width="4.7109375" style="62" customWidth="1"/>
    <col min="2" max="2" width="22.5703125" style="62" customWidth="1"/>
    <col min="3" max="3" width="8.28515625" style="62" customWidth="1"/>
    <col min="4" max="6" width="10.7109375" style="62" customWidth="1"/>
    <col min="7" max="7" width="11.140625" style="62" customWidth="1"/>
    <col min="8" max="8" width="3.28515625" style="62" customWidth="1"/>
    <col min="9" max="9" width="4.85546875" style="62" customWidth="1"/>
    <col min="10" max="16384" width="9.140625" style="6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0</v>
      </c>
      <c r="H12" s="9" t="s">
        <v>3</v>
      </c>
      <c r="I12" s="1"/>
    </row>
    <row r="13" spans="1:9" x14ac:dyDescent="0.25">
      <c r="A13" s="1"/>
      <c r="B13" s="142" t="s">
        <v>175</v>
      </c>
      <c r="C13" s="143"/>
      <c r="D13" s="143"/>
      <c r="E13" s="143"/>
      <c r="F13" s="144"/>
      <c r="G13" s="9">
        <v>-1662069</v>
      </c>
      <c r="H13" s="9" t="s">
        <v>3</v>
      </c>
      <c r="I13" s="1"/>
    </row>
    <row r="14" spans="1:9" x14ac:dyDescent="0.25">
      <c r="A14" s="1"/>
      <c r="B14" s="142" t="s">
        <v>176</v>
      </c>
      <c r="C14" s="143"/>
      <c r="D14" s="143"/>
      <c r="E14" s="143"/>
      <c r="F14" s="144"/>
      <c r="G14" s="9">
        <v>-1662069</v>
      </c>
      <c r="H14" s="9" t="s">
        <v>3</v>
      </c>
      <c r="I14" s="1"/>
    </row>
    <row r="15" spans="1:9" x14ac:dyDescent="0.25">
      <c r="A15" s="1"/>
      <c r="B15" s="142" t="s">
        <v>177</v>
      </c>
      <c r="C15" s="143"/>
      <c r="D15" s="143"/>
      <c r="E15" s="143"/>
      <c r="F15" s="144"/>
      <c r="G15" s="9">
        <v>-1662069</v>
      </c>
      <c r="H15" s="9" t="s">
        <v>3</v>
      </c>
      <c r="I15" s="1"/>
    </row>
    <row r="16" spans="1:9" x14ac:dyDescent="0.25">
      <c r="A16" s="1"/>
      <c r="B16" s="142" t="s">
        <v>178</v>
      </c>
      <c r="C16" s="143"/>
      <c r="D16" s="143"/>
      <c r="E16" s="143"/>
      <c r="F16" s="144"/>
      <c r="G16" s="9">
        <v>-1662069</v>
      </c>
      <c r="H16" s="9" t="s">
        <v>3</v>
      </c>
      <c r="I16" s="1"/>
    </row>
    <row r="17" spans="1:9" ht="15.75" customHeight="1" x14ac:dyDescent="0.25">
      <c r="A17" s="1"/>
      <c r="B17" s="142" t="s">
        <v>179</v>
      </c>
      <c r="C17" s="143"/>
      <c r="D17" s="143"/>
      <c r="E17" s="143"/>
      <c r="F17" s="144"/>
      <c r="G17" s="9">
        <v>-1662069</v>
      </c>
      <c r="H17" s="9" t="s">
        <v>3</v>
      </c>
      <c r="I17" s="1"/>
    </row>
    <row r="18" spans="1:9" ht="15.75" customHeight="1" x14ac:dyDescent="0.25">
      <c r="A18" s="1"/>
      <c r="B18" s="142" t="s">
        <v>272</v>
      </c>
      <c r="C18" s="143"/>
      <c r="D18" s="143"/>
      <c r="E18" s="143"/>
      <c r="F18" s="144"/>
      <c r="G18" s="9">
        <v>-1662069</v>
      </c>
      <c r="H18" s="9" t="s">
        <v>3</v>
      </c>
      <c r="I18" s="1"/>
    </row>
    <row r="19" spans="1:9" x14ac:dyDescent="0.25">
      <c r="A19" s="1"/>
      <c r="B19" s="115" t="s">
        <v>180</v>
      </c>
      <c r="C19" s="116"/>
      <c r="D19" s="116"/>
      <c r="E19" s="116"/>
      <c r="F19" s="117"/>
      <c r="G19" s="12">
        <f>SUM(G10:G18)</f>
        <v>-9972414</v>
      </c>
      <c r="H19" s="13" t="s">
        <v>3</v>
      </c>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sheetData>
  <sheetProtection algorithmName="SHA-512" hashValue="zNb4GwhHUA+mq4ymDhZoGNYQ/3TN+EqLbBnP9p0WOinKS5NOWzVUh1OwiIx4hSMZwOdoYSl2sbghXy7jG3zCjg==" saltValue="Xhg0BDAP1liLCpqUDgWYeA==" spinCount="100000" sheet="1" objects="1" scenarios="1"/>
  <mergeCells count="13">
    <mergeCell ref="B19:F19"/>
    <mergeCell ref="B13:F13"/>
    <mergeCell ref="B14:F14"/>
    <mergeCell ref="B15:F15"/>
    <mergeCell ref="B16:F16"/>
    <mergeCell ref="B17:F17"/>
    <mergeCell ref="B18:F18"/>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27" t="s">
        <v>82</v>
      </c>
      <c r="C10" s="128"/>
      <c r="D10" s="129"/>
      <c r="E10" s="7">
        <v>0</v>
      </c>
      <c r="F10" s="8" t="s">
        <v>3</v>
      </c>
      <c r="G10" s="1"/>
    </row>
    <row r="11" spans="1:7" x14ac:dyDescent="0.25">
      <c r="A11" s="1"/>
      <c r="B11" s="118" t="s">
        <v>229</v>
      </c>
      <c r="C11" s="119"/>
      <c r="D11" s="120"/>
      <c r="E11" s="7">
        <v>0</v>
      </c>
      <c r="F11" s="8" t="s">
        <v>3</v>
      </c>
      <c r="G11" s="1"/>
    </row>
    <row r="12" spans="1:7" x14ac:dyDescent="0.25">
      <c r="A12" s="1"/>
      <c r="B12" s="136" t="s">
        <v>83</v>
      </c>
      <c r="C12" s="137"/>
      <c r="D12" s="138"/>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0</v>
      </c>
      <c r="F14" s="8" t="s">
        <v>3</v>
      </c>
      <c r="G14" s="1"/>
    </row>
    <row r="15" spans="1:7" x14ac:dyDescent="0.25">
      <c r="A15" s="1"/>
      <c r="B15" s="127" t="s">
        <v>231</v>
      </c>
      <c r="C15" s="128"/>
      <c r="D15" s="129"/>
      <c r="E15" s="7">
        <v>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aXnzZUJKOecwwWLnIcwgwhxt5KLBtLXx2OhAof/Eik5netbhkPSwdBOeNgoTRDK1kdMksN6aF3oWD9Us44+Zg==" saltValue="NAhT/KqdO9L5DfdKM3BvR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0"/>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5" t="s">
        <v>265</v>
      </c>
      <c r="C10" s="46">
        <v>75</v>
      </c>
      <c r="D10" s="9">
        <v>1442758</v>
      </c>
      <c r="E10" s="14" t="s">
        <v>3</v>
      </c>
      <c r="F10" s="9">
        <f>IFERROR(D10/C10,0)</f>
        <v>19236.773333333334</v>
      </c>
      <c r="G10" s="14" t="s">
        <v>3</v>
      </c>
      <c r="H10" s="42">
        <v>0</v>
      </c>
      <c r="I10" s="14" t="s">
        <v>3</v>
      </c>
      <c r="J10" s="42">
        <v>19239</v>
      </c>
      <c r="K10" s="14" t="s">
        <v>3</v>
      </c>
      <c r="L10" s="1"/>
    </row>
    <row r="11" spans="1:12" x14ac:dyDescent="0.25">
      <c r="A11" s="1"/>
      <c r="B11" s="85" t="s">
        <v>266</v>
      </c>
      <c r="C11" s="39">
        <v>75</v>
      </c>
      <c r="D11" s="9">
        <v>2353733</v>
      </c>
      <c r="E11" s="14" t="s">
        <v>3</v>
      </c>
      <c r="F11" s="9">
        <f t="shared" ref="F11:F14" si="0">IFERROR(D11/C11,0)</f>
        <v>31383.106666666667</v>
      </c>
      <c r="G11" s="14" t="s">
        <v>3</v>
      </c>
      <c r="H11" s="42">
        <v>0</v>
      </c>
      <c r="I11" s="14" t="s">
        <v>3</v>
      </c>
      <c r="J11" s="42">
        <v>31387</v>
      </c>
      <c r="K11" s="14" t="s">
        <v>3</v>
      </c>
      <c r="L11" s="1"/>
    </row>
    <row r="12" spans="1:12" ht="26.25" x14ac:dyDescent="0.25">
      <c r="A12" s="1"/>
      <c r="B12" s="85" t="s">
        <v>267</v>
      </c>
      <c r="C12" s="39">
        <v>75</v>
      </c>
      <c r="D12" s="9">
        <v>4276977</v>
      </c>
      <c r="E12" s="14" t="s">
        <v>3</v>
      </c>
      <c r="F12" s="9">
        <f t="shared" si="0"/>
        <v>57026.36</v>
      </c>
      <c r="G12" s="14" t="s">
        <v>3</v>
      </c>
      <c r="H12" s="42">
        <v>0</v>
      </c>
      <c r="I12" s="14" t="s">
        <v>3</v>
      </c>
      <c r="J12" s="42">
        <v>57033</v>
      </c>
      <c r="K12" s="14" t="s">
        <v>3</v>
      </c>
      <c r="L12" s="1"/>
    </row>
    <row r="13" spans="1:12" x14ac:dyDescent="0.25">
      <c r="A13" s="1"/>
      <c r="B13" s="85" t="s">
        <v>268</v>
      </c>
      <c r="C13" s="39">
        <v>50</v>
      </c>
      <c r="D13" s="9">
        <v>67677</v>
      </c>
      <c r="E13" s="14" t="s">
        <v>3</v>
      </c>
      <c r="F13" s="9">
        <f t="shared" si="0"/>
        <v>1353.54</v>
      </c>
      <c r="G13" s="14" t="s">
        <v>3</v>
      </c>
      <c r="H13" s="42">
        <v>0</v>
      </c>
      <c r="I13" s="14" t="s">
        <v>3</v>
      </c>
      <c r="J13" s="42">
        <v>902</v>
      </c>
      <c r="K13" s="14" t="s">
        <v>3</v>
      </c>
      <c r="L13" s="1"/>
    </row>
    <row r="14" spans="1:12" ht="26.25" x14ac:dyDescent="0.25">
      <c r="A14" s="1"/>
      <c r="B14" s="85" t="s">
        <v>269</v>
      </c>
      <c r="C14" s="39">
        <v>50</v>
      </c>
      <c r="D14" s="9">
        <v>33952</v>
      </c>
      <c r="E14" s="14" t="s">
        <v>3</v>
      </c>
      <c r="F14" s="9">
        <f t="shared" si="0"/>
        <v>679.04</v>
      </c>
      <c r="G14" s="14" t="s">
        <v>3</v>
      </c>
      <c r="H14" s="42">
        <v>0</v>
      </c>
      <c r="I14" s="14" t="s">
        <v>3</v>
      </c>
      <c r="J14" s="42">
        <v>473</v>
      </c>
      <c r="K14" s="14" t="s">
        <v>3</v>
      </c>
      <c r="L14" s="1"/>
    </row>
    <row r="15" spans="1:12" x14ac:dyDescent="0.25">
      <c r="A15" s="1"/>
      <c r="B15" s="75" t="s">
        <v>150</v>
      </c>
      <c r="C15" s="76"/>
      <c r="D15" s="77"/>
      <c r="E15" s="77"/>
      <c r="F15" s="12">
        <f>SUM(F10:F14)</f>
        <v>109678.81999999999</v>
      </c>
      <c r="G15" s="12" t="s">
        <v>163</v>
      </c>
      <c r="H15" s="12">
        <f>SUM(H10:H14)</f>
        <v>0</v>
      </c>
      <c r="I15" s="12" t="s">
        <v>163</v>
      </c>
      <c r="J15" s="12">
        <f>SUM(J10:J14)</f>
        <v>109034</v>
      </c>
      <c r="K15" s="13" t="s">
        <v>3</v>
      </c>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x14ac:dyDescent="0.25">
      <c r="A49" s="49"/>
      <c r="B49" s="49"/>
      <c r="C49" s="49"/>
      <c r="D49" s="49"/>
      <c r="E49" s="49"/>
      <c r="F49" s="49"/>
      <c r="G49" s="49"/>
      <c r="H49" s="49"/>
      <c r="I49" s="49"/>
      <c r="J49" s="49"/>
      <c r="K49" s="49"/>
      <c r="L49" s="49"/>
    </row>
    <row r="50" spans="1:12" x14ac:dyDescent="0.25">
      <c r="A50" s="49"/>
      <c r="B50" s="49"/>
      <c r="C50" s="49"/>
      <c r="D50" s="49"/>
      <c r="E50" s="49"/>
      <c r="F50" s="49"/>
      <c r="G50" s="49"/>
      <c r="H50" s="49"/>
      <c r="I50" s="49"/>
      <c r="J50" s="49"/>
      <c r="K50" s="49"/>
      <c r="L50" s="49"/>
    </row>
  </sheetData>
  <sheetProtection algorithmName="SHA-512" hashValue="/LJ4Lee5L3wVvRzlL2d4fu8U7Urt3Jr6mq01hfxJo0NhPSHi3f02BeGRIBK0iOjH6KDaKRgqhr2R2to9cj7uuA==" saltValue="pISBsE9qYdatPMQI7Z0nx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19)'!H15</f>
        <v>0</v>
      </c>
      <c r="D10" s="14" t="s">
        <v>3</v>
      </c>
      <c r="E10" s="9">
        <f>SUM('Fane 10. Anlægsprojekter (§ 19)'!F15,'Fane 10. Anlægsprojekter (§ 19)'!J15)</f>
        <v>218712.82</v>
      </c>
      <c r="F10" s="14" t="s">
        <v>3</v>
      </c>
      <c r="G10" s="1"/>
    </row>
    <row r="11" spans="1:7" x14ac:dyDescent="0.25">
      <c r="A11" s="1"/>
      <c r="B11" s="24" t="s">
        <v>289</v>
      </c>
      <c r="C11" s="21">
        <v>85000</v>
      </c>
      <c r="D11" s="14" t="s">
        <v>3</v>
      </c>
      <c r="E11" s="9">
        <v>234160</v>
      </c>
      <c r="F11" s="14" t="s">
        <v>3</v>
      </c>
      <c r="G11" s="1"/>
    </row>
    <row r="12" spans="1:7" x14ac:dyDescent="0.25">
      <c r="A12" s="1"/>
      <c r="B12" s="24" t="s">
        <v>290</v>
      </c>
      <c r="C12" s="21">
        <v>30000</v>
      </c>
      <c r="D12" s="14" t="s">
        <v>3</v>
      </c>
      <c r="E12" s="9">
        <v>149981</v>
      </c>
      <c r="F12" s="14" t="s">
        <v>3</v>
      </c>
      <c r="G12" s="1"/>
    </row>
    <row r="13" spans="1:7" x14ac:dyDescent="0.25">
      <c r="A13" s="1"/>
      <c r="B13" s="24" t="s">
        <v>291</v>
      </c>
      <c r="C13" s="21">
        <v>0</v>
      </c>
      <c r="D13" s="14" t="s">
        <v>3</v>
      </c>
      <c r="E13" s="9">
        <v>281455.01</v>
      </c>
      <c r="F13" s="14" t="s">
        <v>3</v>
      </c>
      <c r="G13" s="1"/>
    </row>
    <row r="14" spans="1:7" x14ac:dyDescent="0.25">
      <c r="A14" s="1"/>
      <c r="B14" s="24" t="s">
        <v>292</v>
      </c>
      <c r="C14" s="21">
        <v>106315</v>
      </c>
      <c r="D14" s="14" t="s">
        <v>3</v>
      </c>
      <c r="E14" s="9">
        <v>255028</v>
      </c>
      <c r="F14" s="14" t="s">
        <v>3</v>
      </c>
      <c r="G14" s="1"/>
    </row>
    <row r="15" spans="1:7" x14ac:dyDescent="0.25">
      <c r="A15" s="1"/>
      <c r="B15" s="24" t="s">
        <v>293</v>
      </c>
      <c r="C15" s="21">
        <v>216086</v>
      </c>
      <c r="D15" s="14" t="s">
        <v>3</v>
      </c>
      <c r="E15" s="9">
        <v>324727</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437401</v>
      </c>
      <c r="D19" s="13" t="s">
        <v>3</v>
      </c>
      <c r="E19" s="12">
        <f>SUM(E10:E18)</f>
        <v>1464063.83</v>
      </c>
      <c r="F19" s="13" t="s">
        <v>3</v>
      </c>
      <c r="G19" s="1"/>
    </row>
    <row r="20" spans="1:7" x14ac:dyDescent="0.25">
      <c r="A20" s="1"/>
      <c r="B20" s="33" t="s">
        <v>233</v>
      </c>
      <c r="C20" s="12">
        <f>C19*(1+'Fane 15. Nøgletal'!C16)</f>
        <v>472743.00079999998</v>
      </c>
      <c r="D20" s="13" t="s">
        <v>3</v>
      </c>
      <c r="E20" s="12">
        <f>E19*(1+'Fane 15. Nøgletal'!C16)</f>
        <v>1582360.187464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MfWvDRJCFEhHQp5+cglsvfiPZe5F2knZU4Iibpo2tqceI5B45yhnLTE0SvAdWLYayL84S0z69Ut0ctWi+7e69w==" saltValue="6hlfZ0FLhsM72S73jA5BC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6" t="s">
        <v>17</v>
      </c>
      <c r="C9" s="86" t="s">
        <v>11</v>
      </c>
      <c r="D9" s="87"/>
      <c r="E9" s="86" t="s">
        <v>28</v>
      </c>
      <c r="F9" s="32"/>
      <c r="G9" s="1"/>
    </row>
    <row r="10" spans="1:7" x14ac:dyDescent="0.25">
      <c r="A10" s="1"/>
      <c r="B10" s="24" t="s">
        <v>294</v>
      </c>
      <c r="C10" s="21">
        <v>0</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3"/>
      <c r="C17" s="53"/>
      <c r="D17" s="53"/>
      <c r="E17" s="53"/>
      <c r="F17" s="54"/>
      <c r="G17" s="1"/>
    </row>
    <row r="18" spans="1:7" x14ac:dyDescent="0.25">
      <c r="A18" s="1"/>
      <c r="B18" s="55"/>
      <c r="C18" s="56"/>
      <c r="D18" s="57"/>
      <c r="E18" s="58"/>
      <c r="F18" s="57"/>
      <c r="G18" s="1"/>
    </row>
    <row r="19" spans="1:7" x14ac:dyDescent="0.25">
      <c r="A19" s="1"/>
      <c r="B19" s="55"/>
      <c r="C19" s="56"/>
      <c r="D19" s="57"/>
      <c r="E19" s="58"/>
      <c r="F19" s="57"/>
      <c r="G19" s="1"/>
    </row>
    <row r="20" spans="1:7" x14ac:dyDescent="0.25">
      <c r="A20" s="1"/>
      <c r="B20" s="59"/>
      <c r="C20" s="60"/>
      <c r="D20" s="61"/>
      <c r="E20" s="60"/>
      <c r="F20" s="61"/>
      <c r="G20" s="1"/>
    </row>
    <row r="21" spans="1:7" x14ac:dyDescent="0.25">
      <c r="A21" s="1"/>
      <c r="B21" s="59"/>
      <c r="C21" s="60"/>
      <c r="D21" s="61"/>
      <c r="E21" s="60"/>
      <c r="F21" s="61"/>
      <c r="G21" s="1"/>
    </row>
    <row r="22" spans="1:7" x14ac:dyDescent="0.25">
      <c r="A22" s="1"/>
      <c r="B22" s="52"/>
      <c r="C22" s="52"/>
      <c r="D22" s="52"/>
      <c r="E22" s="52"/>
      <c r="F22" s="52"/>
      <c r="G22" s="1"/>
    </row>
    <row r="23" spans="1:7" x14ac:dyDescent="0.25">
      <c r="A23" s="1"/>
      <c r="B23" s="150"/>
      <c r="C23" s="150"/>
      <c r="D23" s="150"/>
      <c r="E23" s="150"/>
      <c r="F23" s="150"/>
      <c r="G23" s="1"/>
    </row>
    <row r="24" spans="1:7" x14ac:dyDescent="0.25">
      <c r="A24" s="1"/>
      <c r="B24" s="53"/>
      <c r="C24" s="53"/>
      <c r="D24" s="53"/>
      <c r="E24" s="53"/>
      <c r="F24" s="54"/>
      <c r="G24" s="1"/>
    </row>
    <row r="25" spans="1:7" x14ac:dyDescent="0.25">
      <c r="A25" s="1"/>
      <c r="B25" s="55"/>
      <c r="C25" s="56"/>
      <c r="D25" s="57"/>
      <c r="E25" s="58"/>
      <c r="F25" s="57"/>
      <c r="G25" s="1"/>
    </row>
    <row r="26" spans="1:7" x14ac:dyDescent="0.25">
      <c r="A26" s="1"/>
      <c r="B26" s="55"/>
      <c r="C26" s="56"/>
      <c r="D26" s="57"/>
      <c r="E26" s="58"/>
      <c r="F26" s="57"/>
      <c r="G26" s="1"/>
    </row>
    <row r="27" spans="1:7" x14ac:dyDescent="0.25">
      <c r="A27" s="1"/>
      <c r="B27" s="59"/>
      <c r="C27" s="60"/>
      <c r="D27" s="61"/>
      <c r="E27" s="60"/>
      <c r="F27" s="61"/>
      <c r="G27" s="1"/>
    </row>
    <row r="28" spans="1:7" x14ac:dyDescent="0.25">
      <c r="A28" s="1"/>
      <c r="B28" s="59"/>
      <c r="C28" s="60"/>
      <c r="D28" s="61"/>
      <c r="E28" s="60"/>
      <c r="F28" s="61"/>
      <c r="G28" s="1"/>
    </row>
    <row r="29" spans="1:7" x14ac:dyDescent="0.25">
      <c r="A29" s="1"/>
      <c r="B29" s="52"/>
      <c r="C29" s="52"/>
      <c r="D29" s="52"/>
      <c r="E29" s="52"/>
      <c r="F29" s="52"/>
      <c r="G29" s="1"/>
    </row>
    <row r="30" spans="1:7" x14ac:dyDescent="0.25">
      <c r="A30" s="1"/>
      <c r="B30" s="150"/>
      <c r="C30" s="150"/>
      <c r="D30" s="150"/>
      <c r="E30" s="150"/>
      <c r="F30" s="150"/>
      <c r="G30" s="1"/>
    </row>
    <row r="31" spans="1:7" x14ac:dyDescent="0.25">
      <c r="A31" s="1"/>
      <c r="B31" s="53"/>
      <c r="C31" s="53"/>
      <c r="D31" s="53"/>
      <c r="E31" s="53"/>
      <c r="F31" s="54"/>
      <c r="G31" s="1"/>
    </row>
    <row r="32" spans="1:7" x14ac:dyDescent="0.25">
      <c r="A32" s="1"/>
      <c r="B32" s="55"/>
      <c r="C32" s="56"/>
      <c r="D32" s="57"/>
      <c r="E32" s="58"/>
      <c r="F32" s="57"/>
      <c r="G32" s="1"/>
    </row>
    <row r="33" spans="1:7" x14ac:dyDescent="0.25">
      <c r="A33" s="1"/>
      <c r="B33" s="55"/>
      <c r="C33" s="56"/>
      <c r="D33" s="57"/>
      <c r="E33" s="58"/>
      <c r="F33" s="57"/>
      <c r="G33" s="1"/>
    </row>
    <row r="34" spans="1:7" x14ac:dyDescent="0.25">
      <c r="A34" s="1"/>
      <c r="B34" s="59"/>
      <c r="C34" s="60"/>
      <c r="D34" s="61"/>
      <c r="E34" s="60"/>
      <c r="F34" s="61"/>
      <c r="G34" s="1"/>
    </row>
    <row r="35" spans="1:7" x14ac:dyDescent="0.25">
      <c r="A35" s="1"/>
      <c r="B35" s="59"/>
      <c r="C35" s="60"/>
      <c r="D35" s="61"/>
      <c r="E35" s="60"/>
      <c r="F35" s="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Ta6tSRtmiCo24QzrP6sCsgkp066gKPygM3DPDWsslfzmIWhcPoD8l2Wt0hZPM5CX37i4hsvU/6976sXp9eJpg==" saltValue="u/74MiSAERN8zUJM6+UpgA=="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42" t="s">
        <v>236</v>
      </c>
      <c r="C10" s="143"/>
      <c r="D10" s="144"/>
      <c r="E10" s="9">
        <v>108508.32006085444</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-2170.1664012170891</v>
      </c>
      <c r="F12" s="14" t="s">
        <v>3</v>
      </c>
      <c r="G12" s="1"/>
    </row>
    <row r="13" spans="1:7" x14ac:dyDescent="0.25">
      <c r="A13" s="1"/>
      <c r="B13" s="115" t="s">
        <v>111</v>
      </c>
      <c r="C13" s="116"/>
      <c r="D13" s="117"/>
      <c r="E13" s="12">
        <f>SUM(E10:E12)*(1+'Fane 15. Nøgletal'!C16)^2</f>
        <v>124216.64281454319</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42" t="s">
        <v>236</v>
      </c>
      <c r="C16" s="143"/>
      <c r="D16" s="144"/>
      <c r="E16" s="9">
        <v>108508.32006085444</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-2170.1664012170891</v>
      </c>
      <c r="F18" s="14" t="s">
        <v>3</v>
      </c>
      <c r="G18" s="1"/>
    </row>
    <row r="19" spans="1:7" x14ac:dyDescent="0.25">
      <c r="A19" s="1"/>
      <c r="B19" s="115" t="s">
        <v>125</v>
      </c>
      <c r="C19" s="116"/>
      <c r="D19" s="117"/>
      <c r="E19" s="12">
        <f>SUM(E16:E18)*(1+'Fane 15. Nøgletal'!C16)^3</f>
        <v>134253.34755395827</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5" t="s">
        <v>146</v>
      </c>
      <c r="C25" s="116"/>
      <c r="D25" s="117"/>
      <c r="E25" s="12">
        <f>SUM(E22:E24)*(1+'Fane 15. Nøgletal'!C16)^4</f>
        <v>0</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5" t="s">
        <v>238</v>
      </c>
      <c r="C31" s="116"/>
      <c r="D31" s="117"/>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RUor5eDXoPSfSNiQGzAdvc5SXvVPr6rFaAoouUZq4zHsaoifhyrdH77nfM1sSJvYff81BPDtD6pp1G9lq7yKg==" saltValue="Rf45rszwgZ5aWuKVGa+j+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8"/>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72" t="s">
        <v>274</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bui/XJOayudydDt5abJrc897Ehu3YVyG/nM7EH/dMZ/vbGwYzN9zBUpIz5y1TseG9If2u1Gs2V1pzNNZxftvTw==" saltValue="4puMWDVoBDLW3MWXyy6oI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5" t="s">
        <v>11</v>
      </c>
      <c r="D10" s="147"/>
      <c r="E10" s="145" t="s">
        <v>28</v>
      </c>
      <c r="F10" s="147"/>
      <c r="G10" s="1"/>
    </row>
    <row r="11" spans="1:7" x14ac:dyDescent="0.25">
      <c r="A11" s="1"/>
      <c r="B11" s="72" t="s">
        <v>275</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4"/>
      <c r="C16" s="54"/>
      <c r="D16" s="54"/>
      <c r="E16" s="54"/>
      <c r="F16" s="54"/>
      <c r="G16" s="1"/>
    </row>
    <row r="17" spans="1:7" x14ac:dyDescent="0.25">
      <c r="A17" s="1"/>
      <c r="B17" s="55"/>
      <c r="C17" s="58"/>
      <c r="D17" s="57"/>
      <c r="E17" s="58"/>
      <c r="F17" s="57"/>
      <c r="G17" s="1"/>
    </row>
    <row r="18" spans="1:7" x14ac:dyDescent="0.25">
      <c r="A18" s="1"/>
      <c r="B18" s="59"/>
      <c r="C18" s="60"/>
      <c r="D18" s="61"/>
      <c r="E18" s="60"/>
      <c r="F18" s="61"/>
      <c r="G18" s="1"/>
    </row>
    <row r="19" spans="1:7" x14ac:dyDescent="0.25">
      <c r="A19" s="1"/>
      <c r="B19" s="59"/>
      <c r="C19" s="60"/>
      <c r="D19" s="61"/>
      <c r="E19" s="60"/>
      <c r="F19" s="61"/>
      <c r="G19" s="1"/>
    </row>
    <row r="20" spans="1:7" x14ac:dyDescent="0.25">
      <c r="A20" s="1"/>
      <c r="B20" s="52"/>
      <c r="C20" s="52"/>
      <c r="D20" s="52"/>
      <c r="E20" s="52"/>
      <c r="F20" s="52"/>
      <c r="G20" s="1"/>
    </row>
    <row r="21" spans="1:7" x14ac:dyDescent="0.25">
      <c r="A21" s="1"/>
      <c r="B21" s="150"/>
      <c r="C21" s="150"/>
      <c r="D21" s="150"/>
      <c r="E21" s="150"/>
      <c r="F21" s="150"/>
      <c r="G21" s="1"/>
    </row>
    <row r="22" spans="1:7" x14ac:dyDescent="0.25">
      <c r="A22" s="1"/>
      <c r="B22" s="54"/>
      <c r="C22" s="54"/>
      <c r="D22" s="54"/>
      <c r="E22" s="54"/>
      <c r="F22" s="54"/>
      <c r="G22" s="1"/>
    </row>
    <row r="23" spans="1:7" x14ac:dyDescent="0.25">
      <c r="A23" s="1"/>
      <c r="B23" s="55"/>
      <c r="C23" s="58"/>
      <c r="D23" s="57"/>
      <c r="E23" s="58"/>
      <c r="F23" s="57"/>
      <c r="G23" s="1"/>
    </row>
    <row r="24" spans="1:7" x14ac:dyDescent="0.25">
      <c r="A24" s="1"/>
      <c r="B24" s="59"/>
      <c r="C24" s="60"/>
      <c r="D24" s="61"/>
      <c r="E24" s="60"/>
      <c r="F24" s="61"/>
      <c r="G24" s="1"/>
    </row>
    <row r="25" spans="1:7" x14ac:dyDescent="0.25">
      <c r="A25" s="1"/>
      <c r="B25" s="59"/>
      <c r="C25" s="60"/>
      <c r="D25" s="61"/>
      <c r="E25" s="60"/>
      <c r="F25" s="61"/>
      <c r="G25" s="1"/>
    </row>
    <row r="26" spans="1:7" x14ac:dyDescent="0.25">
      <c r="A26" s="1"/>
      <c r="B26" s="52"/>
      <c r="C26" s="52"/>
      <c r="D26" s="52"/>
      <c r="E26" s="52"/>
      <c r="F26" s="52"/>
      <c r="G26" s="1"/>
    </row>
    <row r="27" spans="1:7" x14ac:dyDescent="0.25">
      <c r="A27" s="1"/>
      <c r="B27" s="150"/>
      <c r="C27" s="150"/>
      <c r="D27" s="150"/>
      <c r="E27" s="150"/>
      <c r="F27" s="150"/>
      <c r="G27" s="1"/>
    </row>
    <row r="28" spans="1:7" x14ac:dyDescent="0.25">
      <c r="A28" s="1"/>
      <c r="B28" s="54"/>
      <c r="C28" s="54"/>
      <c r="D28" s="54"/>
      <c r="E28" s="54"/>
      <c r="F28" s="54"/>
      <c r="G28" s="1"/>
    </row>
    <row r="29" spans="1:7" x14ac:dyDescent="0.25">
      <c r="A29" s="1"/>
      <c r="B29" s="55"/>
      <c r="C29" s="58"/>
      <c r="D29" s="57"/>
      <c r="E29" s="58"/>
      <c r="F29" s="57"/>
      <c r="G29" s="1"/>
    </row>
    <row r="30" spans="1:7" x14ac:dyDescent="0.25">
      <c r="A30" s="1"/>
      <c r="B30" s="59"/>
      <c r="C30" s="60"/>
      <c r="D30" s="61"/>
      <c r="E30" s="60"/>
      <c r="F30" s="61"/>
      <c r="G30" s="1"/>
    </row>
    <row r="31" spans="1:7" x14ac:dyDescent="0.25">
      <c r="A31" s="1"/>
      <c r="B31" s="59"/>
      <c r="C31" s="60"/>
      <c r="D31" s="61"/>
      <c r="E31" s="60"/>
      <c r="F31" s="6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4ZCNizKOS4fAJJOkEhEDIF7k657a8z1nkKxsTAAxjkFVtNtPbaszwmRZOwWb5tXnbWjkpoZmZn/a8HvCLA9tg==" saltValue="bauSVuJKhVBsjZbAcxwmkg=="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66066851.992591612</v>
      </c>
      <c r="D9" s="8" t="s">
        <v>3</v>
      </c>
      <c r="E9" s="1"/>
    </row>
    <row r="10" spans="1:5" ht="17.25" customHeight="1" x14ac:dyDescent="0.25">
      <c r="A10" s="1"/>
      <c r="B10" s="88" t="s">
        <v>36</v>
      </c>
      <c r="C10" s="7">
        <f>'Fane 11.1. Varige tillæg'!C20</f>
        <v>472743.00079999998</v>
      </c>
      <c r="D10" s="8" t="s">
        <v>3</v>
      </c>
      <c r="E10" s="1"/>
    </row>
    <row r="11" spans="1:5" ht="17.25" customHeight="1" x14ac:dyDescent="0.25">
      <c r="A11" s="1"/>
      <c r="B11" s="88" t="s">
        <v>37</v>
      </c>
      <c r="C11" s="9">
        <f>'Fane 11.1. Varige tillæg'!E20</f>
        <v>1582360.187464</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2">
        <f>SUM(C9)*'Fane 15. Nøgletal'!C16+SUM(C10:C15)*'Fane 15. Nøgletal'!C16</f>
        <v>5504253.9786131335</v>
      </c>
      <c r="D16" s="8" t="s">
        <v>3</v>
      </c>
      <c r="E16" s="1"/>
    </row>
    <row r="17" spans="1:5" ht="17.25" customHeight="1" x14ac:dyDescent="0.25">
      <c r="A17" s="1"/>
      <c r="B17" s="88" t="s">
        <v>10</v>
      </c>
      <c r="C17" s="42">
        <f>-SUM(C9,C10:C16)*'Fane 5. Individuelt eff. krav'!G9</f>
        <v>0</v>
      </c>
      <c r="D17" s="8" t="s">
        <v>3</v>
      </c>
      <c r="E17" s="1"/>
    </row>
    <row r="18" spans="1:5" ht="17.25" customHeight="1" x14ac:dyDescent="0.25">
      <c r="A18" s="1"/>
      <c r="B18" s="88" t="s">
        <v>23</v>
      </c>
      <c r="C18" s="42">
        <f>-'Fane 4.1. Gen. krav - drift'!G54</f>
        <v>-492309.23937910917</v>
      </c>
      <c r="D18" s="8" t="s">
        <v>3</v>
      </c>
      <c r="E18" s="1"/>
    </row>
    <row r="19" spans="1:5" ht="17.25" customHeight="1" x14ac:dyDescent="0.25">
      <c r="A19" s="1"/>
      <c r="B19" s="88" t="s">
        <v>24</v>
      </c>
      <c r="C19" s="42">
        <f>-'Fane 4.2. Gen. krav - anlæg'!G55</f>
        <v>0</v>
      </c>
      <c r="D19" s="8" t="s">
        <v>3</v>
      </c>
      <c r="E19" s="48"/>
    </row>
    <row r="20" spans="1:5" ht="17.25" customHeight="1" x14ac:dyDescent="0.25">
      <c r="A20" s="1"/>
      <c r="B20" s="82" t="s">
        <v>21</v>
      </c>
      <c r="C20" s="10">
        <f>SUM(C9:C19)</f>
        <v>73133899.920089647</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2367219.79559616</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124216.64281454319</v>
      </c>
      <c r="D24" s="11" t="s">
        <v>3</v>
      </c>
      <c r="E24" s="1"/>
    </row>
    <row r="25" spans="1:5" ht="15" customHeight="1" x14ac:dyDescent="0.25">
      <c r="A25" s="1"/>
      <c r="B25" s="45" t="s">
        <v>73</v>
      </c>
      <c r="C25" s="43"/>
      <c r="D25" s="44"/>
      <c r="E25" s="1"/>
    </row>
    <row r="26" spans="1:5" ht="15" customHeight="1" x14ac:dyDescent="0.25">
      <c r="A26" s="1"/>
      <c r="B26" s="88" t="s">
        <v>158</v>
      </c>
      <c r="C26" s="42">
        <f>'Fane 11.2. Engangstillæg'!C14</f>
        <v>0</v>
      </c>
      <c r="D26" s="8" t="s">
        <v>3</v>
      </c>
      <c r="E26" s="1"/>
    </row>
    <row r="27" spans="1:5" ht="15" customHeight="1" x14ac:dyDescent="0.25">
      <c r="A27" s="1"/>
      <c r="B27" s="88" t="s">
        <v>70</v>
      </c>
      <c r="C27" s="42">
        <f>'Fane 11.2. Engangstillæg'!E14</f>
        <v>0</v>
      </c>
      <c r="D27" s="8" t="s">
        <v>3</v>
      </c>
      <c r="E27" s="1"/>
    </row>
    <row r="28" spans="1:5" ht="15" customHeight="1" x14ac:dyDescent="0.25">
      <c r="A28" s="1"/>
      <c r="B28" s="88" t="s">
        <v>161</v>
      </c>
      <c r="C28" s="42">
        <f>-C26*('Fane 15. Nøgletal'!C33+'Fane 5. Individuelt eff. krav'!G9)</f>
        <v>0</v>
      </c>
      <c r="D28" s="8" t="s">
        <v>3</v>
      </c>
      <c r="E28" s="1"/>
    </row>
    <row r="29" spans="1:5" ht="15" customHeight="1" x14ac:dyDescent="0.25">
      <c r="A29" s="1"/>
      <c r="B29" s="88" t="s">
        <v>162</v>
      </c>
      <c r="C29" s="42">
        <f>-C27*('Fane 15. Nøgletal'!C28+'Fane 5. Individuelt eff. krav'!G9)</f>
        <v>0</v>
      </c>
      <c r="D29" s="8" t="s">
        <v>3</v>
      </c>
      <c r="E29" s="1"/>
    </row>
    <row r="30" spans="1:5" ht="15" customHeight="1" x14ac:dyDescent="0.25">
      <c r="A30" s="1"/>
      <c r="B30" s="71"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-3332080.5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1" t="s">
        <v>136</v>
      </c>
      <c r="C36" s="10">
        <f>'Fane 8. Skattesagen'!G13</f>
        <v>-1662069</v>
      </c>
      <c r="D36" s="11" t="s">
        <v>3</v>
      </c>
      <c r="E36" s="1"/>
    </row>
    <row r="37" spans="1:5" x14ac:dyDescent="0.25">
      <c r="A37" s="1"/>
      <c r="B37" s="33" t="s">
        <v>108</v>
      </c>
      <c r="C37" s="50">
        <f>SUM(C34,C32,C24,C30,C22,C20,C36)</f>
        <v>70631186.858500347</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Mo5bfpwdi2Rdtpt22R/IhKPp7RIZsf+dLUOnqJ/uppraK0y91R/8alNC/BfOXfh0FrNqHeZuwyCw3BQ2Loj+Vg==" saltValue="yl7U6yJJMAfK1cpx1eHHW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40">
        <v>3.3E-3</v>
      </c>
      <c r="D14" s="1"/>
    </row>
    <row r="15" spans="1:4" x14ac:dyDescent="0.25">
      <c r="A15" s="1"/>
      <c r="B15" s="34" t="s">
        <v>152</v>
      </c>
      <c r="C15" s="35">
        <v>3.56E-2</v>
      </c>
      <c r="D15" s="1"/>
    </row>
    <row r="16" spans="1:4" x14ac:dyDescent="0.25">
      <c r="A16" s="1"/>
      <c r="B16" s="66"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5">
        <v>0</v>
      </c>
      <c r="D27" s="1"/>
    </row>
    <row r="28" spans="1:4" x14ac:dyDescent="0.25">
      <c r="A28" s="1"/>
      <c r="B28" s="66"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X/u18akb3xV/GAMaY6yf5Ls2W33JALAKDQ0dqwmYEiKLWUW3DCy2a5pN2dfUTBKCBNWeDrMvYOr1HPguxPAmwA==" saltValue="PWb7PR1I8VnVAj3MtmZ2I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73133899.920089647</v>
      </c>
      <c r="D9" s="8" t="s">
        <v>3</v>
      </c>
      <c r="E9" s="1"/>
    </row>
    <row r="10" spans="1:5" ht="15" customHeight="1" x14ac:dyDescent="0.25">
      <c r="A10" s="1"/>
      <c r="B10" s="26" t="s">
        <v>19</v>
      </c>
      <c r="C10" s="7">
        <f>SUM(C9:C9)*'Fane 15. Nøgletal'!C16</f>
        <v>5909219.1135432431</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-521446.06940252241</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78521672.964230374</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2522182.5438803295</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134253.34755395827</v>
      </c>
      <c r="D18" s="11" t="s">
        <v>3</v>
      </c>
      <c r="E18" s="1"/>
    </row>
    <row r="19" spans="1:5" x14ac:dyDescent="0.25">
      <c r="A19" s="1"/>
      <c r="B19" s="33" t="s">
        <v>116</v>
      </c>
      <c r="C19" s="28"/>
      <c r="D19" s="19"/>
      <c r="E19" s="1"/>
    </row>
    <row r="20" spans="1:5" ht="15" customHeight="1" x14ac:dyDescent="0.25">
      <c r="A20" s="1"/>
      <c r="B20" s="31" t="s">
        <v>138</v>
      </c>
      <c r="C20" s="10">
        <f>'Fane 7. Kontrol af ØR2022'!E31</f>
        <v>-3332080.5</v>
      </c>
      <c r="D20" s="11" t="s">
        <v>3</v>
      </c>
      <c r="E20" s="1"/>
    </row>
    <row r="21" spans="1:5" x14ac:dyDescent="0.25">
      <c r="A21" s="1"/>
      <c r="B21" s="30" t="s">
        <v>135</v>
      </c>
      <c r="C21" s="28"/>
      <c r="D21" s="19"/>
      <c r="E21" s="1"/>
    </row>
    <row r="22" spans="1:5" x14ac:dyDescent="0.25">
      <c r="A22" s="1"/>
      <c r="B22" s="71" t="s">
        <v>136</v>
      </c>
      <c r="C22" s="10">
        <f>'Fane 8. Skattesagen'!G14</f>
        <v>-1662069</v>
      </c>
      <c r="D22" s="11" t="s">
        <v>3</v>
      </c>
      <c r="E22" s="1"/>
    </row>
    <row r="23" spans="1:5" x14ac:dyDescent="0.25">
      <c r="A23" s="1"/>
      <c r="B23" s="33" t="s">
        <v>122</v>
      </c>
      <c r="C23" s="12">
        <f>SUM(C14,C16,C18,C20,C22)</f>
        <v>76183959.355664656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8UUWPGn03rg9duprp1tK7B6coS6dOhlYZ12j4y4a832fr0rJNR6HeNR3LHPiO1LRkBx4cLIB497ksFU5YseMKg==" saltValue="vDec0ry0MRu/Dr4zm9A1P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78521672.964230374</v>
      </c>
      <c r="D9" s="8" t="s">
        <v>3</v>
      </c>
      <c r="E9" s="1"/>
    </row>
    <row r="10" spans="1:5" ht="15" customHeight="1" x14ac:dyDescent="0.25">
      <c r="A10" s="1"/>
      <c r="B10" s="26" t="s">
        <v>19</v>
      </c>
      <c r="C10" s="7">
        <f>SUM(C9:C9)*'Fane 15. Nøgletal'!C16</f>
        <v>6344551.1755098142</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-552307.33357404126</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84313916.806166142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2689665.2822258603</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-1662069</v>
      </c>
      <c r="D22" s="11" t="s">
        <v>3</v>
      </c>
      <c r="E22" s="1"/>
    </row>
    <row r="23" spans="1:5" x14ac:dyDescent="0.25">
      <c r="A23" s="1"/>
      <c r="B23" s="33" t="s">
        <v>140</v>
      </c>
      <c r="C23" s="12">
        <f>SUM(C14,C16,C18,C20,C22)</f>
        <v>85341513.088392004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5028ZKmYbJqZPQIa7Mpqqw0cjYZfMGQEl3ulNuuh3vOKtnGfJRGCHsYUKjDFtGdkRI7dTk9aLlbRCo45gs0UQ==" saltValue="3dnpALdIW1rtUjk99cZy5A=="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84313916.806166142</v>
      </c>
      <c r="D9" s="8" t="s">
        <v>3</v>
      </c>
      <c r="E9" s="1"/>
      <c r="F9" s="1"/>
    </row>
    <row r="10" spans="1:6" ht="15" customHeight="1" x14ac:dyDescent="0.25">
      <c r="A10" s="1"/>
      <c r="B10" s="26" t="s">
        <v>19</v>
      </c>
      <c r="C10" s="7">
        <f>SUM(C9:C9)*'Fane 15. Nøgletal'!C16</f>
        <v>6812564.4779382236</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-584995.09080428723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90541486.193300068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2870681.7066297098</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-1662069</v>
      </c>
      <c r="D22" s="11" t="s">
        <v>3</v>
      </c>
      <c r="E22" s="1"/>
      <c r="F22" s="1"/>
    </row>
    <row r="23" spans="1:6" x14ac:dyDescent="0.25">
      <c r="A23" s="1"/>
      <c r="B23" s="33" t="s">
        <v>209</v>
      </c>
      <c r="C23" s="12">
        <f>SUM(C14,C16,C18,C20,C22)</f>
        <v>91750098.899929777</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ilQ7aqew/b0tdNk63QuxLK8RjpnaV7SkGHSuJbkVIf3NpsQ5wTchftEx1Yy7fDl+ODAm492+nHfPhpz6Fu/GyA==" saltValue="MEWYsE3sanLxPCi6W/3Mb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66414510.447805464</v>
      </c>
      <c r="D9" s="8" t="s">
        <v>3</v>
      </c>
      <c r="E9" s="1"/>
    </row>
    <row r="10" spans="1:5" x14ac:dyDescent="0.25">
      <c r="A10" s="1"/>
      <c r="B10" s="88" t="s">
        <v>36</v>
      </c>
      <c r="C10" s="7">
        <v>216889.85040000002</v>
      </c>
      <c r="D10" s="8" t="s">
        <v>3</v>
      </c>
      <c r="E10" s="1"/>
    </row>
    <row r="11" spans="1:5" x14ac:dyDescent="0.25">
      <c r="A11" s="1"/>
      <c r="B11" s="88" t="s">
        <v>37</v>
      </c>
      <c r="C11" s="9">
        <v>593493.99925600004</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2">
        <v>248017.54952551163</v>
      </c>
      <c r="D16" s="8" t="s">
        <v>3</v>
      </c>
      <c r="E16" s="1"/>
    </row>
    <row r="17" spans="1:5" x14ac:dyDescent="0.25">
      <c r="A17" s="1"/>
      <c r="B17" s="88" t="s">
        <v>10</v>
      </c>
      <c r="C17" s="42">
        <v>-260310.67547281765</v>
      </c>
      <c r="D17" s="8" t="s">
        <v>3</v>
      </c>
      <c r="E17" s="1"/>
    </row>
    <row r="18" spans="1:5" x14ac:dyDescent="0.25">
      <c r="A18" s="1"/>
      <c r="B18" s="88" t="s">
        <v>23</v>
      </c>
      <c r="C18" s="42">
        <v>-455152.67099372379</v>
      </c>
      <c r="D18" s="8" t="s">
        <v>3</v>
      </c>
      <c r="E18" s="1"/>
    </row>
    <row r="19" spans="1:5" x14ac:dyDescent="0.25">
      <c r="A19" s="1"/>
      <c r="B19" s="88" t="s">
        <v>24</v>
      </c>
      <c r="C19" s="42">
        <v>-690596.50792883558</v>
      </c>
      <c r="D19" s="8" t="s">
        <v>3</v>
      </c>
      <c r="E19" s="48"/>
    </row>
    <row r="20" spans="1:5" x14ac:dyDescent="0.25">
      <c r="A20" s="1"/>
      <c r="B20" s="82" t="s">
        <v>21</v>
      </c>
      <c r="C20" s="10">
        <v>66066851.992591612</v>
      </c>
      <c r="D20" s="11" t="s">
        <v>3</v>
      </c>
      <c r="E20" s="1"/>
    </row>
    <row r="21" spans="1:5" x14ac:dyDescent="0.25">
      <c r="A21" s="1"/>
      <c r="B21" s="33" t="s">
        <v>12</v>
      </c>
      <c r="C21" s="28"/>
      <c r="D21" s="19"/>
      <c r="E21" s="1"/>
    </row>
    <row r="22" spans="1:5" x14ac:dyDescent="0.25">
      <c r="A22" s="1"/>
      <c r="B22" s="31" t="s">
        <v>12</v>
      </c>
      <c r="C22" s="10">
        <v>1868056.9370348547</v>
      </c>
      <c r="D22" s="11" t="s">
        <v>3</v>
      </c>
      <c r="E22" s="1"/>
    </row>
    <row r="23" spans="1:5" x14ac:dyDescent="0.25">
      <c r="A23" s="1"/>
      <c r="B23" s="33" t="s">
        <v>74</v>
      </c>
      <c r="C23" s="28"/>
      <c r="D23" s="19"/>
      <c r="E23" s="1"/>
    </row>
    <row r="24" spans="1:5" x14ac:dyDescent="0.25">
      <c r="A24" s="1"/>
      <c r="B24" s="82" t="s">
        <v>74</v>
      </c>
      <c r="C24" s="10">
        <v>113221.60555660284</v>
      </c>
      <c r="D24" s="11" t="s">
        <v>3</v>
      </c>
      <c r="E24" s="1"/>
    </row>
    <row r="25" spans="1:5" x14ac:dyDescent="0.25">
      <c r="A25" s="1"/>
      <c r="B25" s="45" t="s">
        <v>73</v>
      </c>
      <c r="C25" s="43"/>
      <c r="D25" s="44"/>
      <c r="E25" s="1"/>
    </row>
    <row r="26" spans="1:5" x14ac:dyDescent="0.25">
      <c r="A26" s="1"/>
      <c r="B26" s="88" t="s">
        <v>158</v>
      </c>
      <c r="C26" s="70">
        <v>0</v>
      </c>
      <c r="D26" s="8" t="s">
        <v>3</v>
      </c>
      <c r="E26" s="1"/>
    </row>
    <row r="27" spans="1:5" x14ac:dyDescent="0.25">
      <c r="A27" s="1"/>
      <c r="B27" s="88" t="s">
        <v>70</v>
      </c>
      <c r="C27" s="70">
        <v>0</v>
      </c>
      <c r="D27" s="8" t="s">
        <v>3</v>
      </c>
      <c r="E27" s="1"/>
    </row>
    <row r="28" spans="1:5" x14ac:dyDescent="0.25">
      <c r="A28" s="1"/>
      <c r="B28" s="88" t="s">
        <v>161</v>
      </c>
      <c r="C28" s="70">
        <v>0</v>
      </c>
      <c r="D28" s="8" t="s">
        <v>3</v>
      </c>
      <c r="E28" s="1"/>
    </row>
    <row r="29" spans="1:5" x14ac:dyDescent="0.25">
      <c r="A29" s="1"/>
      <c r="B29" s="88" t="s">
        <v>162</v>
      </c>
      <c r="C29" s="70">
        <v>0</v>
      </c>
      <c r="D29" s="8" t="s">
        <v>3</v>
      </c>
      <c r="E29" s="1"/>
    </row>
    <row r="30" spans="1:5" x14ac:dyDescent="0.25">
      <c r="A30" s="1"/>
      <c r="B30" s="71"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270</v>
      </c>
      <c r="C33" s="28"/>
      <c r="D33" s="19"/>
      <c r="E33" s="1"/>
    </row>
    <row r="34" spans="1:5" x14ac:dyDescent="0.25">
      <c r="A34" s="1"/>
      <c r="B34" s="31" t="s">
        <v>270</v>
      </c>
      <c r="C34" s="10">
        <v>-407366</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271</v>
      </c>
      <c r="C37" s="50">
        <v>67640764.535183072</v>
      </c>
      <c r="D37" s="30" t="s">
        <v>3</v>
      </c>
      <c r="E37" s="1"/>
    </row>
    <row r="38" spans="1:5" ht="30" customHeight="1" x14ac:dyDescent="0.25">
      <c r="A38" s="1"/>
      <c r="B38" s="114" t="s">
        <v>273</v>
      </c>
      <c r="C38" s="114"/>
      <c r="D38" s="114"/>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SVDo+qeFjcrsmG7YBYDO+aqFvTru1vrQLmEuk+TOyuJSbbIBLfp4nrFGwIAb7u3lXX/YukF6RI/OZREfly7Ew==" saltValue="2KTALhnTAsEZAssW81G1Bg=="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5" t="s">
        <v>46</v>
      </c>
      <c r="C4" s="116"/>
      <c r="D4" s="116"/>
      <c r="E4" s="116"/>
      <c r="F4" s="116"/>
      <c r="G4" s="116"/>
      <c r="H4" s="117"/>
      <c r="I4" s="1"/>
    </row>
    <row r="5" spans="1:9" x14ac:dyDescent="0.25">
      <c r="A5" s="1"/>
      <c r="B5" s="118" t="s">
        <v>38</v>
      </c>
      <c r="C5" s="119"/>
      <c r="D5" s="119"/>
      <c r="E5" s="119"/>
      <c r="F5" s="120"/>
      <c r="G5" s="64">
        <v>22792929.192677006</v>
      </c>
      <c r="H5" s="14" t="s">
        <v>3</v>
      </c>
      <c r="I5" s="1"/>
    </row>
    <row r="6" spans="1:9" x14ac:dyDescent="0.25">
      <c r="A6" s="1"/>
      <c r="B6" s="127" t="s">
        <v>102</v>
      </c>
      <c r="C6" s="128"/>
      <c r="D6" s="128"/>
      <c r="E6" s="128"/>
      <c r="F6" s="129"/>
      <c r="G6" s="67">
        <v>472818</v>
      </c>
      <c r="H6" s="14" t="s">
        <v>3</v>
      </c>
      <c r="I6" s="1"/>
    </row>
    <row r="7" spans="1:9" x14ac:dyDescent="0.25">
      <c r="A7" s="1"/>
      <c r="B7" s="118" t="s">
        <v>39</v>
      </c>
      <c r="C7" s="119"/>
      <c r="D7" s="119"/>
      <c r="E7" s="119"/>
      <c r="F7" s="120"/>
      <c r="G7" s="23">
        <f>SUM(G5:G6)*'Fane 15. Nøgletal'!C33</f>
        <v>465314.94385354011</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f>(G5-G7)*(1+'Fane 15. Nøgletal'!C10)</f>
        <v>22718347.498177879</v>
      </c>
      <c r="H11" s="14" t="s">
        <v>3</v>
      </c>
      <c r="I11" s="1"/>
    </row>
    <row r="12" spans="1:9" ht="15" customHeight="1" x14ac:dyDescent="0.25">
      <c r="A12" s="1"/>
      <c r="B12" s="118" t="s">
        <v>103</v>
      </c>
      <c r="C12" s="119"/>
      <c r="D12" s="119"/>
      <c r="E12" s="119"/>
      <c r="F12" s="120"/>
      <c r="G12" s="67">
        <v>-55321.868196651849</v>
      </c>
      <c r="H12" s="14" t="s">
        <v>3</v>
      </c>
      <c r="I12" s="1"/>
    </row>
    <row r="13" spans="1:9" x14ac:dyDescent="0.25">
      <c r="A13" s="1"/>
      <c r="B13" s="127" t="s">
        <v>100</v>
      </c>
      <c r="C13" s="128"/>
      <c r="D13" s="128"/>
      <c r="E13" s="128"/>
      <c r="F13" s="129"/>
      <c r="G13" s="67">
        <v>481091.29750000004</v>
      </c>
      <c r="H13" s="14" t="s">
        <v>3</v>
      </c>
      <c r="I13" s="1"/>
    </row>
    <row r="14" spans="1:9" x14ac:dyDescent="0.25">
      <c r="A14" s="1"/>
      <c r="B14" s="124" t="s">
        <v>244</v>
      </c>
      <c r="C14" s="125"/>
      <c r="D14" s="125"/>
      <c r="E14" s="125"/>
      <c r="F14" s="126"/>
      <c r="G14" s="67">
        <v>0</v>
      </c>
      <c r="H14" s="14" t="s">
        <v>3</v>
      </c>
      <c r="I14" s="1"/>
    </row>
    <row r="15" spans="1:9" x14ac:dyDescent="0.25">
      <c r="A15" s="1"/>
      <c r="B15" s="118" t="s">
        <v>41</v>
      </c>
      <c r="C15" s="119"/>
      <c r="D15" s="119"/>
      <c r="E15" s="119"/>
      <c r="F15" s="120"/>
      <c r="G15" s="23">
        <f>SUM(G11:G14)*'Fane 15. Nøgletal'!C33</f>
        <v>462882.33854962455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22588645.799031656</v>
      </c>
      <c r="H19" s="14" t="s">
        <v>3</v>
      </c>
      <c r="I19" s="1"/>
    </row>
    <row r="20" spans="1:9" x14ac:dyDescent="0.25">
      <c r="A20" s="1"/>
      <c r="B20" s="124" t="s">
        <v>245</v>
      </c>
      <c r="C20" s="125"/>
      <c r="D20" s="125"/>
      <c r="E20" s="125"/>
      <c r="F20" s="126"/>
      <c r="G20" s="67">
        <v>0</v>
      </c>
      <c r="H20" s="14" t="s">
        <v>3</v>
      </c>
      <c r="I20" s="1"/>
    </row>
    <row r="21" spans="1:9" x14ac:dyDescent="0.25">
      <c r="A21" s="1"/>
      <c r="B21" s="118" t="s">
        <v>43</v>
      </c>
      <c r="C21" s="119"/>
      <c r="D21" s="119"/>
      <c r="E21" s="119"/>
      <c r="F21" s="120"/>
      <c r="G21" s="23">
        <f>SUM(G19:G20)*'Fane 15. Nøgletal'!C33</f>
        <v>451772.91598063312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22572969.278847128</v>
      </c>
      <c r="H25" s="14" t="s">
        <v>3</v>
      </c>
      <c r="I25" s="1"/>
    </row>
    <row r="26" spans="1:9" x14ac:dyDescent="0.25">
      <c r="A26" s="1"/>
      <c r="B26" s="124" t="s">
        <v>246</v>
      </c>
      <c r="C26" s="125"/>
      <c r="D26" s="125"/>
      <c r="E26" s="125"/>
      <c r="F26" s="126"/>
      <c r="G26" s="67">
        <v>147026.03592600001</v>
      </c>
      <c r="H26" s="14" t="s">
        <v>3</v>
      </c>
      <c r="I26" s="1"/>
    </row>
    <row r="27" spans="1:9" x14ac:dyDescent="0.25">
      <c r="A27" s="1"/>
      <c r="B27" s="118" t="s">
        <v>45</v>
      </c>
      <c r="C27" s="119"/>
      <c r="D27" s="119"/>
      <c r="E27" s="119"/>
      <c r="F27" s="120"/>
      <c r="G27" s="23">
        <f>(G25+G26)*'Fane 15. Nøgletal'!C33</f>
        <v>454399.90629546257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22704227.638024677</v>
      </c>
      <c r="H31" s="14" t="s">
        <v>3</v>
      </c>
      <c r="I31" s="1"/>
    </row>
    <row r="32" spans="1:9" x14ac:dyDescent="0.25">
      <c r="A32" s="1"/>
      <c r="B32" s="118" t="s">
        <v>243</v>
      </c>
      <c r="C32" s="119"/>
      <c r="D32" s="119"/>
      <c r="E32" s="119"/>
      <c r="F32" s="120"/>
      <c r="G32" s="64">
        <v>278759.2483872</v>
      </c>
      <c r="H32" s="14" t="s">
        <v>3</v>
      </c>
      <c r="I32" s="1"/>
    </row>
    <row r="33" spans="1:9" x14ac:dyDescent="0.25">
      <c r="A33" s="1"/>
      <c r="B33" s="118" t="s">
        <v>54</v>
      </c>
      <c r="C33" s="119"/>
      <c r="D33" s="119"/>
      <c r="E33" s="119"/>
      <c r="F33" s="120"/>
      <c r="G33" s="23">
        <f>(G31+G32)*'Fane 15. Nøgletal'!C33</f>
        <v>459659.73772823752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22597654.128274295</v>
      </c>
      <c r="H37" s="14" t="s">
        <v>3</v>
      </c>
      <c r="I37" s="1"/>
    </row>
    <row r="38" spans="1:9" x14ac:dyDescent="0.25">
      <c r="A38" s="1"/>
      <c r="B38" s="118" t="s">
        <v>242</v>
      </c>
      <c r="C38" s="119"/>
      <c r="D38" s="119"/>
      <c r="E38" s="119"/>
      <c r="F38" s="120"/>
      <c r="G38" s="64">
        <v>319598.95757500001</v>
      </c>
      <c r="H38" s="14" t="s">
        <v>3</v>
      </c>
      <c r="I38" s="1"/>
    </row>
    <row r="39" spans="1:9" x14ac:dyDescent="0.25">
      <c r="A39" s="1"/>
      <c r="B39" s="118" t="s">
        <v>128</v>
      </c>
      <c r="C39" s="119"/>
      <c r="D39" s="119"/>
      <c r="E39" s="119"/>
      <c r="F39" s="120"/>
      <c r="G39" s="23">
        <f>(G37+G38)*'Fane 15. Nøgletal'!C33</f>
        <v>458345.06171698595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22533022.420611952</v>
      </c>
      <c r="H43" s="14" t="s">
        <v>3</v>
      </c>
      <c r="I43" s="1"/>
    </row>
    <row r="44" spans="1:9" x14ac:dyDescent="0.25">
      <c r="A44" s="1"/>
      <c r="B44" s="121" t="s">
        <v>157</v>
      </c>
      <c r="C44" s="122"/>
      <c r="D44" s="122"/>
      <c r="E44" s="122"/>
      <c r="F44" s="123"/>
      <c r="G44" s="46">
        <v>224611.12907424005</v>
      </c>
      <c r="H44" s="14" t="s">
        <v>3</v>
      </c>
      <c r="I44" s="1"/>
    </row>
    <row r="45" spans="1:9" x14ac:dyDescent="0.25">
      <c r="A45" s="1"/>
      <c r="B45" s="118" t="s">
        <v>129</v>
      </c>
      <c r="C45" s="119"/>
      <c r="D45" s="119"/>
      <c r="E45" s="119"/>
      <c r="F45" s="120"/>
      <c r="G45" s="23">
        <f>SUM(G43:G44)*'Fane 15. Nøgletal'!C33</f>
        <v>455152.67099372379</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7"/>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24104521.333690818</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510940.63526463998</v>
      </c>
      <c r="H53" s="14" t="s">
        <v>3</v>
      </c>
      <c r="I53" s="1"/>
    </row>
    <row r="54" spans="1:9" x14ac:dyDescent="0.25">
      <c r="A54" s="1"/>
      <c r="B54" s="118" t="s">
        <v>210</v>
      </c>
      <c r="C54" s="119"/>
      <c r="D54" s="119"/>
      <c r="E54" s="119"/>
      <c r="F54" s="120"/>
      <c r="G54" s="23">
        <f>(G52)*'Fane 15. Nøgletal'!C33+(G53)*'Fane 15. Nøgletal'!C33</f>
        <v>492309.23937910917</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8" t="s">
        <v>212</v>
      </c>
      <c r="C58" s="79"/>
      <c r="D58" s="79"/>
      <c r="E58" s="79"/>
      <c r="F58" s="80"/>
      <c r="G58" s="23">
        <f>(G52+G53-G54)*(1+'Fane 15. Nøgletal'!C16)</f>
        <v>26072303.470126119</v>
      </c>
      <c r="H58" s="14" t="s">
        <v>3</v>
      </c>
      <c r="I58" s="1"/>
    </row>
    <row r="59" spans="1:9" x14ac:dyDescent="0.25">
      <c r="A59" s="1"/>
      <c r="B59" s="78" t="s">
        <v>211</v>
      </c>
      <c r="C59" s="79"/>
      <c r="D59" s="79"/>
      <c r="E59" s="79"/>
      <c r="F59" s="80"/>
      <c r="G59" s="23">
        <f>(G58)*'Fane 15. Nøgletal'!C33</f>
        <v>521446.06940252241</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8" t="s">
        <v>213</v>
      </c>
      <c r="C63" s="79"/>
      <c r="D63" s="79"/>
      <c r="E63" s="79"/>
      <c r="F63" s="80"/>
      <c r="G63" s="23">
        <f>(G58-G59)*(1+'Fane 15. Nøgletal'!C16)</f>
        <v>27615366.67870206</v>
      </c>
      <c r="H63" s="14" t="s">
        <v>3</v>
      </c>
      <c r="I63" s="1"/>
    </row>
    <row r="64" spans="1:9" x14ac:dyDescent="0.25">
      <c r="A64" s="1"/>
      <c r="B64" s="78" t="s">
        <v>214</v>
      </c>
      <c r="C64" s="79"/>
      <c r="D64" s="79"/>
      <c r="E64" s="79"/>
      <c r="F64" s="80"/>
      <c r="G64" s="23">
        <f>(G63)*'Fane 15. Nøgletal'!C33</f>
        <v>552307.33357404126</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8" t="s">
        <v>213</v>
      </c>
      <c r="C68" s="79"/>
      <c r="D68" s="79"/>
      <c r="E68" s="79"/>
      <c r="F68" s="80"/>
      <c r="G68" s="23">
        <f>(G63-G64)*(1+'Fane 15. Nøgletal'!C16)</f>
        <v>29249754.540214363</v>
      </c>
      <c r="H68" s="14" t="s">
        <v>3</v>
      </c>
      <c r="I68" s="1"/>
    </row>
    <row r="69" spans="1:9" x14ac:dyDescent="0.25">
      <c r="A69" s="1"/>
      <c r="B69" s="78" t="s">
        <v>214</v>
      </c>
      <c r="C69" s="79"/>
      <c r="D69" s="79"/>
      <c r="E69" s="79"/>
      <c r="F69" s="80"/>
      <c r="G69" s="23">
        <f>(G68)*'Fane 15. Nøgletal'!C33</f>
        <v>584995.09080428723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2"/>
      <c r="B74" s="62"/>
      <c r="C74" s="62"/>
      <c r="D74" s="62"/>
      <c r="E74" s="62"/>
      <c r="F74" s="62"/>
      <c r="G74" s="62"/>
      <c r="H74" s="62"/>
      <c r="I74" s="62"/>
    </row>
    <row r="75" spans="1:9" x14ac:dyDescent="0.25">
      <c r="A75" s="62"/>
      <c r="B75" s="62"/>
      <c r="C75" s="62"/>
      <c r="D75" s="62"/>
      <c r="E75" s="62"/>
      <c r="F75" s="62"/>
      <c r="G75" s="62"/>
      <c r="H75" s="62"/>
      <c r="I75" s="62"/>
    </row>
    <row r="76" spans="1:9" x14ac:dyDescent="0.25">
      <c r="A76" s="62"/>
      <c r="B76" s="62"/>
      <c r="C76" s="62"/>
      <c r="D76" s="62"/>
      <c r="E76" s="62"/>
      <c r="F76" s="62"/>
      <c r="G76" s="62"/>
      <c r="H76" s="62"/>
      <c r="I76" s="62"/>
    </row>
    <row r="77" spans="1:9" x14ac:dyDescent="0.25">
      <c r="A77" s="62"/>
      <c r="B77" s="62"/>
      <c r="C77" s="62"/>
      <c r="D77" s="62"/>
      <c r="E77" s="62"/>
      <c r="F77" s="62"/>
      <c r="G77" s="62"/>
      <c r="H77" s="62"/>
      <c r="I77" s="62"/>
    </row>
    <row r="78" spans="1:9" x14ac:dyDescent="0.25">
      <c r="A78" s="62"/>
      <c r="B78" s="62"/>
      <c r="C78" s="62"/>
      <c r="D78" s="62"/>
      <c r="E78" s="62"/>
      <c r="F78" s="62"/>
      <c r="G78" s="62"/>
      <c r="H78" s="62"/>
      <c r="I78" s="62"/>
    </row>
    <row r="79" spans="1:9" x14ac:dyDescent="0.25">
      <c r="A79" s="62"/>
      <c r="B79" s="62"/>
      <c r="C79" s="62"/>
      <c r="D79" s="62"/>
      <c r="E79" s="62"/>
      <c r="F79" s="62"/>
      <c r="G79" s="62"/>
      <c r="H79" s="62"/>
      <c r="I79" s="62"/>
    </row>
    <row r="80" spans="1:9" x14ac:dyDescent="0.25">
      <c r="A80" s="62"/>
      <c r="B80" s="62"/>
      <c r="C80" s="62"/>
      <c r="D80" s="62"/>
      <c r="E80" s="62"/>
      <c r="F80" s="62"/>
      <c r="G80" s="62"/>
      <c r="H80" s="62"/>
      <c r="I80" s="62"/>
    </row>
    <row r="81" spans="1:9" x14ac:dyDescent="0.25">
      <c r="A81" s="62"/>
      <c r="B81" s="62"/>
      <c r="C81" s="62"/>
      <c r="D81" s="62"/>
      <c r="E81" s="62"/>
      <c r="F81" s="62"/>
      <c r="G81" s="62"/>
      <c r="H81" s="62"/>
      <c r="I81" s="62"/>
    </row>
    <row r="82" spans="1:9" x14ac:dyDescent="0.25">
      <c r="A82" s="62"/>
      <c r="B82" s="62"/>
      <c r="C82" s="62"/>
      <c r="D82" s="62"/>
      <c r="E82" s="62"/>
      <c r="F82" s="62"/>
      <c r="G82" s="62"/>
      <c r="H82" s="62"/>
      <c r="I82" s="62"/>
    </row>
    <row r="83" spans="1:9" x14ac:dyDescent="0.25">
      <c r="A83" s="62"/>
      <c r="B83" s="62"/>
      <c r="C83" s="62"/>
      <c r="D83" s="62"/>
      <c r="E83" s="62"/>
      <c r="F83" s="62"/>
      <c r="G83" s="62"/>
      <c r="H83" s="62"/>
      <c r="I83" s="62"/>
    </row>
    <row r="84" spans="1:9" x14ac:dyDescent="0.25">
      <c r="A84" s="62"/>
      <c r="B84" s="62"/>
      <c r="C84" s="62"/>
      <c r="D84" s="62"/>
      <c r="E84" s="62"/>
      <c r="F84" s="62"/>
      <c r="G84" s="62"/>
      <c r="H84" s="62"/>
      <c r="I84" s="62"/>
    </row>
    <row r="85" spans="1:9" x14ac:dyDescent="0.25">
      <c r="A85" s="62"/>
      <c r="B85" s="62"/>
      <c r="C85" s="62"/>
      <c r="D85" s="62"/>
      <c r="E85" s="62"/>
      <c r="F85" s="62"/>
      <c r="G85" s="62"/>
      <c r="H85" s="62"/>
      <c r="I85" s="62"/>
    </row>
    <row r="86" spans="1:9" x14ac:dyDescent="0.25">
      <c r="A86" s="62"/>
      <c r="B86" s="62"/>
      <c r="C86" s="62"/>
      <c r="D86" s="62"/>
      <c r="E86" s="62"/>
      <c r="F86" s="62"/>
      <c r="G86" s="62"/>
      <c r="H86" s="62"/>
      <c r="I86" s="62"/>
    </row>
    <row r="87" spans="1:9" x14ac:dyDescent="0.25">
      <c r="A87" s="62"/>
      <c r="B87" s="62"/>
      <c r="C87" s="62"/>
      <c r="D87" s="62"/>
      <c r="E87" s="62"/>
      <c r="F87" s="62"/>
      <c r="G87" s="62"/>
      <c r="H87" s="62"/>
      <c r="I87" s="62"/>
    </row>
    <row r="88" spans="1:9" x14ac:dyDescent="0.25">
      <c r="A88" s="62"/>
      <c r="B88" s="62"/>
      <c r="C88" s="62"/>
      <c r="D88" s="62"/>
      <c r="E88" s="62"/>
      <c r="F88" s="62"/>
      <c r="G88" s="62"/>
      <c r="H88" s="62"/>
      <c r="I88" s="62"/>
    </row>
    <row r="89" spans="1:9" x14ac:dyDescent="0.25">
      <c r="A89" s="62"/>
      <c r="B89" s="62"/>
      <c r="C89" s="62"/>
      <c r="D89" s="62"/>
      <c r="E89" s="62"/>
      <c r="F89" s="62"/>
      <c r="G89" s="62"/>
      <c r="H89" s="62"/>
      <c r="I89" s="62"/>
    </row>
    <row r="90" spans="1:9" x14ac:dyDescent="0.25">
      <c r="A90" s="62"/>
      <c r="B90" s="62"/>
      <c r="C90" s="62"/>
      <c r="D90" s="62"/>
      <c r="E90" s="62"/>
      <c r="F90" s="62"/>
      <c r="G90" s="62"/>
      <c r="H90" s="62"/>
      <c r="I90" s="62"/>
    </row>
    <row r="91" spans="1:9" x14ac:dyDescent="0.25">
      <c r="A91" s="62"/>
      <c r="B91" s="62"/>
      <c r="C91" s="62"/>
      <c r="D91" s="62"/>
      <c r="E91" s="62"/>
      <c r="F91" s="62"/>
      <c r="G91" s="62"/>
      <c r="H91" s="62"/>
      <c r="I91" s="62"/>
    </row>
    <row r="92" spans="1:9" x14ac:dyDescent="0.25">
      <c r="A92" s="62"/>
      <c r="B92" s="62"/>
      <c r="C92" s="62"/>
      <c r="D92" s="62"/>
      <c r="E92" s="62"/>
      <c r="F92" s="62"/>
      <c r="G92" s="62"/>
      <c r="H92" s="62"/>
      <c r="I92" s="62"/>
    </row>
    <row r="93" spans="1:9" x14ac:dyDescent="0.25">
      <c r="A93" s="62"/>
      <c r="B93" s="62"/>
      <c r="C93" s="62"/>
      <c r="D93" s="62"/>
      <c r="E93" s="62"/>
      <c r="F93" s="62"/>
      <c r="G93" s="62"/>
      <c r="H93" s="62"/>
      <c r="I93" s="62"/>
    </row>
    <row r="94" spans="1:9" x14ac:dyDescent="0.25">
      <c r="A94" s="62"/>
      <c r="B94" s="62"/>
      <c r="C94" s="62"/>
      <c r="D94" s="62"/>
      <c r="E94" s="62"/>
      <c r="F94" s="62"/>
      <c r="G94" s="62"/>
      <c r="H94" s="62"/>
      <c r="I94" s="62"/>
    </row>
    <row r="95" spans="1:9" x14ac:dyDescent="0.25">
      <c r="A95" s="62"/>
      <c r="B95" s="62"/>
      <c r="C95" s="62"/>
      <c r="D95" s="62"/>
      <c r="E95" s="62"/>
      <c r="F95" s="62"/>
      <c r="G95" s="62"/>
      <c r="H95" s="62"/>
      <c r="I95" s="62"/>
    </row>
    <row r="96" spans="1:9" x14ac:dyDescent="0.25">
      <c r="A96" s="62"/>
      <c r="B96" s="62"/>
      <c r="C96" s="62"/>
      <c r="D96" s="62"/>
      <c r="E96" s="62"/>
      <c r="F96" s="62"/>
      <c r="G96" s="62"/>
      <c r="H96" s="62"/>
      <c r="I96" s="62"/>
    </row>
    <row r="97" spans="1:9" x14ac:dyDescent="0.25">
      <c r="A97" s="62"/>
      <c r="B97" s="62"/>
      <c r="C97" s="62"/>
      <c r="D97" s="62"/>
      <c r="E97" s="62"/>
      <c r="F97" s="62"/>
      <c r="G97" s="62"/>
      <c r="H97" s="62"/>
      <c r="I97" s="62"/>
    </row>
    <row r="98" spans="1:9" x14ac:dyDescent="0.25">
      <c r="A98" s="62"/>
      <c r="B98" s="62"/>
      <c r="C98" s="62"/>
      <c r="D98" s="62"/>
      <c r="E98" s="62"/>
      <c r="F98" s="62"/>
      <c r="G98" s="62"/>
      <c r="H98" s="62"/>
      <c r="I98" s="62"/>
    </row>
    <row r="99" spans="1:9" x14ac:dyDescent="0.25">
      <c r="A99" s="62"/>
      <c r="B99" s="62"/>
      <c r="C99" s="62"/>
      <c r="D99" s="62"/>
      <c r="E99" s="62"/>
      <c r="F99" s="62"/>
      <c r="G99" s="62"/>
      <c r="H99" s="62"/>
      <c r="I99" s="62"/>
    </row>
  </sheetData>
  <sheetProtection algorithmName="SHA-512" hashValue="np3yJ6f5oalwvh94EhvNBkmT3KQkc8rhRAGU+SHCVrZAWdBCmIifbh05kUMT37MDhiNW/SFY4TNG4h05S6Pmuw==" saltValue="FmHV2ixgBV8cO9rstt6ZfQ=="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50</v>
      </c>
      <c r="C4" s="116"/>
      <c r="D4" s="116"/>
      <c r="E4" s="116"/>
      <c r="F4" s="116"/>
      <c r="G4" s="116"/>
      <c r="H4" s="117"/>
      <c r="I4" s="1"/>
    </row>
    <row r="5" spans="1:9" x14ac:dyDescent="0.25">
      <c r="A5" s="1"/>
      <c r="B5" s="118" t="s">
        <v>55</v>
      </c>
      <c r="C5" s="119"/>
      <c r="D5" s="119"/>
      <c r="E5" s="119"/>
      <c r="F5" s="120"/>
      <c r="G5" s="64">
        <v>46913485.86690855</v>
      </c>
      <c r="H5" s="14" t="s">
        <v>3</v>
      </c>
      <c r="I5" s="1"/>
    </row>
    <row r="6" spans="1:9" x14ac:dyDescent="0.25">
      <c r="A6" s="1"/>
      <c r="B6" s="118" t="s">
        <v>51</v>
      </c>
      <c r="C6" s="119"/>
      <c r="D6" s="119"/>
      <c r="E6" s="119"/>
      <c r="F6" s="120"/>
      <c r="G6" s="64">
        <f>G5*'Fane 15. Nøgletal'!C21</f>
        <v>426912.72138886782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23">
        <f>(G5-G6)*(1+'Fane 15. Nøgletal'!C10)</f>
        <v>47300088.175566278</v>
      </c>
      <c r="H10" s="14" t="s">
        <v>3</v>
      </c>
      <c r="I10" s="1"/>
    </row>
    <row r="11" spans="1:9" x14ac:dyDescent="0.25">
      <c r="A11" s="1"/>
      <c r="B11" s="118" t="s">
        <v>104</v>
      </c>
      <c r="C11" s="119"/>
      <c r="D11" s="119"/>
      <c r="E11" s="119"/>
      <c r="F11" s="120"/>
      <c r="G11" s="64">
        <v>105245.71748111911</v>
      </c>
      <c r="H11" s="14" t="s">
        <v>3</v>
      </c>
      <c r="I11" s="1"/>
    </row>
    <row r="12" spans="1:9" x14ac:dyDescent="0.25">
      <c r="A12" s="1"/>
      <c r="B12" s="124" t="s">
        <v>247</v>
      </c>
      <c r="C12" s="125"/>
      <c r="D12" s="125"/>
      <c r="E12" s="125"/>
      <c r="F12" s="126"/>
      <c r="G12" s="67">
        <v>1535.3591687500002</v>
      </c>
      <c r="H12" s="14" t="s">
        <v>3</v>
      </c>
      <c r="I12" s="1"/>
    </row>
    <row r="13" spans="1:9" x14ac:dyDescent="0.25">
      <c r="A13" s="1"/>
      <c r="B13" s="118" t="s">
        <v>58</v>
      </c>
      <c r="C13" s="119"/>
      <c r="D13" s="119"/>
      <c r="E13" s="119"/>
      <c r="F13" s="120"/>
      <c r="G13" s="23">
        <f>SUM(G10:G12)*'Fane 15. Nøgletal'!C22</f>
        <v>839101.58576422592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23">
        <f>(SUM(G10:G12)-G13)*(1+'Fane 15. Nøgletal'!C10)</f>
        <v>47382703.600614838</v>
      </c>
      <c r="H17" s="14" t="s">
        <v>3</v>
      </c>
      <c r="I17" s="1"/>
    </row>
    <row r="18" spans="1:9" x14ac:dyDescent="0.25">
      <c r="A18" s="1"/>
      <c r="B18" s="124" t="s">
        <v>248</v>
      </c>
      <c r="C18" s="125"/>
      <c r="D18" s="125"/>
      <c r="E18" s="125"/>
      <c r="F18" s="126"/>
      <c r="G18" s="64">
        <v>193175.46463287994</v>
      </c>
      <c r="H18" s="14" t="s">
        <v>3</v>
      </c>
      <c r="I18" s="1"/>
    </row>
    <row r="19" spans="1:9" x14ac:dyDescent="0.25">
      <c r="A19" s="1"/>
      <c r="B19" s="118" t="s">
        <v>61</v>
      </c>
      <c r="C19" s="119"/>
      <c r="D19" s="119"/>
      <c r="E19" s="119"/>
      <c r="F19" s="120"/>
      <c r="G19" s="23">
        <f>G17*'Fane 15. Nøgletal'!C22+G18*'Fane 15. Nøgletal'!C23</f>
        <v>840354.48027318867</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23">
        <f>(G17+G18-G19)*(1+'Fane 15. Nøgletal'!C12)</f>
        <v>47656214.41929853</v>
      </c>
      <c r="H23" s="14" t="s">
        <v>3</v>
      </c>
      <c r="I23" s="1"/>
    </row>
    <row r="24" spans="1:9" x14ac:dyDescent="0.25">
      <c r="A24" s="1"/>
      <c r="B24" s="124" t="s">
        <v>249</v>
      </c>
      <c r="C24" s="125"/>
      <c r="D24" s="125"/>
      <c r="E24" s="125"/>
      <c r="F24" s="126"/>
      <c r="G24" s="64">
        <v>292076.25959146139</v>
      </c>
      <c r="H24" s="14" t="s">
        <v>3</v>
      </c>
      <c r="I24" s="1"/>
    </row>
    <row r="25" spans="1:9" x14ac:dyDescent="0.25">
      <c r="A25" s="1"/>
      <c r="B25" s="118" t="s">
        <v>64</v>
      </c>
      <c r="C25" s="119"/>
      <c r="D25" s="119"/>
      <c r="E25" s="119"/>
      <c r="F25" s="120"/>
      <c r="G25" s="23">
        <f>(G23+G24)*'Fane 15. Nøgletal'!C24</f>
        <v>1361731.4552804758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23">
        <f>(G23+G24-G25)*(1+'Fane 15. Nøgletal'!C12)</f>
        <v>47504314.440314621</v>
      </c>
      <c r="H29" s="14" t="s">
        <v>3</v>
      </c>
      <c r="I29" s="1"/>
    </row>
    <row r="30" spans="1:9" x14ac:dyDescent="0.25">
      <c r="A30" s="1"/>
      <c r="B30" s="118" t="s">
        <v>250</v>
      </c>
      <c r="C30" s="119"/>
      <c r="D30" s="119"/>
      <c r="E30" s="119"/>
      <c r="F30" s="120"/>
      <c r="G30" s="64">
        <v>276661.99691171997</v>
      </c>
      <c r="H30" s="14" t="s">
        <v>3</v>
      </c>
      <c r="I30" s="1"/>
    </row>
    <row r="31" spans="1:9" x14ac:dyDescent="0.25">
      <c r="A31" s="1"/>
      <c r="B31" s="118" t="s">
        <v>67</v>
      </c>
      <c r="C31" s="119"/>
      <c r="D31" s="119"/>
      <c r="E31" s="119"/>
      <c r="F31" s="120"/>
      <c r="G31" s="23">
        <f>G29*'Fane 15. Nøgletal'!C24+G30*'Fane 15. Nøgletal'!C25</f>
        <v>1356730.7350200077</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23">
        <f>(G29+G30-G31)*(1+'Fane 15. Nøgletal'!C14)</f>
        <v>46577445.713023618</v>
      </c>
      <c r="H35" s="14" t="s">
        <v>3</v>
      </c>
      <c r="I35" s="1"/>
    </row>
    <row r="36" spans="1:9" x14ac:dyDescent="0.25">
      <c r="A36" s="1"/>
      <c r="B36" s="118" t="s">
        <v>251</v>
      </c>
      <c r="C36" s="119"/>
      <c r="D36" s="119"/>
      <c r="E36" s="119"/>
      <c r="F36" s="120"/>
      <c r="G36" s="64">
        <v>629667.90036705707</v>
      </c>
      <c r="H36" s="14" t="s">
        <v>3</v>
      </c>
      <c r="I36" s="1"/>
    </row>
    <row r="37" spans="1:9" x14ac:dyDescent="0.25">
      <c r="A37" s="1"/>
      <c r="B37" s="118" t="s">
        <v>131</v>
      </c>
      <c r="C37" s="119"/>
      <c r="D37" s="119"/>
      <c r="E37" s="119"/>
      <c r="F37" s="120"/>
      <c r="G37" s="23">
        <f>(G35+G36)*'Fane 15. Nøgletal'!C26</f>
        <v>698665.28147818206</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23">
        <f>(G35+G36-G37)*(1+'Fane 15. Nøgletal'!C14)</f>
        <v>46661926.21140781</v>
      </c>
      <c r="H41" s="14" t="s">
        <v>3</v>
      </c>
      <c r="I41" s="1"/>
    </row>
    <row r="42" spans="1:9" x14ac:dyDescent="0.25">
      <c r="A42" s="1"/>
      <c r="B42" s="41" t="s">
        <v>156</v>
      </c>
      <c r="C42" s="79"/>
      <c r="D42" s="79"/>
      <c r="E42" s="79"/>
      <c r="F42" s="80"/>
      <c r="G42" s="23">
        <v>614622.38562951365</v>
      </c>
      <c r="H42" s="14" t="s">
        <v>3</v>
      </c>
      <c r="I42" s="1"/>
    </row>
    <row r="43" spans="1:9" x14ac:dyDescent="0.25">
      <c r="A43" s="1"/>
      <c r="B43" s="118" t="s">
        <v>132</v>
      </c>
      <c r="C43" s="119"/>
      <c r="D43" s="119"/>
      <c r="E43" s="119"/>
      <c r="F43" s="120"/>
      <c r="G43" s="23">
        <f>(G41)*'Fane 15. Nøgletal'!C26+G42*'Fane 15. Nøgletal'!C27</f>
        <v>690596.50792883558</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23">
        <f>(G41+G42-G43)*(1+'Fane 15. Nøgletal'!C16)</f>
        <v>50350097.017908454</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1710214.8906110912</v>
      </c>
      <c r="H54" s="14" t="s">
        <v>3</v>
      </c>
      <c r="I54" s="1"/>
    </row>
    <row r="55" spans="1:9" x14ac:dyDescent="0.25">
      <c r="A55" s="1"/>
      <c r="B55" s="118" t="s">
        <v>218</v>
      </c>
      <c r="C55" s="119"/>
      <c r="D55" s="119"/>
      <c r="E55" s="119"/>
      <c r="F55" s="120"/>
      <c r="G55" s="89">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23">
        <f>(G53+G54-G55)*(1+'Fane 15. Nøgletal'!C16)</f>
        <v>56266785.110727921</v>
      </c>
      <c r="H59" s="14" t="s">
        <v>3</v>
      </c>
      <c r="I59" s="1"/>
    </row>
    <row r="60" spans="1:9" x14ac:dyDescent="0.25">
      <c r="A60" s="1"/>
      <c r="B60" s="118" t="s">
        <v>220</v>
      </c>
      <c r="C60" s="119"/>
      <c r="D60" s="119"/>
      <c r="E60" s="119"/>
      <c r="F60" s="120"/>
      <c r="G60" s="89">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23">
        <f>(G59-G60)*(1+'Fane 15. Nøgletal'!C16)</f>
        <v>60813141.347674735</v>
      </c>
      <c r="H64" s="14" t="s">
        <v>3</v>
      </c>
      <c r="I64" s="1"/>
    </row>
    <row r="65" spans="1:9" x14ac:dyDescent="0.25">
      <c r="A65" s="1"/>
      <c r="B65" s="118" t="s">
        <v>222</v>
      </c>
      <c r="C65" s="119"/>
      <c r="D65" s="119"/>
      <c r="E65" s="119"/>
      <c r="F65" s="120"/>
      <c r="G65" s="89">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23">
        <f>(G64-G65)*(1+'Fane 15. Nøgletal'!C16)</f>
        <v>65726843.168566853</v>
      </c>
      <c r="H69" s="14" t="s">
        <v>3</v>
      </c>
      <c r="I69" s="1"/>
    </row>
    <row r="70" spans="1:9" x14ac:dyDescent="0.25">
      <c r="A70" s="1"/>
      <c r="B70" s="118" t="s">
        <v>222</v>
      </c>
      <c r="C70" s="119"/>
      <c r="D70" s="119"/>
      <c r="E70" s="119"/>
      <c r="F70" s="120"/>
      <c r="G70" s="89">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2"/>
      <c r="B75" s="62"/>
      <c r="C75" s="62"/>
      <c r="D75" s="62"/>
      <c r="E75" s="62"/>
      <c r="F75" s="62"/>
      <c r="G75" s="62"/>
      <c r="H75" s="62"/>
      <c r="I75" s="62"/>
    </row>
    <row r="76" spans="1:9" x14ac:dyDescent="0.25">
      <c r="A76" s="62"/>
      <c r="B76" s="62"/>
      <c r="C76" s="62"/>
      <c r="D76" s="62"/>
      <c r="E76" s="62"/>
      <c r="F76" s="62"/>
      <c r="G76" s="62"/>
      <c r="H76" s="62"/>
      <c r="I76" s="62"/>
    </row>
    <row r="77" spans="1:9" x14ac:dyDescent="0.25">
      <c r="A77" s="62"/>
      <c r="B77" s="62"/>
      <c r="C77" s="62"/>
      <c r="D77" s="62"/>
      <c r="E77" s="62"/>
      <c r="F77" s="62"/>
      <c r="G77" s="62"/>
      <c r="H77" s="62"/>
      <c r="I77" s="62"/>
    </row>
    <row r="78" spans="1:9" x14ac:dyDescent="0.25">
      <c r="A78" s="62"/>
      <c r="B78" s="62"/>
      <c r="C78" s="62"/>
      <c r="D78" s="62"/>
      <c r="E78" s="62"/>
      <c r="F78" s="62"/>
      <c r="G78" s="62"/>
      <c r="H78" s="62"/>
      <c r="I78" s="62"/>
    </row>
    <row r="79" spans="1:9" x14ac:dyDescent="0.25">
      <c r="A79" s="62"/>
      <c r="B79" s="62"/>
      <c r="C79" s="62"/>
      <c r="D79" s="62"/>
      <c r="E79" s="62"/>
      <c r="F79" s="62"/>
      <c r="G79" s="62"/>
      <c r="H79" s="62"/>
      <c r="I79" s="62"/>
    </row>
    <row r="80" spans="1:9" x14ac:dyDescent="0.25">
      <c r="A80" s="62"/>
      <c r="B80" s="62"/>
      <c r="C80" s="62"/>
      <c r="D80" s="62"/>
      <c r="E80" s="62"/>
      <c r="F80" s="62"/>
      <c r="G80" s="62"/>
      <c r="H80" s="62"/>
      <c r="I80" s="62"/>
    </row>
    <row r="81" spans="1:9" x14ac:dyDescent="0.25">
      <c r="A81" s="62"/>
      <c r="B81" s="62"/>
      <c r="C81" s="62"/>
      <c r="D81" s="62"/>
      <c r="E81" s="62"/>
      <c r="F81" s="62"/>
      <c r="G81" s="62"/>
      <c r="H81" s="62"/>
      <c r="I81" s="62"/>
    </row>
    <row r="82" spans="1:9" x14ac:dyDescent="0.25">
      <c r="A82" s="62"/>
      <c r="B82" s="62"/>
      <c r="C82" s="62"/>
      <c r="D82" s="62"/>
      <c r="E82" s="62"/>
      <c r="F82" s="62"/>
      <c r="G82" s="62"/>
      <c r="H82" s="62"/>
      <c r="I82" s="62"/>
    </row>
    <row r="83" spans="1:9" x14ac:dyDescent="0.25">
      <c r="A83" s="62"/>
      <c r="B83" s="62"/>
      <c r="C83" s="62"/>
      <c r="D83" s="62"/>
      <c r="E83" s="62"/>
      <c r="F83" s="62"/>
      <c r="G83" s="62"/>
      <c r="H83" s="62"/>
      <c r="I83" s="62"/>
    </row>
    <row r="84" spans="1:9" x14ac:dyDescent="0.25">
      <c r="A84" s="62"/>
      <c r="B84" s="62"/>
      <c r="C84" s="62"/>
      <c r="D84" s="62"/>
      <c r="E84" s="62"/>
      <c r="F84" s="62"/>
      <c r="G84" s="62"/>
      <c r="H84" s="62"/>
      <c r="I84" s="62"/>
    </row>
    <row r="85" spans="1:9" x14ac:dyDescent="0.25">
      <c r="A85" s="62"/>
      <c r="B85" s="62"/>
      <c r="C85" s="62"/>
      <c r="D85" s="62"/>
      <c r="E85" s="62"/>
      <c r="F85" s="62"/>
      <c r="G85" s="62"/>
      <c r="H85" s="62"/>
      <c r="I85" s="62"/>
    </row>
    <row r="86" spans="1:9" x14ac:dyDescent="0.25">
      <c r="A86" s="62"/>
      <c r="B86" s="62"/>
      <c r="C86" s="62"/>
      <c r="D86" s="62"/>
      <c r="E86" s="62"/>
      <c r="F86" s="62"/>
      <c r="G86" s="62"/>
      <c r="H86" s="62"/>
      <c r="I86" s="62"/>
    </row>
    <row r="87" spans="1:9" x14ac:dyDescent="0.25">
      <c r="A87" s="62"/>
      <c r="B87" s="62"/>
      <c r="C87" s="62"/>
      <c r="D87" s="62"/>
      <c r="E87" s="62"/>
      <c r="F87" s="62"/>
      <c r="G87" s="62"/>
      <c r="H87" s="62"/>
      <c r="I87" s="62"/>
    </row>
    <row r="88" spans="1:9" x14ac:dyDescent="0.25">
      <c r="A88" s="62"/>
      <c r="B88" s="62"/>
      <c r="C88" s="62"/>
      <c r="D88" s="62"/>
      <c r="E88" s="62"/>
      <c r="F88" s="62"/>
      <c r="G88" s="62"/>
      <c r="H88" s="62"/>
      <c r="I88" s="62"/>
    </row>
    <row r="89" spans="1:9" x14ac:dyDescent="0.25">
      <c r="A89" s="62"/>
      <c r="B89" s="62"/>
      <c r="C89" s="62"/>
      <c r="D89" s="62"/>
      <c r="E89" s="62"/>
      <c r="F89" s="62"/>
      <c r="G89" s="62"/>
      <c r="H89" s="62"/>
      <c r="I89" s="62"/>
    </row>
    <row r="90" spans="1:9" x14ac:dyDescent="0.25">
      <c r="A90" s="62"/>
      <c r="B90" s="62"/>
      <c r="C90" s="62"/>
      <c r="D90" s="62"/>
      <c r="E90" s="62"/>
      <c r="F90" s="62"/>
      <c r="G90" s="62"/>
      <c r="H90" s="62"/>
      <c r="I90" s="62"/>
    </row>
    <row r="91" spans="1:9" x14ac:dyDescent="0.25">
      <c r="A91" s="62"/>
      <c r="B91" s="62"/>
      <c r="C91" s="62"/>
      <c r="D91" s="62"/>
      <c r="E91" s="62"/>
      <c r="F91" s="62"/>
      <c r="G91" s="62"/>
      <c r="H91" s="62"/>
      <c r="I91" s="62"/>
    </row>
    <row r="92" spans="1:9" x14ac:dyDescent="0.25">
      <c r="A92" s="62"/>
      <c r="B92" s="62"/>
      <c r="C92" s="62"/>
      <c r="D92" s="62"/>
      <c r="E92" s="62"/>
      <c r="F92" s="62"/>
      <c r="G92" s="62"/>
      <c r="H92" s="62"/>
      <c r="I92" s="62"/>
    </row>
    <row r="93" spans="1:9" x14ac:dyDescent="0.25">
      <c r="A93" s="62"/>
      <c r="B93" s="62"/>
      <c r="C93" s="62"/>
      <c r="D93" s="62"/>
      <c r="E93" s="62"/>
      <c r="F93" s="62"/>
      <c r="G93" s="62"/>
      <c r="H93" s="62"/>
      <c r="I93" s="62"/>
    </row>
    <row r="94" spans="1:9" x14ac:dyDescent="0.25">
      <c r="A94" s="62"/>
      <c r="B94" s="62"/>
      <c r="C94" s="62"/>
      <c r="D94" s="62"/>
      <c r="E94" s="62"/>
      <c r="F94" s="62"/>
      <c r="G94" s="62"/>
      <c r="H94" s="62"/>
      <c r="I94" s="62"/>
    </row>
    <row r="95" spans="1:9" x14ac:dyDescent="0.25">
      <c r="A95" s="62"/>
      <c r="B95" s="62"/>
      <c r="C95" s="62"/>
      <c r="D95" s="62"/>
      <c r="E95" s="62"/>
      <c r="F95" s="62"/>
      <c r="G95" s="62"/>
      <c r="H95" s="62"/>
      <c r="I95" s="62"/>
    </row>
    <row r="96" spans="1:9" x14ac:dyDescent="0.25">
      <c r="A96" s="62"/>
      <c r="B96" s="62"/>
      <c r="C96" s="62"/>
      <c r="D96" s="62"/>
      <c r="E96" s="62"/>
      <c r="F96" s="62"/>
      <c r="G96" s="62"/>
      <c r="H96" s="62"/>
      <c r="I96" s="62"/>
    </row>
    <row r="97" spans="1:9" x14ac:dyDescent="0.25">
      <c r="A97" s="62"/>
      <c r="B97" s="62"/>
      <c r="C97" s="62"/>
      <c r="D97" s="62"/>
      <c r="E97" s="62"/>
      <c r="F97" s="62"/>
      <c r="G97" s="62"/>
      <c r="H97" s="62"/>
      <c r="I97" s="62"/>
    </row>
    <row r="98" spans="1:9" x14ac:dyDescent="0.25">
      <c r="A98" s="62"/>
      <c r="B98" s="62"/>
      <c r="C98" s="62"/>
      <c r="D98" s="62"/>
      <c r="E98" s="62"/>
      <c r="F98" s="62"/>
      <c r="G98" s="62"/>
      <c r="H98" s="62"/>
      <c r="I98" s="62"/>
    </row>
    <row r="99" spans="1:9" x14ac:dyDescent="0.25">
      <c r="A99" s="62"/>
      <c r="B99" s="62"/>
      <c r="C99" s="62"/>
      <c r="D99" s="62"/>
      <c r="E99" s="62"/>
      <c r="F99" s="62"/>
      <c r="G99" s="62"/>
      <c r="H99" s="62"/>
      <c r="I99" s="62"/>
    </row>
    <row r="100" spans="1:9" x14ac:dyDescent="0.25">
      <c r="A100" s="62"/>
      <c r="B100" s="62"/>
      <c r="C100" s="62"/>
      <c r="D100" s="62"/>
      <c r="E100" s="62"/>
      <c r="F100" s="62"/>
      <c r="G100" s="62"/>
      <c r="H100" s="62"/>
      <c r="I100" s="62"/>
    </row>
  </sheetData>
  <sheetProtection algorithmName="SHA-512" hashValue="vpy06UQz5N1gILRJPD8NCmCaS7FsNkBkt+fLc60pD/LJ7snaRAL4ge3BBPsYV0tTOZUgrYtuyX7joBwr02WgXg==" saltValue="+25iuY0PtTnRDxGoi+5cUg=="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276</v>
      </c>
      <c r="C9" s="119"/>
      <c r="D9" s="119"/>
      <c r="E9" s="119"/>
      <c r="F9" s="120"/>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HBoNGNGcxsq6NQJkitvskDNPoq4LDrKWBmvnfkGOcl1PkZrqhG/SdKKlTF+dI5AY2oJldNREn5N4bimJIxG0IQ==" saltValue="DpKMLkbJbAluEYnGTw7Pl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7</vt:i4>
      </vt:variant>
    </vt:vector>
  </HeadingPairs>
  <TitlesOfParts>
    <vt:vector size="27"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2023-09-13T13:20:02Z</dcterms:modified>
</cp:coreProperties>
</file>