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Aalborg Vand AS (V218)\ØR2023\"/>
    </mc:Choice>
  </mc:AlternateContent>
  <bookViews>
    <workbookView xWindow="3105" yWindow="990" windowWidth="12735"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calcPr calcId="162913"/>
</workbook>
</file>

<file path=xl/calcChain.xml><?xml version="1.0" encoding="utf-8"?>
<calcChain xmlns="http://schemas.openxmlformats.org/spreadsheetml/2006/main">
  <c r="E34" i="27" l="1"/>
  <c r="C19" i="23"/>
  <c r="C19" i="22"/>
  <c r="C20" i="15"/>
  <c r="C32" i="2"/>
  <c r="G18" i="40" l="1"/>
  <c r="E23" i="27" l="1"/>
  <c r="E22" i="27"/>
  <c r="E18" i="32" l="1"/>
  <c r="E17" i="32"/>
  <c r="E26" i="32" l="1"/>
  <c r="E31" i="32" s="1"/>
  <c r="E33" i="32" s="1"/>
  <c r="C18" i="15" l="1"/>
  <c r="C30" i="2"/>
  <c r="J11" i="11" l="1"/>
  <c r="H11" i="11"/>
  <c r="C15" i="19"/>
  <c r="E24" i="27" l="1"/>
  <c r="C16" i="19" l="1"/>
  <c r="E11" i="29" l="1"/>
  <c r="E12" i="29" s="1"/>
  <c r="C11" i="29"/>
  <c r="C12" i="29" s="1"/>
  <c r="F10" i="11"/>
  <c r="C15" i="22"/>
  <c r="C16" i="15" l="1"/>
  <c r="C15" i="23"/>
  <c r="E35" i="27" l="1"/>
  <c r="E12" i="39" l="1"/>
  <c r="E13" i="39" s="1"/>
  <c r="C12" i="39"/>
  <c r="C13" i="39" s="1"/>
  <c r="C24" i="2" s="1"/>
  <c r="G31" i="36" l="1"/>
  <c r="G38" i="36" s="1"/>
  <c r="G7" i="36"/>
  <c r="G11" i="36" s="1"/>
  <c r="G13" i="36" s="1"/>
  <c r="G7" i="30"/>
  <c r="G11" i="30" s="1"/>
  <c r="G17" i="36" l="1"/>
  <c r="G20" i="36" s="1"/>
  <c r="G13" i="30"/>
  <c r="G17" i="30" s="1"/>
  <c r="G24" i="36" l="1"/>
  <c r="G20" i="30"/>
  <c r="G30" i="36" l="1"/>
  <c r="G37" i="36" s="1"/>
  <c r="G26" i="36"/>
  <c r="G24" i="30"/>
  <c r="G26" i="30" s="1"/>
  <c r="G31" i="30" l="1"/>
  <c r="G38" i="30" s="1"/>
  <c r="F11" i="11" l="1"/>
  <c r="E12" i="21" l="1"/>
  <c r="E13" i="21" s="1"/>
  <c r="C12" i="21"/>
  <c r="C13" i="21" s="1"/>
  <c r="C13" i="2" l="1"/>
  <c r="C12" i="2"/>
  <c r="C25" i="2" l="1"/>
  <c r="C27" i="2" s="1"/>
  <c r="C26" i="2" l="1"/>
  <c r="C28" i="2" s="1"/>
  <c r="G30" i="30"/>
  <c r="G37" i="30" s="1"/>
  <c r="G33" i="30" l="1"/>
  <c r="C10" i="37" l="1"/>
  <c r="C14" i="37" s="1"/>
  <c r="C15" i="37" l="1"/>
  <c r="C10" i="2" s="1"/>
  <c r="C22" i="2"/>
  <c r="C14" i="2"/>
  <c r="C15" i="2"/>
  <c r="G46" i="30" l="1"/>
  <c r="G41" i="30"/>
  <c r="G45" i="30" s="1"/>
  <c r="G47" i="30" l="1"/>
  <c r="G54" i="30" s="1"/>
  <c r="G39" i="30"/>
  <c r="E10" i="37"/>
  <c r="E14" i="37" s="1"/>
  <c r="E15" i="37" l="1"/>
  <c r="C11" i="2" s="1"/>
  <c r="G55" i="30"/>
  <c r="G59" i="30" s="1"/>
  <c r="C18" i="2"/>
  <c r="G46" i="36" l="1"/>
  <c r="G60" i="30"/>
  <c r="G64" i="30" s="1"/>
  <c r="G65" i="30" s="1"/>
  <c r="G33" i="36"/>
  <c r="G41" i="36"/>
  <c r="G45" i="36" s="1"/>
  <c r="G47" i="36" s="1"/>
  <c r="G52" i="36" s="1"/>
  <c r="G53" i="36" l="1"/>
  <c r="G57" i="36" s="1"/>
  <c r="C9" i="2"/>
  <c r="C13" i="15" l="1"/>
  <c r="G58" i="36"/>
  <c r="G62" i="36" s="1"/>
  <c r="G63" i="36" s="1"/>
  <c r="C16" i="2"/>
  <c r="C17" i="2" s="1"/>
  <c r="C19" i="2"/>
  <c r="C11" i="22" l="1"/>
  <c r="C12" i="15"/>
  <c r="C20" i="2"/>
  <c r="C33" i="2" s="1"/>
  <c r="C11" i="23" l="1"/>
  <c r="C12" i="22"/>
  <c r="C9" i="15"/>
  <c r="C10" i="15" l="1"/>
  <c r="C12" i="23"/>
  <c r="C11" i="15" l="1"/>
  <c r="C14" i="15" s="1"/>
  <c r="C21" i="15" l="1"/>
  <c r="C8" i="22"/>
  <c r="C9" i="22" s="1"/>
  <c r="C10" i="22" l="1"/>
  <c r="C13" i="22" s="1"/>
  <c r="C20" i="22" l="1"/>
  <c r="C8" i="23"/>
  <c r="C9" i="23" s="1"/>
  <c r="C10" i="23" s="1"/>
  <c r="C13" i="23" l="1"/>
  <c r="C20" i="23" s="1"/>
</calcChain>
</file>

<file path=xl/sharedStrings.xml><?xml version="1.0" encoding="utf-8"?>
<sst xmlns="http://schemas.openxmlformats.org/spreadsheetml/2006/main" count="535" uniqueCount="266">
  <si>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</si>
  <si>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</si>
  <si>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</si>
  <si>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</si>
  <si>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</si>
  <si>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</si>
  <si>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</si>
  <si>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</si>
  <si>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</si>
  <si>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</si>
  <si>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</si>
  <si>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</si>
  <si>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</si>
  <si>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</si>
  <si>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</si>
  <si>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</si>
  <si>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</si>
  <si>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</si>
  <si>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</si>
  <si>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</si>
  <si>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</si>
  <si>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</si>
  <si>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</si>
  <si>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</si>
  <si>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</si>
  <si>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</si>
  <si>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</si>
  <si>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</si>
  <si>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</si>
  <si>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</si>
  <si>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</si>
  <si>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</si>
  <si>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</si>
  <si>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</si>
  <si>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</si>
  <si>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</si>
  <si>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</si>
  <si>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</si>
  <si>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</si>
  <si>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</si>
  <si>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</si>
  <si>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</si>
  <si>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</si>
  <si>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</si>
  <si>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</si>
  <si>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</si>
  <si>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</si>
  <si>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</si>
  <si>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</si>
  <si>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</si>
  <si>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</si>
  <si>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</si>
  <si>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</si>
  <si>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</si>
  <si>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</si>
  <si>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</si>
  <si>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</si>
  <si>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</si>
  <si>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</si>
  <si>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</si>
  <si>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</si>
  <si>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</si>
  <si>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</si>
  <si>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</si>
  <si>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</si>
  <si>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</si>
  <si>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</si>
  <si>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</si>
  <si>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</si>
  <si>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</si>
  <si>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</si>
  <si>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</si>
  <si>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</si>
  <si>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</si>
  <si>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</si>
  <si>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</si>
  <si>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</si>
  <si>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</si>
  <si>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</si>
  <si>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</si>
  <si>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</si>
  <si>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</si>
  <si>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</si>
  <si>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</si>
  <si>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</si>
  <si>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</si>
  <si>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</si>
  <si>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2021-prisniveau</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</si>
  <si>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</si>
  <si>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</si>
  <si>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</si>
  <si>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</si>
  <si>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</si>
  <si>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</si>
  <si>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</si>
  <si>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</si>
  <si>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</si>
  <si>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</si>
  <si>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</si>
  <si>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Generelt effektiviseringskrav til anlægsomkostninger i de økonomiske rammer for 2022</t>
  </si>
  <si>
    <t>Generelt effektiviseringskrav til driftsomkostninger i de økonomiske rammer for 2022</t>
  </si>
  <si>
    <t>Fane 4.1: Generelt effektiviseringskrav til driftsomkostningerne</t>
  </si>
  <si>
    <t>Fane 4.2: Generelt effektiviseringskrav til anlægsomkostningerne</t>
  </si>
  <si>
    <t>Fane 6: Ikke-påvirkelige omkostninger</t>
  </si>
  <si>
    <t>Fane 4.1</t>
  </si>
  <si>
    <t>Fane 4.2</t>
  </si>
  <si>
    <t>Fane 6</t>
  </si>
  <si>
    <t>Fane 11</t>
  </si>
  <si>
    <t>Prisudvikling til brug for ØR2017-2018</t>
  </si>
  <si>
    <t>Prisudvikling til brug for ØR2019-2022</t>
  </si>
  <si>
    <t>Generelt effektiviseringskrav til brug for anlægsomkostninger i ØR2017-2018</t>
  </si>
  <si>
    <t>Generelt effektiviseringskrav til brug for nye anlægsomkostninger i ØR2018</t>
  </si>
  <si>
    <t>Generelt effektiviseringskrav til brug for nye anlægsomkostninger i ØR2020</t>
  </si>
  <si>
    <t>Generelt effektiviseringskrav til brug for anlægsomkostninger i ØR2019-2022</t>
  </si>
  <si>
    <t>Generelt effektiviseringskrav til brug for driftsomkostninger</t>
  </si>
  <si>
    <t>- Heraf nye driftsomkostninger til de økonomiske rammer for 2020</t>
  </si>
  <si>
    <t>Generelt effektiviseringskrav til driftsomkostningerne i ØR22</t>
  </si>
  <si>
    <t>- Heraf nye anlægsomkostninger til de økonomiske rammer for 2020</t>
  </si>
  <si>
    <t>Fane 3</t>
  </si>
  <si>
    <t>Korrektion af driftsomkostninger i grundlaget</t>
  </si>
  <si>
    <t>Korrektion af anlægsomkostninger i grundlaget</t>
  </si>
  <si>
    <t>Tilknyttet virksomhed</t>
  </si>
  <si>
    <t>Tidligere tilknyttet virksomhed - Drift</t>
  </si>
  <si>
    <t>Tidligere tilknyttet virksomhed - Anlæg</t>
  </si>
  <si>
    <t>Videreførte omkostninger fra den økonomiske ramme for 2022</t>
  </si>
  <si>
    <t>Videreførte omkostninger fra den økonomiske ramme for 2024</t>
  </si>
  <si>
    <t>Økonomisk ramme for 2024</t>
  </si>
  <si>
    <t>Tilknyttet virksomhed under hovedvirksomheden</t>
  </si>
  <si>
    <t>Beskrivelse af tilknyttet virksomhed</t>
  </si>
  <si>
    <t>Prisudvikling til brug for nye omkostninger i ØR2021</t>
  </si>
  <si>
    <t>Generelt effektiviseringskrav til brug for nye anlægsomkostninger i ØR2021</t>
  </si>
  <si>
    <t>Engangstillæg i alt i 2023-prisniveau</t>
  </si>
  <si>
    <t>Nye driftsomkostninger til de økonomiske rammer for 2021</t>
  </si>
  <si>
    <t>Base for driftsomkostninger til de vejledende økonomiske rammer for 2024</t>
  </si>
  <si>
    <t>Vejledende generelt effektiviseringskrav til driftsomkostningerne i ØR24</t>
  </si>
  <si>
    <t>Nye anlægsomkostninger til de økonomiske rammer for 2021</t>
  </si>
  <si>
    <t>- Heraf nye driftsomkostninger til de økonomiske rammer for 2021</t>
  </si>
  <si>
    <t>- Heraf nye anlægsomkostninger til de økonomiske rammer for 2021</t>
  </si>
  <si>
    <t>Base for anlægsomkostninger til de vejledende økonomiske rammer for 2024</t>
  </si>
  <si>
    <t>Vejledende generelt effektiviseringskrav til anlægsomkostningerne i ØR24</t>
  </si>
  <si>
    <t>Anlægsprojekter igangsat senest 1. marts 2016</t>
  </si>
  <si>
    <t>Generelt effektiviseringskrav til anlægsomkostningerne i ØR22</t>
  </si>
  <si>
    <t>Kontrol med overholdelse af økonomiske rammer</t>
  </si>
  <si>
    <t>Kontrol med overholdelse af den økonomiske ramme</t>
  </si>
  <si>
    <t>Vejledende økonomisk ramme for 2025</t>
  </si>
  <si>
    <t>- Heraf nye omkostninger i ØR21 - Drift</t>
  </si>
  <si>
    <t>- Heraf nye omkostninger i ØR21 - Anlæg</t>
  </si>
  <si>
    <t>Videreførte omkostninger fra den økonomiske ramme for 2023</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</si>
  <si>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</si>
  <si>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</si>
  <si>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</si>
  <si>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</si>
  <si>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</si>
  <si>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</si>
  <si>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</si>
  <si>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</si>
  <si>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</si>
  <si>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</si>
  <si>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</si>
  <si>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i de økonomiske rammer for 2022</t>
  </si>
  <si>
    <t>Nye anlægsomkostninger i de økonomiske rammer for 2022</t>
  </si>
  <si>
    <t xml:space="preserve">Indtægter fra tilbagebetalt skat eller sambeskatningsbidrag som følge af skattesagen </t>
  </si>
  <si>
    <t xml:space="preserve">Nedsættelse af økonomisk ramme som følge af skattesagen </t>
  </si>
  <si>
    <t>Tidligere opgjorte over/underdækninger</t>
  </si>
  <si>
    <t>Over/underdækning i 2019</t>
  </si>
  <si>
    <t>Allerede indregnet fradrag i jeres økonomiske rammer</t>
  </si>
  <si>
    <t>Indregnet fradrag i økonomisk ramme for 2023</t>
  </si>
  <si>
    <t>Indregnet fradrag i økonomisk ramme for 2024</t>
  </si>
  <si>
    <t>Kontrol med de økonomiske rammer til indregning</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</si>
  <si>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</si>
  <si>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</si>
  <si>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</si>
  <si>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</si>
  <si>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</si>
  <si>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</si>
  <si>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</si>
  <si>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</si>
  <si>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</si>
  <si>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</si>
  <si>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</si>
  <si>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</si>
  <si>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</si>
  <si>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</si>
  <si>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</si>
  <si>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</si>
  <si>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</si>
  <si>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</si>
  <si>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</si>
  <si>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</si>
  <si>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</si>
  <si>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</si>
  <si>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</si>
  <si>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</si>
  <si>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</si>
  <si>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Indtægtsramme i den økonomiske ramme for 2021</t>
  </si>
  <si>
    <t>Nye tillæg i alt i 2022-prisniveau</t>
  </si>
  <si>
    <t>Tilknyttet virksomhed under hovedvirksomheden i alt (2022-prisniveau)</t>
  </si>
  <si>
    <t xml:space="preserve"> </t>
  </si>
  <si>
    <t>Anlægsprojekter igangsat senest den 1. marts 2016</t>
  </si>
  <si>
    <t>Anlægsprojekter igangsat senest den 1. marts 2016 i alt</t>
  </si>
  <si>
    <t>Til økonomiske rammer for 2023-2024</t>
  </si>
  <si>
    <t>Engangstillæg i alt i 2021-prisniveau</t>
  </si>
  <si>
    <t>Samlet økonomisk ramme for 2024</t>
  </si>
  <si>
    <t>- Heraf nye omkostninger i ØR20 - Drift</t>
  </si>
  <si>
    <t>- Heraf nye omkostninger i ØR20 - Anlæg</t>
  </si>
  <si>
    <t>Nedsættelse af økonomisk ramme som følge af skattesagen</t>
  </si>
  <si>
    <t>Indtægter fra tilbagebetalt skat eller sambeskatningsbidrag som følge af skattesagen</t>
  </si>
  <si>
    <t>Nye driftsomkostninger til de økonomiske rammer for 2023</t>
  </si>
  <si>
    <t>Generelt effektiviseringskrav til driftsomkostningerne i ØR23</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</si>
  <si>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</si>
  <si>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</si>
  <si>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</si>
  <si>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 xml:space="preserve">Anlægsprojekter (§ 19) </t>
  </si>
  <si>
    <t>Effektiviseringskrav (generelt og individuelt) - Drift</t>
  </si>
  <si>
    <t>Effektiviseringskrav (generelt og individuelt) - Anlæg</t>
  </si>
  <si>
    <t>Generelt effektiviseringskrav til driftsomkostninger i de økonomiske rammer for 2024</t>
  </si>
  <si>
    <t>Generelt effektiviseringskrav til driftsomkostninger i de økonomiske rammer for 2023</t>
  </si>
  <si>
    <t>Nye varige anlægsomkostninger i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</si>
  <si>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</si>
  <si>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</si>
  <si>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</si>
  <si>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</si>
  <si>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</si>
  <si>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</si>
  <si>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</si>
  <si>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</si>
  <si>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</si>
  <si>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</si>
  <si>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</si>
  <si>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</si>
  <si>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</si>
  <si>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</si>
  <si>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</si>
  <si>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</si>
  <si>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</si>
  <si>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</si>
  <si>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Afgift for ledningsført vand</t>
  </si>
  <si>
    <t>Afgift til Forsyningssekretariatet</t>
  </si>
  <si>
    <t>Ejendomsskat</t>
  </si>
  <si>
    <t>Erstatninger</t>
  </si>
  <si>
    <t>Vandsamarbejde etableret i medfør af § 48 i vandforsyningsloven</t>
  </si>
  <si>
    <t>Over/underdækning i 2018</t>
  </si>
  <si>
    <t>Korrigeret over/underdækning i 2018</t>
  </si>
  <si>
    <t>Faktiske indtægter i 2020</t>
  </si>
  <si>
    <t>Til indregning i de økonomiske rammer for 2023-2024</t>
  </si>
  <si>
    <t>Ingen tilknyttet virksomhed under hovedvirksomheden</t>
  </si>
  <si>
    <t>Ingen bortfald eller nedsættelse</t>
  </si>
  <si>
    <t>Prisudvikling til brug for nye omkostninger i ØR2023</t>
  </si>
  <si>
    <t>Generelt effektiviseringskrav til brug for nye anlægsomkostninger i ØR2023</t>
  </si>
  <si>
    <t>Fjernaflæste målere, analysesystem mm.</t>
  </si>
  <si>
    <t>Flytning af ledning</t>
  </si>
  <si>
    <t>Udvidelser</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</si>
  <si>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</si>
  <si>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</si>
  <si>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</si>
  <si>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</si>
  <si>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</si>
  <si>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</si>
  <si>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</si>
  <si>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</si>
  <si>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Boring (inkl. etablering, forerør, filter og prøvepumpning)</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</si>
  <si>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</si>
  <si>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</si>
  <si>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Resultat af kontrol med overholdelse af den økonomiske ramme for 2021</t>
  </si>
  <si>
    <t>Individuelt effektiviseringskrav til de økonomiske rammer for 2023-2024</t>
  </si>
  <si>
    <t xml:space="preserve">Ingen engangstillæg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</si>
</sst>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0" fillId="2" borderId="0" xfId="0" applyFill="1" applyAlignment="1" applyProtection="1">
      <alignment wrapText="1"/>
    </xf>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7" fillId="3" borderId="1" xfId="0" applyFont="1" applyFill="1" applyBorder="1" applyAlignment="1" applyProtection="1"/>
    <xf numFmtId="0" fontId="2" fillId="2" borderId="0" xfId="0" applyFont="1" applyFill="1" applyAlignment="1" applyProtection="1">
      <alignment vertical="center" wrapText="1"/>
    </xf>
    <xf numFmtId="0" fontId="2" fillId="2" borderId="7" xfId="0" applyFont="1" applyFill="1" applyBorder="1" applyAlignment="1" applyProtection="1">
      <alignment vertical="center" wrapText="1"/>
    </xf>
    <xf numFmtId="0" fontId="0" fillId="2" borderId="0" xfId="0" applyFill="1" applyAlignment="1" applyProtection="1">
      <alignment horizontal="left"/>
    </xf>
    <xf numFmtId="0" fontId="0" fillId="0" borderId="0" xfId="0"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xf numFmtId="3" fontId="8" fillId="8" borderId="1" xfId="0" applyNumberFormat="1" applyFont="1" applyFill="1" applyBorder="1" applyAlignment="1" applyProtection="1">
      <alignment horizontal="right" wrapText="1"/>
    </xf>
    <xf numFmtId="1" fontId="8" fillId="0" borderId="1" xfId="0" applyNumberFormat="1" applyFont="1" applyFill="1" applyBorder="1" applyProtection="1"/>
    <xf numFmtId="0" fontId="8" fillId="8" borderId="4" xfId="0" applyFont="1" applyFill="1" applyBorder="1" applyAlignment="1" applyProtection="1">
      <alignment horizontal="left" wrapText="1"/>
    </xf>
    <xf numFmtId="0" fontId="0" fillId="0" borderId="0" xfId="0"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14" fillId="4" borderId="1" xfId="0" applyFont="1" applyFill="1" applyBorder="1" applyAlignment="1" applyProtection="1">
      <alignment wrapText="1"/>
    </xf>
    <xf numFmtId="0" fontId="15" fillId="3" borderId="1" xfId="0" applyFont="1" applyFill="1" applyBorder="1" applyProtection="1"/>
    <xf numFmtId="0" fontId="15" fillId="3" borderId="2" xfId="0" applyFont="1" applyFill="1" applyBorder="1" applyAlignment="1" applyProtection="1"/>
    <xf numFmtId="0" fontId="15" fillId="3" borderId="6" xfId="0"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 fontId="7" fillId="3" borderId="6" xfId="0" applyNumberFormat="1" applyFont="1" applyFill="1" applyBorder="1" applyAlignment="1" applyProtection="1"/>
    <xf numFmtId="3" fontId="8" fillId="4" borderId="3" xfId="0" applyNumberFormat="1" applyFont="1" applyFill="1" applyBorder="1" applyAlignment="1" applyProtection="1">
      <alignment horizontal="right"/>
    </xf>
    <xf numFmtId="3" fontId="8" fillId="0" borderId="1" xfId="0" applyNumberFormat="1" applyFont="1" applyFill="1" applyBorder="1" applyProtection="1"/>
    <xf numFmtId="165" fontId="8" fillId="8" borderId="1" xfId="1"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0" fontId="8" fillId="8" borderId="2" xfId="0" quotePrefix="1" applyFont="1" applyFill="1" applyBorder="1" applyAlignment="1" applyProtection="1">
      <alignment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10" fontId="8" fillId="0" borderId="5" xfId="4" applyNumberFormat="1" applyFont="1" applyFill="1" applyBorder="1" applyAlignment="1" applyProtection="1">
      <alignmen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165" fontId="7" fillId="3" borderId="6" xfId="0" applyNumberFormat="1"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0" fillId="2" borderId="0" xfId="0" applyFill="1" applyAlignment="1" applyProtection="1">
      <alignment horizontal="center" vertical="center" wrapText="1"/>
    </xf>
    <xf numFmtId="0" fontId="0" fillId="2" borderId="0" xfId="0" applyFill="1" applyAlignment="1" applyProtection="1">
      <alignment horizontal="center"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93" zoomScaleNormal="100" zoomScalePageLayoutView="93"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9" t="s">
        <v>4</v>
      </c>
      <c r="E6" s="89"/>
      <c r="F6" s="89"/>
      <c r="G6" s="89"/>
      <c r="H6" s="3"/>
      <c r="I6" s="1"/>
    </row>
    <row r="7" spans="1:9" ht="15" customHeight="1" x14ac:dyDescent="0.25">
      <c r="A7" s="1"/>
      <c r="B7" s="1"/>
      <c r="C7" s="3"/>
      <c r="D7" s="89"/>
      <c r="E7" s="89"/>
      <c r="F7" s="89"/>
      <c r="G7" s="89"/>
      <c r="H7" s="3"/>
      <c r="I7" s="1"/>
    </row>
    <row r="8" spans="1:9" ht="15.75" x14ac:dyDescent="0.25">
      <c r="A8" s="1"/>
      <c r="B8" s="1"/>
      <c r="C8" s="4"/>
      <c r="D8" s="94" t="s">
        <v>200</v>
      </c>
      <c r="E8" s="94"/>
      <c r="F8" s="94"/>
      <c r="G8" s="94"/>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3" t="s">
        <v>5</v>
      </c>
      <c r="E11" s="93"/>
      <c r="F11" s="93"/>
      <c r="G11" s="93"/>
      <c r="H11" s="5"/>
      <c r="I11" s="1"/>
    </row>
    <row r="12" spans="1:9" x14ac:dyDescent="0.25">
      <c r="A12" s="1"/>
      <c r="B12" s="1"/>
      <c r="C12" s="1"/>
      <c r="D12" s="1"/>
      <c r="E12" s="1"/>
      <c r="F12" s="1"/>
      <c r="G12" s="1"/>
      <c r="H12" s="1"/>
      <c r="I12" s="1"/>
    </row>
    <row r="13" spans="1:9" x14ac:dyDescent="0.25">
      <c r="A13" s="1"/>
      <c r="B13" s="1"/>
      <c r="C13" s="6" t="s">
        <v>6</v>
      </c>
      <c r="D13" s="95" t="s">
        <v>169</v>
      </c>
      <c r="E13" s="96"/>
      <c r="F13" s="96"/>
      <c r="G13" s="97"/>
      <c r="H13" s="1"/>
      <c r="I13" s="1"/>
    </row>
    <row r="14" spans="1:9" x14ac:dyDescent="0.25">
      <c r="A14" s="1"/>
      <c r="B14" s="1"/>
      <c r="C14" s="6" t="s">
        <v>14</v>
      </c>
      <c r="D14" s="86" t="s">
        <v>202</v>
      </c>
      <c r="E14" s="87"/>
      <c r="F14" s="87"/>
      <c r="G14" s="88"/>
      <c r="H14" s="1"/>
      <c r="I14" s="1"/>
    </row>
    <row r="15" spans="1:9" x14ac:dyDescent="0.25">
      <c r="A15" s="1"/>
      <c r="B15" s="1"/>
      <c r="C15" s="6" t="s">
        <v>32</v>
      </c>
      <c r="D15" s="86" t="s">
        <v>144</v>
      </c>
      <c r="E15" s="87"/>
      <c r="F15" s="87"/>
      <c r="G15" s="88"/>
      <c r="H15" s="1"/>
      <c r="I15" s="1"/>
    </row>
    <row r="16" spans="1:9" x14ac:dyDescent="0.25">
      <c r="A16" s="1"/>
      <c r="B16" s="1"/>
      <c r="C16" s="6" t="s">
        <v>33</v>
      </c>
      <c r="D16" s="86" t="s">
        <v>170</v>
      </c>
      <c r="E16" s="87"/>
      <c r="F16" s="87"/>
      <c r="G16" s="88"/>
      <c r="H16" s="1"/>
      <c r="I16" s="1"/>
    </row>
    <row r="17" spans="1:9" x14ac:dyDescent="0.25">
      <c r="A17" s="1"/>
      <c r="B17" s="1"/>
      <c r="C17" s="6" t="s">
        <v>118</v>
      </c>
      <c r="D17" s="86" t="s">
        <v>171</v>
      </c>
      <c r="E17" s="87"/>
      <c r="F17" s="87"/>
      <c r="G17" s="88"/>
      <c r="H17" s="1"/>
      <c r="I17" s="1"/>
    </row>
    <row r="18" spans="1:9" x14ac:dyDescent="0.25">
      <c r="A18" s="1"/>
      <c r="B18" s="1"/>
      <c r="C18" s="6" t="s">
        <v>104</v>
      </c>
      <c r="D18" s="98" t="s">
        <v>91</v>
      </c>
      <c r="E18" s="99"/>
      <c r="F18" s="99"/>
      <c r="G18" s="100"/>
      <c r="H18" s="1"/>
      <c r="I18" s="1"/>
    </row>
    <row r="19" spans="1:9" x14ac:dyDescent="0.25">
      <c r="A19" s="1"/>
      <c r="B19" s="1"/>
      <c r="C19" s="6" t="s">
        <v>105</v>
      </c>
      <c r="D19" s="98" t="s">
        <v>92</v>
      </c>
      <c r="E19" s="99"/>
      <c r="F19" s="99"/>
      <c r="G19" s="100"/>
      <c r="H19" s="1"/>
      <c r="I19" s="1"/>
    </row>
    <row r="20" spans="1:9" x14ac:dyDescent="0.25">
      <c r="A20" s="1"/>
      <c r="B20" s="1"/>
      <c r="C20" s="6" t="s">
        <v>7</v>
      </c>
      <c r="D20" s="98" t="s">
        <v>9</v>
      </c>
      <c r="E20" s="99"/>
      <c r="F20" s="99"/>
      <c r="G20" s="100"/>
      <c r="H20" s="1"/>
      <c r="I20" s="1"/>
    </row>
    <row r="21" spans="1:9" x14ac:dyDescent="0.25">
      <c r="A21" s="1"/>
      <c r="B21" s="1"/>
      <c r="C21" s="6" t="s">
        <v>106</v>
      </c>
      <c r="D21" s="104" t="s">
        <v>11</v>
      </c>
      <c r="E21" s="105"/>
      <c r="F21" s="105"/>
      <c r="G21" s="106"/>
      <c r="H21" s="1"/>
      <c r="I21" s="1"/>
    </row>
    <row r="22" spans="1:9" x14ac:dyDescent="0.25">
      <c r="A22" s="1"/>
      <c r="B22" s="1"/>
      <c r="C22" s="6" t="s">
        <v>82</v>
      </c>
      <c r="D22" s="90" t="s">
        <v>172</v>
      </c>
      <c r="E22" s="91"/>
      <c r="F22" s="91"/>
      <c r="G22" s="92"/>
      <c r="H22" s="1"/>
      <c r="I22" s="1"/>
    </row>
    <row r="23" spans="1:9" x14ac:dyDescent="0.25">
      <c r="A23" s="1"/>
      <c r="B23" s="1"/>
      <c r="C23" s="6" t="s">
        <v>8</v>
      </c>
      <c r="D23" s="90" t="s">
        <v>225</v>
      </c>
      <c r="E23" s="91"/>
      <c r="F23" s="91"/>
      <c r="G23" s="92"/>
      <c r="H23" s="1"/>
      <c r="I23" s="1"/>
    </row>
    <row r="24" spans="1:9" x14ac:dyDescent="0.25">
      <c r="A24" s="1"/>
      <c r="B24" s="1"/>
      <c r="C24" s="6" t="s">
        <v>221</v>
      </c>
      <c r="D24" s="90" t="s">
        <v>212</v>
      </c>
      <c r="E24" s="91"/>
      <c r="F24" s="91"/>
      <c r="G24" s="92"/>
      <c r="H24" s="1"/>
      <c r="I24" s="1"/>
    </row>
    <row r="25" spans="1:9" x14ac:dyDescent="0.25">
      <c r="A25" s="1"/>
      <c r="B25" s="1"/>
      <c r="C25" s="6" t="s">
        <v>222</v>
      </c>
      <c r="D25" s="90" t="s">
        <v>83</v>
      </c>
      <c r="E25" s="91"/>
      <c r="F25" s="91"/>
      <c r="G25" s="92"/>
      <c r="H25" s="1"/>
      <c r="I25" s="1"/>
    </row>
    <row r="26" spans="1:9" x14ac:dyDescent="0.25">
      <c r="A26" s="1"/>
      <c r="B26" s="1"/>
      <c r="C26" s="6" t="s">
        <v>223</v>
      </c>
      <c r="D26" s="90" t="s">
        <v>84</v>
      </c>
      <c r="E26" s="91"/>
      <c r="F26" s="91"/>
      <c r="G26" s="92"/>
      <c r="H26" s="1"/>
      <c r="I26" s="1"/>
    </row>
    <row r="27" spans="1:9" x14ac:dyDescent="0.25">
      <c r="A27" s="1"/>
      <c r="B27" s="1"/>
      <c r="C27" s="6" t="s">
        <v>107</v>
      </c>
      <c r="D27" s="90" t="s">
        <v>121</v>
      </c>
      <c r="E27" s="91"/>
      <c r="F27" s="91"/>
      <c r="G27" s="92"/>
      <c r="H27" s="1"/>
      <c r="I27" s="1"/>
    </row>
    <row r="28" spans="1:9" x14ac:dyDescent="0.25">
      <c r="A28" s="1"/>
      <c r="B28" s="1"/>
      <c r="C28" s="6" t="s">
        <v>96</v>
      </c>
      <c r="D28" s="90" t="s">
        <v>34</v>
      </c>
      <c r="E28" s="91"/>
      <c r="F28" s="91"/>
      <c r="G28" s="92"/>
      <c r="H28" s="1"/>
      <c r="I28" s="1"/>
    </row>
    <row r="29" spans="1:9" x14ac:dyDescent="0.25">
      <c r="A29" s="1"/>
      <c r="B29" s="1"/>
      <c r="C29" s="6" t="s">
        <v>224</v>
      </c>
      <c r="D29" s="101" t="s">
        <v>97</v>
      </c>
      <c r="E29" s="102"/>
      <c r="F29" s="102"/>
      <c r="G29" s="103"/>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39"/>
      <c r="B51" s="39"/>
      <c r="C51" s="39"/>
      <c r="D51" s="39"/>
      <c r="E51" s="39"/>
      <c r="F51" s="39"/>
      <c r="G51" s="39"/>
      <c r="H51" s="39"/>
      <c r="I51" s="39"/>
    </row>
  </sheetData>
  <sheetProtection algorithmName="SHA-512" hashValue="7CCVxKrzhCL6vqx88brF9NocNViCV9Yz9jpKNJxLBYCiTuKzh6uQBgRYRJc3LmC1OxT+rbVHDSYuPRRtC7nMbQ==" saltValue="Kz7Y7liUgMOO9Ejp56AXMw=="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20:G20" location="'Fane 5. Individuelt eff. krav'!A1" display="Individuelt effektiviseringskrav"/>
    <hyperlink ref="D19:G19" location="'Fane 4.2. Gen. krav - anlæg'!A1" display="Generelt effektiviseringskrav på anlæg"/>
    <hyperlink ref="D18:G18" location="'Fane 4.1. Gen. krav - drift'!A1" display="Generelt effektiviseringskrav på drift"/>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G53"/>
  <sheetViews>
    <sheetView showGridLines="0" view="pageLayout" zoomScaleNormal="100" workbookViewId="0"/>
  </sheetViews>
  <sheetFormatPr defaultColWidth="9.140625" defaultRowHeight="15" x14ac:dyDescent="0.25"/>
  <cols>
    <col min="1" max="1" width="8.140625" style="2" customWidth="1"/>
    <col min="2" max="2" width="47.42578125" style="2" customWidth="1"/>
    <col min="3" max="3" width="18" style="2" customWidth="1"/>
    <col min="4" max="4" width="3.7109375" style="2" customWidth="1"/>
    <col min="5" max="5" width="7.85546875" style="2" customWidth="1"/>
    <col min="6" max="6" width="4" style="2" customWidth="1"/>
    <col min="7" max="16384" width="9.140625" style="2"/>
  </cols>
  <sheetData>
    <row r="1" spans="1:7" x14ac:dyDescent="0.25">
      <c r="A1" s="1"/>
      <c r="B1" s="1"/>
      <c r="C1" s="1"/>
      <c r="D1" s="1"/>
      <c r="E1" s="1"/>
      <c r="F1" s="39"/>
      <c r="G1" s="39"/>
    </row>
    <row r="2" spans="1:7" x14ac:dyDescent="0.25">
      <c r="A2" s="1"/>
      <c r="B2" s="1"/>
      <c r="C2" s="1"/>
      <c r="D2" s="1"/>
      <c r="E2" s="1"/>
      <c r="F2" s="39"/>
      <c r="G2" s="39"/>
    </row>
    <row r="3" spans="1:7" ht="15" customHeight="1" x14ac:dyDescent="0.25">
      <c r="A3" s="1"/>
      <c r="B3" s="107" t="s">
        <v>103</v>
      </c>
      <c r="C3" s="107"/>
      <c r="D3" s="107"/>
      <c r="E3" s="1"/>
      <c r="F3" s="39"/>
      <c r="G3" s="39"/>
    </row>
    <row r="4" spans="1:7" ht="15" customHeight="1" x14ac:dyDescent="0.25">
      <c r="A4" s="1"/>
      <c r="B4" s="107"/>
      <c r="C4" s="107"/>
      <c r="D4" s="107"/>
      <c r="E4" s="1"/>
      <c r="F4" s="39"/>
      <c r="G4" s="39"/>
    </row>
    <row r="5" spans="1:7" x14ac:dyDescent="0.25">
      <c r="A5" s="1"/>
      <c r="B5" s="1"/>
      <c r="C5" s="1"/>
      <c r="D5" s="1"/>
      <c r="E5" s="1"/>
      <c r="F5" s="39"/>
      <c r="G5" s="39"/>
    </row>
    <row r="6" spans="1:7" x14ac:dyDescent="0.25">
      <c r="A6" s="1"/>
      <c r="B6" s="1"/>
      <c r="C6" s="1"/>
      <c r="D6" s="1"/>
      <c r="E6" s="1"/>
      <c r="F6" s="39"/>
      <c r="G6" s="39"/>
    </row>
    <row r="7" spans="1:7" x14ac:dyDescent="0.25">
      <c r="A7" s="1"/>
      <c r="B7" s="1"/>
      <c r="C7" s="1"/>
      <c r="D7" s="1"/>
      <c r="E7" s="1"/>
      <c r="F7" s="39"/>
      <c r="G7" s="39"/>
    </row>
    <row r="8" spans="1:7" x14ac:dyDescent="0.25">
      <c r="A8" s="1"/>
      <c r="B8" s="132" t="s">
        <v>188</v>
      </c>
      <c r="C8" s="133"/>
      <c r="D8" s="135"/>
      <c r="E8" s="1"/>
      <c r="F8" s="39"/>
      <c r="G8" s="39"/>
    </row>
    <row r="9" spans="1:7" ht="15" customHeight="1" x14ac:dyDescent="0.25">
      <c r="A9" s="1"/>
      <c r="B9" s="35" t="s">
        <v>30</v>
      </c>
      <c r="C9" s="11" t="s">
        <v>218</v>
      </c>
      <c r="D9" s="11"/>
      <c r="E9" s="1"/>
      <c r="F9" s="39"/>
      <c r="G9" s="39"/>
    </row>
    <row r="10" spans="1:7" x14ac:dyDescent="0.25">
      <c r="A10" s="1"/>
      <c r="B10" s="79" t="s">
        <v>236</v>
      </c>
      <c r="C10" s="9">
        <v>43649090</v>
      </c>
      <c r="D10" s="14" t="s">
        <v>3</v>
      </c>
      <c r="E10" s="1"/>
      <c r="F10" s="39"/>
      <c r="G10" s="39"/>
    </row>
    <row r="11" spans="1:7" x14ac:dyDescent="0.25">
      <c r="A11" s="1"/>
      <c r="B11" s="79" t="s">
        <v>237</v>
      </c>
      <c r="C11" s="9">
        <v>240808</v>
      </c>
      <c r="D11" s="14" t="s">
        <v>3</v>
      </c>
      <c r="E11" s="1"/>
      <c r="F11" s="39"/>
      <c r="G11" s="39"/>
    </row>
    <row r="12" spans="1:7" x14ac:dyDescent="0.25">
      <c r="A12" s="1"/>
      <c r="B12" s="79" t="s">
        <v>238</v>
      </c>
      <c r="C12" s="9">
        <v>70901</v>
      </c>
      <c r="D12" s="14" t="s">
        <v>3</v>
      </c>
      <c r="E12" s="1"/>
      <c r="F12" s="39"/>
      <c r="G12" s="39"/>
    </row>
    <row r="13" spans="1:7" x14ac:dyDescent="0.25">
      <c r="A13" s="1"/>
      <c r="B13" s="79" t="s">
        <v>239</v>
      </c>
      <c r="C13" s="9">
        <v>4860</v>
      </c>
      <c r="D13" s="14" t="s">
        <v>3</v>
      </c>
      <c r="E13" s="1"/>
      <c r="F13" s="39"/>
      <c r="G13" s="39"/>
    </row>
    <row r="14" spans="1:7" x14ac:dyDescent="0.25">
      <c r="A14" s="1"/>
      <c r="B14" s="79" t="s">
        <v>240</v>
      </c>
      <c r="C14" s="9">
        <v>9685877</v>
      </c>
      <c r="D14" s="14" t="s">
        <v>3</v>
      </c>
      <c r="E14" s="1"/>
      <c r="F14" s="39"/>
      <c r="G14" s="39"/>
    </row>
    <row r="15" spans="1:7" x14ac:dyDescent="0.25">
      <c r="A15" s="1"/>
      <c r="B15" s="71" t="s">
        <v>189</v>
      </c>
      <c r="C15" s="12">
        <f>SUM(C10:C14)</f>
        <v>53651536</v>
      </c>
      <c r="D15" s="13" t="s">
        <v>3</v>
      </c>
      <c r="E15" s="1"/>
      <c r="F15" s="39"/>
      <c r="G15" s="39"/>
    </row>
    <row r="16" spans="1:7" x14ac:dyDescent="0.25">
      <c r="A16" s="1"/>
      <c r="B16" s="71" t="s">
        <v>190</v>
      </c>
      <c r="C16" s="12">
        <f>C15*(1+'Fane 13. Nøgletal'!C15)^2</f>
        <v>57539521.173864968</v>
      </c>
      <c r="D16" s="13" t="s">
        <v>3</v>
      </c>
      <c r="E16" s="1"/>
      <c r="F16" s="39"/>
      <c r="G16" s="39"/>
    </row>
    <row r="17" spans="1:7" x14ac:dyDescent="0.25">
      <c r="A17" s="1"/>
      <c r="B17" s="16"/>
      <c r="C17" s="15"/>
      <c r="D17" s="15"/>
      <c r="E17" s="1"/>
      <c r="F17" s="39"/>
      <c r="G17" s="39"/>
    </row>
    <row r="18" spans="1:7" x14ac:dyDescent="0.25">
      <c r="A18" s="1"/>
      <c r="B18" s="16"/>
      <c r="C18" s="15"/>
      <c r="D18" s="15"/>
      <c r="E18" s="1"/>
      <c r="F18" s="39"/>
      <c r="G18" s="39"/>
    </row>
    <row r="19" spans="1:7" x14ac:dyDescent="0.25">
      <c r="A19" s="1"/>
      <c r="B19" s="1"/>
      <c r="C19" s="1"/>
      <c r="D19" s="1"/>
      <c r="E19" s="1"/>
      <c r="F19" s="39"/>
      <c r="G19" s="39"/>
    </row>
    <row r="20" spans="1:7" x14ac:dyDescent="0.25">
      <c r="A20" s="1"/>
      <c r="B20" s="1"/>
      <c r="C20" s="1"/>
      <c r="D20" s="1"/>
      <c r="E20" s="1"/>
      <c r="F20" s="39"/>
      <c r="G20" s="39"/>
    </row>
    <row r="21" spans="1:7" x14ac:dyDescent="0.25">
      <c r="A21" s="1"/>
      <c r="B21" s="1"/>
      <c r="C21" s="1"/>
      <c r="D21" s="1"/>
      <c r="E21" s="1"/>
      <c r="F21" s="39"/>
      <c r="G21" s="39"/>
    </row>
    <row r="22" spans="1:7" x14ac:dyDescent="0.25">
      <c r="A22" s="1"/>
      <c r="B22" s="1"/>
      <c r="C22" s="1"/>
      <c r="D22" s="1"/>
      <c r="E22" s="1"/>
      <c r="F22" s="39"/>
      <c r="G22" s="39"/>
    </row>
    <row r="23" spans="1:7" x14ac:dyDescent="0.25">
      <c r="A23" s="1"/>
      <c r="B23" s="1"/>
      <c r="C23" s="1"/>
      <c r="D23" s="1"/>
      <c r="E23" s="1"/>
      <c r="F23" s="39"/>
      <c r="G23" s="39"/>
    </row>
    <row r="24" spans="1:7" x14ac:dyDescent="0.25">
      <c r="A24" s="1"/>
      <c r="B24" s="1"/>
      <c r="C24" s="1"/>
      <c r="D24" s="1"/>
      <c r="E24" s="1"/>
      <c r="F24" s="39"/>
      <c r="G24" s="39"/>
    </row>
    <row r="25" spans="1:7" x14ac:dyDescent="0.25">
      <c r="A25" s="1"/>
      <c r="B25" s="1"/>
      <c r="C25" s="1"/>
      <c r="D25" s="1"/>
      <c r="E25" s="1"/>
      <c r="F25" s="39"/>
      <c r="G25" s="39"/>
    </row>
    <row r="26" spans="1:7" x14ac:dyDescent="0.25">
      <c r="A26" s="1"/>
      <c r="B26" s="1"/>
      <c r="C26" s="1"/>
      <c r="D26" s="1"/>
      <c r="E26" s="1"/>
      <c r="F26" s="39"/>
      <c r="G26" s="39"/>
    </row>
    <row r="27" spans="1:7" x14ac:dyDescent="0.25">
      <c r="A27" s="1"/>
      <c r="B27" s="1"/>
      <c r="C27" s="1"/>
      <c r="D27" s="1"/>
      <c r="E27" s="1"/>
      <c r="F27" s="39"/>
      <c r="G27" s="39"/>
    </row>
    <row r="28" spans="1:7" x14ac:dyDescent="0.25">
      <c r="A28" s="1"/>
      <c r="B28" s="1"/>
      <c r="C28" s="1"/>
      <c r="D28" s="1"/>
      <c r="E28" s="1"/>
      <c r="F28" s="39"/>
      <c r="G28" s="39"/>
    </row>
    <row r="29" spans="1:7" x14ac:dyDescent="0.25">
      <c r="A29" s="1"/>
      <c r="B29" s="1"/>
      <c r="C29" s="1"/>
      <c r="D29" s="1"/>
      <c r="E29" s="1"/>
      <c r="F29" s="39"/>
      <c r="G29" s="39"/>
    </row>
    <row r="30" spans="1:7" x14ac:dyDescent="0.25">
      <c r="A30" s="1"/>
      <c r="B30" s="1"/>
      <c r="C30" s="1"/>
      <c r="D30" s="1"/>
      <c r="E30" s="1"/>
      <c r="F30" s="39"/>
      <c r="G30" s="39"/>
    </row>
    <row r="31" spans="1:7" x14ac:dyDescent="0.25">
      <c r="A31" s="1"/>
      <c r="B31" s="1"/>
      <c r="C31" s="1"/>
      <c r="D31" s="1"/>
      <c r="E31" s="1"/>
      <c r="F31" s="39"/>
      <c r="G31" s="39"/>
    </row>
    <row r="32" spans="1:7" x14ac:dyDescent="0.25">
      <c r="A32" s="1"/>
      <c r="B32" s="1"/>
      <c r="C32" s="1"/>
      <c r="D32" s="1"/>
      <c r="E32" s="1"/>
      <c r="F32" s="39"/>
      <c r="G32" s="39"/>
    </row>
    <row r="33" spans="1:7" x14ac:dyDescent="0.25">
      <c r="A33" s="1"/>
      <c r="B33" s="1"/>
      <c r="C33" s="1"/>
      <c r="D33" s="1"/>
      <c r="E33" s="1"/>
      <c r="F33" s="39"/>
      <c r="G33" s="39"/>
    </row>
    <row r="34" spans="1:7" x14ac:dyDescent="0.25">
      <c r="A34" s="1"/>
      <c r="B34" s="1"/>
      <c r="C34" s="1"/>
      <c r="D34" s="1"/>
      <c r="E34" s="1"/>
      <c r="F34" s="39"/>
      <c r="G34" s="39"/>
    </row>
    <row r="35" spans="1:7" x14ac:dyDescent="0.25">
      <c r="A35" s="1"/>
      <c r="B35" s="1"/>
      <c r="C35" s="1"/>
      <c r="D35" s="1"/>
      <c r="E35" s="1"/>
      <c r="F35" s="39"/>
      <c r="G35" s="39"/>
    </row>
    <row r="36" spans="1:7" x14ac:dyDescent="0.25">
      <c r="A36" s="1"/>
      <c r="B36" s="1"/>
      <c r="C36" s="1"/>
      <c r="D36" s="1"/>
      <c r="E36" s="1"/>
      <c r="F36" s="39"/>
      <c r="G36" s="39"/>
    </row>
    <row r="37" spans="1:7" x14ac:dyDescent="0.25">
      <c r="A37" s="1"/>
      <c r="B37" s="1"/>
      <c r="C37" s="1"/>
      <c r="D37" s="1"/>
      <c r="E37" s="1"/>
      <c r="F37" s="39"/>
      <c r="G37" s="39"/>
    </row>
    <row r="38" spans="1:7" x14ac:dyDescent="0.25">
      <c r="A38" s="1"/>
      <c r="B38" s="1"/>
      <c r="C38" s="1"/>
      <c r="D38" s="1"/>
      <c r="E38" s="1"/>
      <c r="F38" s="39"/>
      <c r="G38" s="39"/>
    </row>
    <row r="39" spans="1:7" x14ac:dyDescent="0.25">
      <c r="A39" s="1"/>
      <c r="B39" s="1"/>
      <c r="C39" s="1"/>
      <c r="D39" s="1"/>
      <c r="E39" s="1"/>
      <c r="F39" s="39"/>
      <c r="G39" s="39"/>
    </row>
    <row r="40" spans="1:7" x14ac:dyDescent="0.25">
      <c r="A40" s="1"/>
      <c r="B40" s="1"/>
      <c r="C40" s="1"/>
      <c r="D40" s="1"/>
      <c r="E40" s="1"/>
      <c r="F40" s="39"/>
      <c r="G40" s="39"/>
    </row>
    <row r="41" spans="1:7" x14ac:dyDescent="0.25">
      <c r="A41" s="1"/>
      <c r="B41" s="1"/>
      <c r="C41" s="1"/>
      <c r="D41" s="1"/>
      <c r="E41" s="1"/>
      <c r="F41" s="39"/>
      <c r="G41" s="39"/>
    </row>
    <row r="42" spans="1:7" x14ac:dyDescent="0.25">
      <c r="A42" s="1"/>
      <c r="B42" s="1"/>
      <c r="C42" s="1"/>
      <c r="D42" s="1"/>
      <c r="E42" s="1"/>
      <c r="F42" s="39"/>
      <c r="G42" s="39"/>
    </row>
    <row r="43" spans="1:7" x14ac:dyDescent="0.25">
      <c r="A43" s="1"/>
      <c r="B43" s="1"/>
      <c r="C43" s="1"/>
      <c r="D43" s="1"/>
      <c r="E43" s="1"/>
      <c r="F43" s="39"/>
      <c r="G43" s="39"/>
    </row>
    <row r="44" spans="1:7" x14ac:dyDescent="0.25">
      <c r="A44" s="1"/>
      <c r="B44" s="1"/>
      <c r="C44" s="1"/>
      <c r="D44" s="1"/>
      <c r="E44" s="1"/>
      <c r="F44" s="39"/>
      <c r="G44" s="39"/>
    </row>
    <row r="45" spans="1:7" x14ac:dyDescent="0.25">
      <c r="A45" s="1"/>
      <c r="B45" s="1"/>
      <c r="C45" s="1"/>
      <c r="D45" s="1"/>
      <c r="E45" s="1"/>
      <c r="F45" s="39"/>
      <c r="G45" s="39"/>
    </row>
    <row r="46" spans="1:7" x14ac:dyDescent="0.25">
      <c r="A46" s="1"/>
      <c r="B46" s="1"/>
      <c r="C46" s="1"/>
      <c r="D46" s="1"/>
      <c r="E46" s="1"/>
      <c r="F46" s="39"/>
      <c r="G46" s="39"/>
    </row>
    <row r="47" spans="1:7" x14ac:dyDescent="0.25">
      <c r="A47" s="1"/>
      <c r="B47" s="1"/>
      <c r="C47" s="1"/>
      <c r="D47" s="1"/>
      <c r="E47" s="1"/>
      <c r="F47" s="39"/>
      <c r="G47" s="39"/>
    </row>
    <row r="48" spans="1:7" x14ac:dyDescent="0.25">
      <c r="A48" s="1"/>
      <c r="B48" s="1"/>
      <c r="C48" s="1"/>
      <c r="D48" s="1"/>
      <c r="E48" s="1"/>
      <c r="F48" s="39"/>
      <c r="G48" s="39"/>
    </row>
    <row r="49" spans="1:7" x14ac:dyDescent="0.25">
      <c r="A49" s="1"/>
      <c r="B49" s="1"/>
      <c r="C49" s="1"/>
      <c r="D49" s="1"/>
      <c r="E49" s="1"/>
      <c r="F49" s="39"/>
      <c r="G49" s="39"/>
    </row>
    <row r="50" spans="1:7" x14ac:dyDescent="0.25">
      <c r="A50" s="1"/>
      <c r="B50" s="1"/>
      <c r="C50" s="1"/>
      <c r="D50" s="1"/>
      <c r="E50" s="1"/>
      <c r="F50" s="39"/>
      <c r="G50" s="39"/>
    </row>
    <row r="51" spans="1:7" x14ac:dyDescent="0.25">
      <c r="A51" s="39"/>
      <c r="B51" s="39"/>
      <c r="C51" s="39"/>
      <c r="D51" s="39"/>
      <c r="E51" s="39"/>
      <c r="F51" s="39"/>
    </row>
    <row r="52" spans="1:7" x14ac:dyDescent="0.25">
      <c r="A52" s="39"/>
      <c r="B52" s="39"/>
      <c r="C52" s="39"/>
      <c r="D52" s="39"/>
      <c r="E52" s="39"/>
      <c r="F52" s="39"/>
    </row>
    <row r="53" spans="1:7" x14ac:dyDescent="0.25">
      <c r="A53" s="39"/>
      <c r="B53" s="39"/>
      <c r="C53" s="39"/>
      <c r="D53" s="39"/>
      <c r="E53" s="39"/>
      <c r="F53" s="39"/>
    </row>
  </sheetData>
  <sheetProtection algorithmName="SHA-512" hashValue="FlKbbxodtYmRivcoyyXEenzDUuNTm3Vh43/cMgIAFUpOqWvOvx5wH861StdOvFgvbaMC5ZJgSs6pgpg/hLtyoA==" saltValue="TkkEFuXnn0FUM2y8atfCUg==" spinCount="100000" sheet="1" objects="1" scenarios="1"/>
  <mergeCells count="2">
    <mergeCell ref="B3:D4"/>
    <mergeCell ref="B8:D8"/>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4"/>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140625" style="2" customWidth="1"/>
    <col min="5" max="5" width="9.5703125" style="2" bestFit="1" customWidth="1"/>
    <col min="6" max="6" width="2.85546875" style="2" bestFit="1" customWidth="1"/>
    <col min="7" max="7" width="4"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6" t="s">
        <v>191</v>
      </c>
      <c r="C3" s="126"/>
      <c r="D3" s="126"/>
      <c r="E3" s="126"/>
      <c r="F3" s="126"/>
      <c r="G3" s="1"/>
    </row>
    <row r="4" spans="1:7" ht="15" customHeight="1" x14ac:dyDescent="0.25">
      <c r="A4" s="1"/>
      <c r="B4" s="126"/>
      <c r="C4" s="126"/>
      <c r="D4" s="126"/>
      <c r="E4" s="126"/>
      <c r="F4" s="126"/>
      <c r="G4" s="1"/>
    </row>
    <row r="5" spans="1:7" ht="15" customHeight="1" x14ac:dyDescent="0.25">
      <c r="A5" s="1"/>
      <c r="B5" s="69"/>
      <c r="C5" s="69"/>
      <c r="D5" s="69"/>
      <c r="E5" s="69"/>
      <c r="F5" s="69"/>
      <c r="G5" s="1"/>
    </row>
    <row r="6" spans="1:7" ht="15" customHeight="1" x14ac:dyDescent="0.25">
      <c r="A6" s="1"/>
      <c r="B6" s="69"/>
      <c r="C6" s="69"/>
      <c r="D6" s="69"/>
      <c r="E6" s="69"/>
      <c r="F6" s="69"/>
      <c r="G6" s="1"/>
    </row>
    <row r="7" spans="1:7" x14ac:dyDescent="0.25">
      <c r="A7" s="1"/>
      <c r="B7" s="1"/>
      <c r="C7" s="1"/>
      <c r="D7" s="1"/>
      <c r="E7" s="1"/>
      <c r="F7" s="1"/>
      <c r="G7" s="1"/>
    </row>
    <row r="8" spans="1:7" x14ac:dyDescent="0.25">
      <c r="A8" s="1"/>
      <c r="B8" s="132" t="s">
        <v>163</v>
      </c>
      <c r="C8" s="133"/>
      <c r="D8" s="133"/>
      <c r="E8" s="133"/>
      <c r="F8" s="135"/>
      <c r="G8" s="1"/>
    </row>
    <row r="9" spans="1:7" x14ac:dyDescent="0.25">
      <c r="A9" s="1"/>
      <c r="B9" s="136" t="s">
        <v>241</v>
      </c>
      <c r="C9" s="137"/>
      <c r="D9" s="138"/>
      <c r="E9" s="9">
        <v>-6178159.7884206325</v>
      </c>
      <c r="F9" s="14" t="s">
        <v>3</v>
      </c>
      <c r="G9" s="1"/>
    </row>
    <row r="10" spans="1:7" x14ac:dyDescent="0.25">
      <c r="A10" s="1"/>
      <c r="B10" s="136" t="s">
        <v>242</v>
      </c>
      <c r="C10" s="137"/>
      <c r="D10" s="138"/>
      <c r="E10" s="9">
        <v>-5735503.5374078453</v>
      </c>
      <c r="F10" s="14" t="s">
        <v>3</v>
      </c>
      <c r="G10" s="1"/>
    </row>
    <row r="11" spans="1:7" x14ac:dyDescent="0.25">
      <c r="A11" s="1"/>
      <c r="B11" s="136" t="s">
        <v>164</v>
      </c>
      <c r="C11" s="137"/>
      <c r="D11" s="138"/>
      <c r="E11" s="9">
        <v>-5743580.7428738028</v>
      </c>
      <c r="F11" s="14" t="s">
        <v>3</v>
      </c>
      <c r="G11" s="1"/>
    </row>
    <row r="12" spans="1:7" x14ac:dyDescent="0.25">
      <c r="A12" s="1"/>
      <c r="B12" s="136" t="s">
        <v>192</v>
      </c>
      <c r="C12" s="137"/>
      <c r="D12" s="138"/>
      <c r="E12" s="9">
        <v>-1575733.323413536</v>
      </c>
      <c r="F12" s="14" t="s">
        <v>3</v>
      </c>
      <c r="G12" s="1"/>
    </row>
    <row r="13" spans="1:7" x14ac:dyDescent="0.25">
      <c r="A13" s="1"/>
      <c r="B13" s="71"/>
      <c r="C13" s="72"/>
      <c r="D13" s="72"/>
      <c r="E13" s="72"/>
      <c r="F13" s="20"/>
      <c r="G13" s="1"/>
    </row>
    <row r="14" spans="1:7" ht="66.75" customHeight="1" x14ac:dyDescent="0.25">
      <c r="A14" s="1"/>
      <c r="B14" s="109" t="s">
        <v>261</v>
      </c>
      <c r="C14" s="110"/>
      <c r="D14" s="110"/>
      <c r="E14" s="110"/>
      <c r="F14" s="111"/>
      <c r="G14" s="1"/>
    </row>
    <row r="15" spans="1:7" ht="27" customHeight="1" x14ac:dyDescent="0.25">
      <c r="A15" s="1"/>
      <c r="B15" s="1"/>
      <c r="C15" s="1"/>
      <c r="D15" s="1"/>
      <c r="E15" s="1"/>
      <c r="F15" s="1"/>
      <c r="G15" s="1"/>
    </row>
    <row r="16" spans="1:7" ht="28.5" customHeight="1" x14ac:dyDescent="0.25">
      <c r="A16" s="1"/>
      <c r="B16" s="132" t="s">
        <v>165</v>
      </c>
      <c r="C16" s="133"/>
      <c r="D16" s="133"/>
      <c r="E16" s="133"/>
      <c r="F16" s="135"/>
      <c r="G16" s="1"/>
    </row>
    <row r="17" spans="1:7" x14ac:dyDescent="0.25">
      <c r="A17" s="1"/>
      <c r="B17" s="136" t="s">
        <v>166</v>
      </c>
      <c r="C17" s="137"/>
      <c r="D17" s="138"/>
      <c r="E17" s="9">
        <f>-3263704.4009238*2</f>
        <v>-6527408.8018476004</v>
      </c>
      <c r="F17" s="14" t="s">
        <v>3</v>
      </c>
      <c r="G17" s="1"/>
    </row>
    <row r="18" spans="1:7" x14ac:dyDescent="0.25">
      <c r="A18" s="1"/>
      <c r="B18" s="136" t="s">
        <v>167</v>
      </c>
      <c r="C18" s="137"/>
      <c r="D18" s="138"/>
      <c r="E18" s="9">
        <f>-3263704.4009238*2</f>
        <v>-6527408.8018476004</v>
      </c>
      <c r="F18" s="14" t="s">
        <v>3</v>
      </c>
      <c r="G18" s="1"/>
    </row>
    <row r="19" spans="1:7" x14ac:dyDescent="0.25">
      <c r="A19" s="1"/>
      <c r="B19" s="71"/>
      <c r="C19" s="72"/>
      <c r="D19" s="72"/>
      <c r="E19" s="72"/>
      <c r="F19" s="20"/>
      <c r="G19" s="1"/>
    </row>
    <row r="20" spans="1:7" ht="31.5" customHeight="1" x14ac:dyDescent="0.25">
      <c r="A20" s="1"/>
      <c r="B20" s="109" t="s">
        <v>262</v>
      </c>
      <c r="C20" s="110"/>
      <c r="D20" s="110"/>
      <c r="E20" s="110"/>
      <c r="F20" s="111"/>
      <c r="G20" s="1"/>
    </row>
    <row r="21" spans="1:7" ht="28.5" customHeight="1" x14ac:dyDescent="0.25">
      <c r="A21" s="1"/>
      <c r="B21" s="1"/>
      <c r="C21" s="1"/>
      <c r="D21" s="1"/>
      <c r="E21" s="1"/>
      <c r="F21" s="1"/>
      <c r="G21" s="1"/>
    </row>
    <row r="22" spans="1:7" ht="28.5" customHeight="1" x14ac:dyDescent="0.25">
      <c r="A22" s="1"/>
      <c r="B22" s="73" t="s">
        <v>193</v>
      </c>
      <c r="C22" s="74"/>
      <c r="D22" s="74"/>
      <c r="E22" s="74"/>
      <c r="F22" s="75"/>
      <c r="G22" s="1"/>
    </row>
    <row r="23" spans="1:7" x14ac:dyDescent="0.25">
      <c r="A23" s="1"/>
      <c r="B23" s="76" t="s">
        <v>194</v>
      </c>
      <c r="C23" s="77"/>
      <c r="D23" s="78"/>
      <c r="E23" s="9">
        <v>169974309.46982375</v>
      </c>
      <c r="F23" s="14" t="s">
        <v>3</v>
      </c>
      <c r="G23" s="1"/>
    </row>
    <row r="24" spans="1:7" x14ac:dyDescent="0.25">
      <c r="A24" s="1"/>
      <c r="B24" s="76" t="s">
        <v>243</v>
      </c>
      <c r="C24" s="77"/>
      <c r="D24" s="78"/>
      <c r="E24" s="9">
        <v>135598031</v>
      </c>
      <c r="F24" s="14" t="s">
        <v>3</v>
      </c>
      <c r="G24" s="1"/>
    </row>
    <row r="25" spans="1:7" x14ac:dyDescent="0.25">
      <c r="A25" s="1"/>
      <c r="B25" s="76" t="s">
        <v>31</v>
      </c>
      <c r="C25" s="77"/>
      <c r="D25" s="78"/>
      <c r="E25" s="9">
        <v>0</v>
      </c>
      <c r="F25" s="14" t="s">
        <v>3</v>
      </c>
      <c r="G25" s="1"/>
    </row>
    <row r="26" spans="1:7" x14ac:dyDescent="0.25">
      <c r="A26" s="1"/>
      <c r="B26" s="65" t="s">
        <v>263</v>
      </c>
      <c r="C26" s="66"/>
      <c r="D26" s="34"/>
      <c r="E26" s="58">
        <f>E23-(E24-E25)</f>
        <v>34376278.469823748</v>
      </c>
      <c r="F26" s="17" t="s">
        <v>3</v>
      </c>
      <c r="G26" s="1"/>
    </row>
    <row r="27" spans="1:7" x14ac:dyDescent="0.25">
      <c r="A27" s="1"/>
      <c r="B27" s="71"/>
      <c r="C27" s="72"/>
      <c r="D27" s="72"/>
      <c r="E27" s="72"/>
      <c r="F27" s="20"/>
      <c r="G27" s="1"/>
    </row>
    <row r="28" spans="1:7" x14ac:dyDescent="0.25">
      <c r="A28" s="1"/>
      <c r="B28" s="1"/>
      <c r="C28" s="1"/>
      <c r="D28" s="1"/>
      <c r="E28" s="1"/>
      <c r="F28" s="1"/>
      <c r="G28" s="1"/>
    </row>
    <row r="29" spans="1:7" x14ac:dyDescent="0.25">
      <c r="A29" s="1"/>
      <c r="B29" s="1"/>
      <c r="C29" s="1"/>
      <c r="D29" s="1"/>
      <c r="E29" s="1"/>
      <c r="F29" s="1"/>
      <c r="G29" s="1"/>
    </row>
    <row r="30" spans="1:7" ht="28.5" customHeight="1" x14ac:dyDescent="0.25">
      <c r="A30" s="1"/>
      <c r="B30" s="132" t="s">
        <v>244</v>
      </c>
      <c r="C30" s="133"/>
      <c r="D30" s="133"/>
      <c r="E30" s="133"/>
      <c r="F30" s="135"/>
      <c r="G30" s="1"/>
    </row>
    <row r="31" spans="1:7" x14ac:dyDescent="0.25">
      <c r="A31" s="1"/>
      <c r="B31" s="142" t="s">
        <v>142</v>
      </c>
      <c r="C31" s="143"/>
      <c r="D31" s="144"/>
      <c r="E31" s="9">
        <f>IF(AND(E9&lt;0,SUM(E11,E12,E26)&gt;0),E10,IF(AND(E9&lt;0,SUM(E11,E12,E26)&lt;0),E10+SUM(E11,E12,E26),IF(AND(E9&gt;0,SUM(E10,E11,E12,E26)&gt;0),0,IF(AND(E9&gt;0,SUM(E10,E11,E12,E26)&lt;0),SUM(E10,E11,E12,E26),"Fejl"))))</f>
        <v>-5735503.5374078453</v>
      </c>
      <c r="F31" s="14" t="s">
        <v>3</v>
      </c>
      <c r="G31" s="1"/>
    </row>
    <row r="32" spans="1:7" x14ac:dyDescent="0.25">
      <c r="A32" s="1"/>
      <c r="B32" s="142" t="s">
        <v>98</v>
      </c>
      <c r="C32" s="143"/>
      <c r="D32" s="144"/>
      <c r="E32" s="9">
        <v>2</v>
      </c>
      <c r="F32" s="14" t="s">
        <v>18</v>
      </c>
      <c r="G32" s="1"/>
    </row>
    <row r="33" spans="1:7" x14ac:dyDescent="0.25">
      <c r="A33" s="1"/>
      <c r="B33" s="150" t="s">
        <v>168</v>
      </c>
      <c r="C33" s="150"/>
      <c r="D33" s="150"/>
      <c r="E33" s="10">
        <f>E31/E32</f>
        <v>-2867751.7687039226</v>
      </c>
      <c r="F33" s="17" t="s">
        <v>3</v>
      </c>
      <c r="G33" s="1"/>
    </row>
    <row r="34" spans="1:7" x14ac:dyDescent="0.25">
      <c r="A34" s="1"/>
      <c r="B34" s="147"/>
      <c r="C34" s="148"/>
      <c r="D34" s="148"/>
      <c r="E34" s="148"/>
      <c r="F34" s="149"/>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39"/>
      <c r="B41" s="39"/>
      <c r="C41" s="39"/>
      <c r="D41" s="39"/>
      <c r="E41" s="39"/>
      <c r="F41" s="39"/>
      <c r="G41" s="39"/>
    </row>
    <row r="42" spans="1:7" x14ac:dyDescent="0.25">
      <c r="A42" s="39"/>
      <c r="B42" s="39"/>
      <c r="C42" s="39"/>
      <c r="D42" s="39"/>
      <c r="E42" s="39"/>
      <c r="F42" s="39"/>
      <c r="G42" s="39"/>
    </row>
    <row r="43" spans="1:7" x14ac:dyDescent="0.25">
      <c r="A43" s="39"/>
      <c r="B43" s="39"/>
      <c r="C43" s="39"/>
      <c r="D43" s="39"/>
      <c r="E43" s="39"/>
      <c r="F43" s="39"/>
      <c r="G43" s="39"/>
    </row>
    <row r="44" spans="1:7" x14ac:dyDescent="0.25">
      <c r="A44" s="39"/>
      <c r="B44" s="39"/>
      <c r="C44" s="39"/>
      <c r="D44" s="39"/>
      <c r="E44" s="39"/>
      <c r="F44" s="39"/>
      <c r="G44" s="39"/>
    </row>
  </sheetData>
  <sheetProtection algorithmName="SHA-512" hashValue="YQEw0SB3+9AobUVh3e+yy4HxHgFkbweqt4zeD+vLODBaBT9/6CvO7sy/mrlGpEjVUHVbeRKLTBHFuyI3rA39bw==" saltValue="BtjnizEhNre3DwjNngBODw==" spinCount="100000" sheet="1" objects="1" scenarios="1"/>
  <mergeCells count="16">
    <mergeCell ref="B34:F34"/>
    <mergeCell ref="B18:D18"/>
    <mergeCell ref="B32:D32"/>
    <mergeCell ref="B33:D33"/>
    <mergeCell ref="B20:F20"/>
    <mergeCell ref="B30:F30"/>
    <mergeCell ref="B31:D31"/>
    <mergeCell ref="B3:F4"/>
    <mergeCell ref="B17:D17"/>
    <mergeCell ref="B9:D9"/>
    <mergeCell ref="B8:F8"/>
    <mergeCell ref="B11:D11"/>
    <mergeCell ref="B12:D12"/>
    <mergeCell ref="B16:F16"/>
    <mergeCell ref="B10:D10"/>
    <mergeCell ref="B14:F14"/>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I50"/>
  <sheetViews>
    <sheetView view="pageLayout" zoomScaleNormal="100" workbookViewId="0"/>
  </sheetViews>
  <sheetFormatPr defaultColWidth="9.140625" defaultRowHeight="15" x14ac:dyDescent="0.25"/>
  <cols>
    <col min="1" max="1" width="4.7109375" style="56" customWidth="1"/>
    <col min="2" max="2" width="22.5703125" style="56" customWidth="1"/>
    <col min="3" max="3" width="8.28515625" style="56" customWidth="1"/>
    <col min="4" max="6" width="10.7109375" style="56" customWidth="1"/>
    <col min="7" max="7" width="11.140625" style="56" customWidth="1"/>
    <col min="8" max="8" width="3.28515625" style="56" customWidth="1"/>
    <col min="9" max="9" width="4.85546875" style="56" customWidth="1"/>
    <col min="10" max="16384" width="9.140625" style="56"/>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7" t="s">
        <v>232</v>
      </c>
      <c r="C3" s="107"/>
      <c r="D3" s="107"/>
      <c r="E3" s="107"/>
      <c r="F3" s="107"/>
      <c r="G3" s="107"/>
      <c r="H3" s="107"/>
      <c r="I3" s="1"/>
    </row>
    <row r="4" spans="1:9" ht="15" customHeight="1" x14ac:dyDescent="0.25">
      <c r="A4" s="1"/>
      <c r="B4" s="107"/>
      <c r="C4" s="107"/>
      <c r="D4" s="107"/>
      <c r="E4" s="107"/>
      <c r="F4" s="107"/>
      <c r="G4" s="107"/>
      <c r="H4" s="10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2" t="s">
        <v>233</v>
      </c>
      <c r="C8" s="133"/>
      <c r="D8" s="133"/>
      <c r="E8" s="133"/>
      <c r="F8" s="133"/>
      <c r="G8" s="133"/>
      <c r="H8" s="135"/>
      <c r="I8" s="1"/>
    </row>
    <row r="9" spans="1:9" ht="15" customHeight="1" x14ac:dyDescent="0.25">
      <c r="A9" s="1"/>
      <c r="B9" s="154" t="s">
        <v>234</v>
      </c>
      <c r="C9" s="155"/>
      <c r="D9" s="155"/>
      <c r="E9" s="155"/>
      <c r="F9" s="155"/>
      <c r="G9" s="155"/>
      <c r="H9" s="156"/>
      <c r="I9" s="1"/>
    </row>
    <row r="10" spans="1:9" x14ac:dyDescent="0.25">
      <c r="A10" s="1"/>
      <c r="B10" s="151" t="s">
        <v>252</v>
      </c>
      <c r="C10" s="152"/>
      <c r="D10" s="152"/>
      <c r="E10" s="152"/>
      <c r="F10" s="153"/>
      <c r="G10" s="59">
        <v>0</v>
      </c>
      <c r="H10" s="9" t="s">
        <v>3</v>
      </c>
      <c r="I10" s="1"/>
    </row>
    <row r="11" spans="1:9" x14ac:dyDescent="0.25">
      <c r="A11" s="1"/>
      <c r="B11" s="151" t="s">
        <v>253</v>
      </c>
      <c r="C11" s="152"/>
      <c r="D11" s="152"/>
      <c r="E11" s="152"/>
      <c r="F11" s="153"/>
      <c r="G11" s="59">
        <v>-6206202</v>
      </c>
      <c r="H11" s="9" t="s">
        <v>3</v>
      </c>
      <c r="I11" s="1"/>
    </row>
    <row r="12" spans="1:9" x14ac:dyDescent="0.25">
      <c r="A12" s="1"/>
      <c r="B12" s="151" t="s">
        <v>254</v>
      </c>
      <c r="C12" s="152"/>
      <c r="D12" s="152"/>
      <c r="E12" s="152"/>
      <c r="F12" s="153"/>
      <c r="G12" s="9">
        <v>0</v>
      </c>
      <c r="H12" s="9" t="s">
        <v>3</v>
      </c>
      <c r="I12" s="1"/>
    </row>
    <row r="13" spans="1:9" x14ac:dyDescent="0.25">
      <c r="A13" s="1"/>
      <c r="B13" s="151" t="s">
        <v>255</v>
      </c>
      <c r="C13" s="152"/>
      <c r="D13" s="152"/>
      <c r="E13" s="152"/>
      <c r="F13" s="153"/>
      <c r="G13" s="9">
        <v>0</v>
      </c>
      <c r="H13" s="9" t="s">
        <v>3</v>
      </c>
      <c r="I13" s="1"/>
    </row>
    <row r="14" spans="1:9" x14ac:dyDescent="0.25">
      <c r="A14" s="1"/>
      <c r="B14" s="151" t="s">
        <v>256</v>
      </c>
      <c r="C14" s="152"/>
      <c r="D14" s="152"/>
      <c r="E14" s="152"/>
      <c r="F14" s="153"/>
      <c r="G14" s="9">
        <v>0</v>
      </c>
      <c r="H14" s="9" t="s">
        <v>3</v>
      </c>
      <c r="I14" s="1"/>
    </row>
    <row r="15" spans="1:9" x14ac:dyDescent="0.25">
      <c r="A15" s="1"/>
      <c r="B15" s="151" t="s">
        <v>257</v>
      </c>
      <c r="C15" s="152"/>
      <c r="D15" s="152"/>
      <c r="E15" s="152"/>
      <c r="F15" s="153"/>
      <c r="G15" s="9">
        <v>0</v>
      </c>
      <c r="H15" s="9" t="s">
        <v>3</v>
      </c>
      <c r="I15" s="1"/>
    </row>
    <row r="16" spans="1:9" x14ac:dyDescent="0.25">
      <c r="A16" s="1"/>
      <c r="B16" s="151" t="s">
        <v>258</v>
      </c>
      <c r="C16" s="152"/>
      <c r="D16" s="152"/>
      <c r="E16" s="152"/>
      <c r="F16" s="153"/>
      <c r="G16" s="9">
        <v>0</v>
      </c>
      <c r="H16" s="9" t="s">
        <v>3</v>
      </c>
      <c r="I16" s="1"/>
    </row>
    <row r="17" spans="1:9" x14ac:dyDescent="0.25">
      <c r="A17" s="1"/>
      <c r="B17" s="151" t="s">
        <v>259</v>
      </c>
      <c r="C17" s="152"/>
      <c r="D17" s="152"/>
      <c r="E17" s="152"/>
      <c r="F17" s="153"/>
      <c r="G17" s="9">
        <v>0</v>
      </c>
      <c r="H17" s="9" t="s">
        <v>3</v>
      </c>
      <c r="I17" s="1"/>
    </row>
    <row r="18" spans="1:9" x14ac:dyDescent="0.25">
      <c r="A18" s="1"/>
      <c r="B18" s="71" t="s">
        <v>235</v>
      </c>
      <c r="C18" s="57"/>
      <c r="D18" s="20"/>
      <c r="E18" s="12"/>
      <c r="F18" s="12"/>
      <c r="G18" s="12">
        <f>SUM(G10:G17)</f>
        <v>-6206202</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keWDSAfLiVnKToqNZqZWtFHDuStwzWaMCNYlBmTE9/jcwUiJV8CPRqHWqidTL1EfKwUb4GKNZhl6auGC27tUzA==" saltValue="tRNOcRVXGA67szWUKw2xBg==" spinCount="100000" sheet="1" objects="1" scenarios="1"/>
  <mergeCells count="11">
    <mergeCell ref="B17:F17"/>
    <mergeCell ref="B12:F12"/>
    <mergeCell ref="B13:F13"/>
    <mergeCell ref="B14:F14"/>
    <mergeCell ref="B15:F15"/>
    <mergeCell ref="B16:F16"/>
    <mergeCell ref="B10:F10"/>
    <mergeCell ref="B3:H4"/>
    <mergeCell ref="B8:H8"/>
    <mergeCell ref="B9:H9"/>
    <mergeCell ref="B11:F1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53"/>
  <sheetViews>
    <sheetView showGridLines="0" view="pageLayout" zoomScaleNormal="100" workbookViewId="0"/>
  </sheetViews>
  <sheetFormatPr defaultColWidth="9.140625" defaultRowHeight="15" x14ac:dyDescent="0.25"/>
  <cols>
    <col min="1" max="1" width="4.7109375" style="2" customWidth="1"/>
    <col min="2" max="2" width="22.42578125" style="2" customWidth="1"/>
    <col min="3" max="3" width="8.28515625" style="2" customWidth="1"/>
    <col min="4" max="4" width="8.42578125" style="2" customWidth="1"/>
    <col min="5" max="5" width="2.85546875" style="2" customWidth="1"/>
    <col min="6" max="6" width="8.42578125" style="2" customWidth="1"/>
    <col min="7" max="7" width="2.5703125" style="2" customWidth="1"/>
    <col min="8" max="8" width="8.42578125" style="2" customWidth="1"/>
    <col min="9" max="9" width="2.5703125" style="2" customWidth="1"/>
    <col min="10" max="10" width="8.42578125" style="2" customWidth="1"/>
    <col min="11" max="11" width="2.8554687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7" t="s">
        <v>226</v>
      </c>
      <c r="C3" s="107"/>
      <c r="D3" s="107"/>
      <c r="E3" s="107"/>
      <c r="F3" s="107"/>
      <c r="G3" s="107"/>
      <c r="H3" s="107"/>
      <c r="I3" s="107"/>
      <c r="J3" s="107"/>
      <c r="K3" s="107"/>
      <c r="L3" s="1"/>
    </row>
    <row r="4" spans="1:12" ht="15" customHeight="1" x14ac:dyDescent="0.25">
      <c r="A4" s="1"/>
      <c r="B4" s="107"/>
      <c r="C4" s="107"/>
      <c r="D4" s="107"/>
      <c r="E4" s="107"/>
      <c r="F4" s="107"/>
      <c r="G4" s="107"/>
      <c r="H4" s="107"/>
      <c r="I4" s="107"/>
      <c r="J4" s="107"/>
      <c r="K4" s="10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2" t="s">
        <v>198</v>
      </c>
      <c r="C8" s="133"/>
      <c r="D8" s="133"/>
      <c r="E8" s="133"/>
      <c r="F8" s="133"/>
      <c r="G8" s="133"/>
      <c r="H8" s="133"/>
      <c r="I8" s="133"/>
      <c r="J8" s="133"/>
      <c r="K8" s="135"/>
      <c r="L8" s="1"/>
    </row>
    <row r="9" spans="1:12" ht="39.75" customHeight="1" x14ac:dyDescent="0.25">
      <c r="A9" s="1"/>
      <c r="B9" s="19" t="s">
        <v>0</v>
      </c>
      <c r="C9" s="19" t="s">
        <v>1</v>
      </c>
      <c r="D9" s="157" t="s">
        <v>219</v>
      </c>
      <c r="E9" s="158"/>
      <c r="F9" s="157" t="s">
        <v>2</v>
      </c>
      <c r="G9" s="158"/>
      <c r="H9" s="157" t="s">
        <v>220</v>
      </c>
      <c r="I9" s="158"/>
      <c r="J9" s="157" t="s">
        <v>28</v>
      </c>
      <c r="K9" s="158"/>
      <c r="L9" s="1"/>
    </row>
    <row r="10" spans="1:12" ht="39" x14ac:dyDescent="0.25">
      <c r="A10" s="1"/>
      <c r="B10" s="82" t="s">
        <v>260</v>
      </c>
      <c r="C10" s="37">
        <v>30</v>
      </c>
      <c r="D10" s="9">
        <v>0</v>
      </c>
      <c r="E10" s="14" t="s">
        <v>3</v>
      </c>
      <c r="F10" s="9">
        <f t="shared" ref="F10" si="0">IFERROR(D10/C10,0)</f>
        <v>0</v>
      </c>
      <c r="G10" s="14" t="s">
        <v>3</v>
      </c>
      <c r="H10" s="9">
        <v>0</v>
      </c>
      <c r="I10" s="14" t="s">
        <v>3</v>
      </c>
      <c r="J10" s="9">
        <v>489595</v>
      </c>
      <c r="K10" s="14" t="s">
        <v>3</v>
      </c>
      <c r="L10" s="1"/>
    </row>
    <row r="11" spans="1:12" x14ac:dyDescent="0.25">
      <c r="A11" s="1"/>
      <c r="B11" s="132" t="s">
        <v>199</v>
      </c>
      <c r="C11" s="133"/>
      <c r="D11" s="133"/>
      <c r="E11" s="135"/>
      <c r="F11" s="12">
        <f>SUM(F10:F10)</f>
        <v>0</v>
      </c>
      <c r="G11" s="75" t="s">
        <v>3</v>
      </c>
      <c r="H11" s="12">
        <f>SUM(H10:H10)</f>
        <v>0</v>
      </c>
      <c r="I11" s="75" t="s">
        <v>3</v>
      </c>
      <c r="J11" s="12">
        <f>SUM(J10:J10)</f>
        <v>489595</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39"/>
    </row>
    <row r="49" spans="1:1" x14ac:dyDescent="0.25">
      <c r="A49" s="39"/>
    </row>
    <row r="50" spans="1:1" x14ac:dyDescent="0.25">
      <c r="A50" s="39"/>
    </row>
    <row r="51" spans="1:1" x14ac:dyDescent="0.25">
      <c r="A51" s="39"/>
    </row>
    <row r="52" spans="1:1" x14ac:dyDescent="0.25">
      <c r="A52" s="39"/>
    </row>
    <row r="53" spans="1:1" x14ac:dyDescent="0.25">
      <c r="A53" s="39"/>
    </row>
  </sheetData>
  <sheetProtection algorithmName="SHA-512" hashValue="1Em1nDg1ZU6y3VGFGqIT4f16/ZkIHUTeUzwmu9zoQ4T2+4++RkcxwRMMYYiblzda7VgHAZaVGy51rpibXhTezw==" saltValue="8+VUWVG+5DakOHYWehBVmw==" spinCount="100000" sheet="1" objects="1" scenarios="1"/>
  <mergeCells count="7">
    <mergeCell ref="B11:E11"/>
    <mergeCell ref="B3:K4"/>
    <mergeCell ref="B8:K8"/>
    <mergeCell ref="D9:E9"/>
    <mergeCell ref="F9:G9"/>
    <mergeCell ref="H9:I9"/>
    <mergeCell ref="J9:K9"/>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55"/>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227</v>
      </c>
      <c r="C3" s="107"/>
      <c r="D3" s="107"/>
      <c r="E3" s="107"/>
      <c r="F3" s="107"/>
      <c r="G3" s="1"/>
    </row>
    <row r="4" spans="1:7" ht="1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1" t="s">
        <v>79</v>
      </c>
      <c r="C8" s="72"/>
      <c r="D8" s="72"/>
      <c r="E8" s="72"/>
      <c r="F8" s="20"/>
      <c r="G8" s="1"/>
    </row>
    <row r="9" spans="1:7" ht="17.25" customHeight="1" x14ac:dyDescent="0.25">
      <c r="A9" s="1"/>
      <c r="B9" s="83" t="s">
        <v>15</v>
      </c>
      <c r="C9" s="83" t="s">
        <v>10</v>
      </c>
      <c r="D9" s="84"/>
      <c r="E9" s="83" t="s">
        <v>29</v>
      </c>
      <c r="F9" s="68"/>
      <c r="G9" s="1"/>
    </row>
    <row r="10" spans="1:7" ht="17.25" customHeight="1" x14ac:dyDescent="0.25">
      <c r="A10" s="1"/>
      <c r="B10" s="24" t="s">
        <v>140</v>
      </c>
      <c r="C10" s="22">
        <f>'Fane 9. Anlægsprojekter (§ 19) '!H11</f>
        <v>0</v>
      </c>
      <c r="D10" s="14" t="s">
        <v>3</v>
      </c>
      <c r="E10" s="9">
        <f>SUM('Fane 9. Anlægsprojekter (§ 19) '!F11,'Fane 9. Anlægsprojekter (§ 19) '!J11)</f>
        <v>489595</v>
      </c>
      <c r="F10" s="14" t="s">
        <v>3</v>
      </c>
      <c r="G10" s="1"/>
    </row>
    <row r="11" spans="1:7" ht="17.25" customHeight="1" x14ac:dyDescent="0.25">
      <c r="A11" s="1"/>
      <c r="B11" s="24" t="s">
        <v>249</v>
      </c>
      <c r="C11" s="22">
        <v>258430</v>
      </c>
      <c r="D11" s="14" t="s">
        <v>3</v>
      </c>
      <c r="E11" s="9">
        <v>1073081</v>
      </c>
      <c r="F11" s="14" t="s">
        <v>3</v>
      </c>
      <c r="G11" s="1"/>
    </row>
    <row r="12" spans="1:7" x14ac:dyDescent="0.25">
      <c r="A12" s="1"/>
      <c r="B12" s="24" t="s">
        <v>250</v>
      </c>
      <c r="C12" s="22">
        <v>0</v>
      </c>
      <c r="D12" s="14" t="s">
        <v>3</v>
      </c>
      <c r="E12" s="9">
        <v>1668</v>
      </c>
      <c r="F12" s="14" t="s">
        <v>3</v>
      </c>
      <c r="G12" s="1"/>
    </row>
    <row r="13" spans="1:7" x14ac:dyDescent="0.25">
      <c r="A13" s="1"/>
      <c r="B13" s="24" t="s">
        <v>251</v>
      </c>
      <c r="C13" s="22">
        <v>863309</v>
      </c>
      <c r="D13" s="14" t="s">
        <v>3</v>
      </c>
      <c r="E13" s="9">
        <v>35061</v>
      </c>
      <c r="F13" s="14" t="s">
        <v>3</v>
      </c>
      <c r="G13" s="1"/>
    </row>
    <row r="14" spans="1:7" x14ac:dyDescent="0.25">
      <c r="A14" s="1"/>
      <c r="B14" s="71" t="s">
        <v>155</v>
      </c>
      <c r="C14" s="12">
        <f>SUM(C10:C13)</f>
        <v>1121739</v>
      </c>
      <c r="D14" s="13" t="s">
        <v>3</v>
      </c>
      <c r="E14" s="12">
        <f>SUM(E10:E13)</f>
        <v>1599405</v>
      </c>
      <c r="F14" s="13" t="s">
        <v>3</v>
      </c>
      <c r="G14" s="1"/>
    </row>
    <row r="15" spans="1:7" x14ac:dyDescent="0.25">
      <c r="A15" s="1"/>
      <c r="B15" s="71" t="s">
        <v>195</v>
      </c>
      <c r="C15" s="12">
        <f>C14*(1+'Fane 13. Nøgletal'!C15)</f>
        <v>1161672.9084000001</v>
      </c>
      <c r="D15" s="13" t="s">
        <v>3</v>
      </c>
      <c r="E15" s="12">
        <f>E14*(1+'Fane 13. Nøgletal'!C15)</f>
        <v>1656343.8180000002</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39"/>
      <c r="B51" s="39"/>
      <c r="C51" s="39"/>
      <c r="D51" s="39"/>
      <c r="E51" s="39"/>
      <c r="F51" s="39"/>
      <c r="G51" s="39"/>
    </row>
    <row r="52" spans="1:7" x14ac:dyDescent="0.25">
      <c r="A52" s="39"/>
      <c r="B52" s="39"/>
      <c r="C52" s="39"/>
      <c r="D52" s="39"/>
      <c r="E52" s="39"/>
      <c r="F52" s="39"/>
      <c r="G52" s="39"/>
    </row>
    <row r="53" spans="1:7" x14ac:dyDescent="0.25">
      <c r="A53" s="39"/>
      <c r="B53" s="39"/>
      <c r="C53" s="39"/>
      <c r="D53" s="39"/>
      <c r="E53" s="39"/>
      <c r="F53" s="39"/>
      <c r="G53" s="39"/>
    </row>
    <row r="54" spans="1:7" x14ac:dyDescent="0.25">
      <c r="A54" s="39"/>
      <c r="B54" s="39"/>
      <c r="C54" s="39"/>
      <c r="D54" s="39"/>
      <c r="E54" s="39"/>
      <c r="F54" s="39"/>
      <c r="G54" s="39"/>
    </row>
    <row r="55" spans="1:7" x14ac:dyDescent="0.25">
      <c r="A55" s="39"/>
      <c r="B55" s="39"/>
      <c r="C55" s="39"/>
      <c r="D55" s="39"/>
      <c r="E55" s="39"/>
      <c r="F55" s="39"/>
      <c r="G55" s="39"/>
    </row>
  </sheetData>
  <sheetProtection algorithmName="SHA-512" hashValue="ekx6SKgbqkp9NpAUBLWT55A/pFiuMPZ16bw/kbsgBY283KK1idfBRAfca9frbo1VVj/Zm2EAJXPEOC+uapOZpA==" saltValue="banOTTjururijApBt9ihIA==" spinCount="100000" sheet="1" objects="1" scenarios="1"/>
  <mergeCells count="1">
    <mergeCell ref="B3:F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228</v>
      </c>
      <c r="C3" s="107"/>
      <c r="D3" s="107"/>
      <c r="E3" s="107"/>
      <c r="F3" s="107"/>
      <c r="G3" s="1"/>
    </row>
    <row r="4" spans="1:7" ht="1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32" t="s">
        <v>93</v>
      </c>
      <c r="C9" s="133"/>
      <c r="D9" s="133"/>
      <c r="E9" s="133"/>
      <c r="F9" s="135"/>
      <c r="G9" s="1"/>
    </row>
    <row r="10" spans="1:7" x14ac:dyDescent="0.25">
      <c r="A10" s="1"/>
      <c r="B10" s="83" t="s">
        <v>15</v>
      </c>
      <c r="C10" s="83" t="s">
        <v>10</v>
      </c>
      <c r="D10" s="84"/>
      <c r="E10" s="83" t="s">
        <v>29</v>
      </c>
      <c r="F10" s="68"/>
      <c r="G10" s="1"/>
    </row>
    <row r="11" spans="1:7" x14ac:dyDescent="0.25">
      <c r="A11" s="1"/>
      <c r="B11" s="24" t="s">
        <v>265</v>
      </c>
      <c r="C11" s="22">
        <v>0</v>
      </c>
      <c r="D11" s="14" t="s">
        <v>3</v>
      </c>
      <c r="E11" s="22">
        <v>0</v>
      </c>
      <c r="F11" s="14" t="s">
        <v>3</v>
      </c>
      <c r="G11" s="1"/>
    </row>
    <row r="12" spans="1:7" x14ac:dyDescent="0.25">
      <c r="A12" s="1"/>
      <c r="B12" s="71" t="s">
        <v>201</v>
      </c>
      <c r="C12" s="12">
        <f>SUM(C11:C11)</f>
        <v>0</v>
      </c>
      <c r="D12" s="13" t="s">
        <v>3</v>
      </c>
      <c r="E12" s="12">
        <f>SUM(E11:E11)</f>
        <v>0</v>
      </c>
      <c r="F12" s="13" t="s">
        <v>3</v>
      </c>
      <c r="G12" s="1"/>
    </row>
    <row r="13" spans="1:7" x14ac:dyDescent="0.25">
      <c r="A13" s="1"/>
      <c r="B13" s="71" t="s">
        <v>131</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59"/>
      <c r="C15" s="159"/>
      <c r="D15" s="159"/>
      <c r="E15" s="159"/>
      <c r="F15" s="159"/>
      <c r="G15" s="1"/>
    </row>
    <row r="16" spans="1:7" x14ac:dyDescent="0.25">
      <c r="A16" s="1"/>
      <c r="B16" s="47"/>
      <c r="C16" s="47"/>
      <c r="D16" s="47"/>
      <c r="E16" s="47"/>
      <c r="F16" s="48"/>
      <c r="G16" s="1"/>
    </row>
    <row r="17" spans="1:7" x14ac:dyDescent="0.25">
      <c r="A17" s="1"/>
      <c r="B17" s="49"/>
      <c r="C17" s="50"/>
      <c r="D17" s="51"/>
      <c r="E17" s="50"/>
      <c r="F17" s="51"/>
      <c r="G17" s="1"/>
    </row>
    <row r="18" spans="1:7" x14ac:dyDescent="0.25">
      <c r="A18" s="1"/>
      <c r="B18" s="49"/>
      <c r="C18" s="50"/>
      <c r="D18" s="51"/>
      <c r="E18" s="52"/>
      <c r="F18" s="51"/>
      <c r="G18" s="1"/>
    </row>
    <row r="19" spans="1:7" x14ac:dyDescent="0.25">
      <c r="A19" s="1"/>
      <c r="B19" s="53"/>
      <c r="C19" s="54"/>
      <c r="D19" s="55"/>
      <c r="E19" s="54"/>
      <c r="F19" s="55"/>
      <c r="G19" s="1"/>
    </row>
    <row r="20" spans="1:7" x14ac:dyDescent="0.25">
      <c r="A20" s="1"/>
      <c r="B20" s="53"/>
      <c r="C20" s="54"/>
      <c r="D20" s="55"/>
      <c r="E20" s="54"/>
      <c r="F20" s="55"/>
      <c r="G20" s="1"/>
    </row>
    <row r="21" spans="1:7" x14ac:dyDescent="0.25">
      <c r="A21" s="1"/>
      <c r="B21" s="46"/>
      <c r="C21" s="46"/>
      <c r="D21" s="46"/>
      <c r="E21" s="46"/>
      <c r="F21" s="46"/>
      <c r="G21" s="1"/>
    </row>
    <row r="22" spans="1:7" x14ac:dyDescent="0.25">
      <c r="A22" s="1"/>
      <c r="B22" s="159"/>
      <c r="C22" s="159"/>
      <c r="D22" s="159"/>
      <c r="E22" s="159"/>
      <c r="F22" s="159"/>
      <c r="G22" s="1"/>
    </row>
    <row r="23" spans="1:7" x14ac:dyDescent="0.25">
      <c r="A23" s="1"/>
      <c r="B23" s="47"/>
      <c r="C23" s="47"/>
      <c r="D23" s="47"/>
      <c r="E23" s="47"/>
      <c r="F23" s="48"/>
      <c r="G23" s="1"/>
    </row>
    <row r="24" spans="1:7" x14ac:dyDescent="0.25">
      <c r="A24" s="1"/>
      <c r="B24" s="49"/>
      <c r="C24" s="50"/>
      <c r="D24" s="51"/>
      <c r="E24" s="50"/>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59"/>
      <c r="C29" s="159"/>
      <c r="D29" s="159"/>
      <c r="E29" s="159"/>
      <c r="F29" s="159"/>
      <c r="G29" s="1"/>
    </row>
    <row r="30" spans="1:7" x14ac:dyDescent="0.25">
      <c r="A30" s="1"/>
      <c r="B30" s="47"/>
      <c r="C30" s="47"/>
      <c r="D30" s="47"/>
      <c r="E30" s="47"/>
      <c r="F30" s="48"/>
      <c r="G30" s="1"/>
    </row>
    <row r="31" spans="1:7" x14ac:dyDescent="0.25">
      <c r="A31" s="1"/>
      <c r="B31" s="49"/>
      <c r="C31" s="50"/>
      <c r="D31" s="51"/>
      <c r="E31" s="50"/>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UfXsyQrcoRVwa4mHJZhZLvcu3IE/UKHyQz/7jhg7c3GqymFrj9owiRegw4+BNoo4IG38RtkgeMP8QJAseiKN0g==" saltValue="IhU8qp6tFrapgxBbDRtrlQ==" spinCount="100000" sheet="1" objects="1" scenarios="1"/>
  <mergeCells count="5">
    <mergeCell ref="B29:F29"/>
    <mergeCell ref="B3:F4"/>
    <mergeCell ref="B9:F9"/>
    <mergeCell ref="B15:F15"/>
    <mergeCell ref="B22:F22"/>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48"/>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7109375" style="2" customWidth="1"/>
    <col min="4" max="4" width="3.28515625" style="2" customWidth="1"/>
    <col min="5" max="5" width="14"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6" t="s">
        <v>229</v>
      </c>
      <c r="C3" s="126"/>
      <c r="D3" s="126"/>
      <c r="E3" s="126"/>
      <c r="F3" s="126"/>
      <c r="G3" s="1"/>
    </row>
    <row r="4" spans="1:7" ht="25.5" customHeight="1" x14ac:dyDescent="0.25">
      <c r="A4" s="1"/>
      <c r="B4" s="126"/>
      <c r="C4" s="126"/>
      <c r="D4" s="126"/>
      <c r="E4" s="126"/>
      <c r="F4" s="12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2" t="s">
        <v>127</v>
      </c>
      <c r="C8" s="133"/>
      <c r="D8" s="133"/>
      <c r="E8" s="133"/>
      <c r="F8" s="135"/>
      <c r="G8" s="1"/>
    </row>
    <row r="9" spans="1:7" ht="15" customHeight="1" x14ac:dyDescent="0.25">
      <c r="A9" s="1"/>
      <c r="B9" s="67" t="s">
        <v>128</v>
      </c>
      <c r="C9" s="154" t="s">
        <v>10</v>
      </c>
      <c r="D9" s="156"/>
      <c r="E9" s="154" t="s">
        <v>29</v>
      </c>
      <c r="F9" s="156"/>
      <c r="G9" s="1"/>
    </row>
    <row r="10" spans="1:7" x14ac:dyDescent="0.25">
      <c r="A10" s="1"/>
      <c r="B10" s="24" t="s">
        <v>245</v>
      </c>
      <c r="C10" s="9">
        <v>0</v>
      </c>
      <c r="D10" s="14" t="s">
        <v>3</v>
      </c>
      <c r="E10" s="9">
        <v>0</v>
      </c>
      <c r="F10" s="14" t="s">
        <v>3</v>
      </c>
      <c r="G10" s="1"/>
    </row>
    <row r="11" spans="1:7" ht="28.5" customHeight="1" x14ac:dyDescent="0.25">
      <c r="A11" s="1"/>
      <c r="B11" s="21" t="s">
        <v>156</v>
      </c>
      <c r="C11" s="12">
        <f>SUM(C10:C10)</f>
        <v>0</v>
      </c>
      <c r="D11" s="13" t="s">
        <v>3</v>
      </c>
      <c r="E11" s="12">
        <f>SUM(E10:E10)</f>
        <v>0</v>
      </c>
      <c r="F11" s="13" t="s">
        <v>3</v>
      </c>
      <c r="G11" s="1"/>
    </row>
    <row r="12" spans="1:7" ht="27" customHeight="1" x14ac:dyDescent="0.25">
      <c r="A12" s="1"/>
      <c r="B12" s="21" t="s">
        <v>196</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toYJYOXbbbFzOxrgorhxGomgoOGtOTAmzj9ES68Zo880zkTubHJGs5py0eSoKMStdN//GGDZA4Z/5YV60500Lg==" saltValue="AfGRS3f4AdpnF93ku8GfW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7.42578125" style="2" customWidth="1"/>
    <col min="4" max="4" width="3" style="2" customWidth="1"/>
    <col min="5" max="5" width="17.42578125" style="2" customWidth="1"/>
    <col min="6" max="6" width="3" style="2" customWidth="1"/>
    <col min="7" max="7" width="3.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6" t="s">
        <v>230</v>
      </c>
      <c r="C3" s="126"/>
      <c r="D3" s="126"/>
      <c r="E3" s="126"/>
      <c r="F3" s="126"/>
      <c r="G3" s="1"/>
    </row>
    <row r="4" spans="1:7" ht="25.5" customHeight="1" x14ac:dyDescent="0.25">
      <c r="A4" s="1"/>
      <c r="B4" s="126"/>
      <c r="C4" s="126"/>
      <c r="D4" s="126"/>
      <c r="E4" s="126"/>
      <c r="F4" s="12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2" t="s">
        <v>90</v>
      </c>
      <c r="C9" s="133"/>
      <c r="D9" s="133"/>
      <c r="E9" s="133"/>
      <c r="F9" s="135"/>
      <c r="G9" s="1"/>
    </row>
    <row r="10" spans="1:7" ht="26.25" x14ac:dyDescent="0.25">
      <c r="A10" s="1"/>
      <c r="B10" s="67" t="s">
        <v>16</v>
      </c>
      <c r="C10" s="67" t="s">
        <v>10</v>
      </c>
      <c r="D10" s="68"/>
      <c r="E10" s="67" t="s">
        <v>29</v>
      </c>
      <c r="F10" s="68"/>
      <c r="G10" s="1"/>
    </row>
    <row r="11" spans="1:7" x14ac:dyDescent="0.25">
      <c r="A11" s="1"/>
      <c r="B11" s="24" t="s">
        <v>246</v>
      </c>
      <c r="C11" s="9">
        <v>0</v>
      </c>
      <c r="D11" s="14" t="s">
        <v>3</v>
      </c>
      <c r="E11" s="9">
        <v>0</v>
      </c>
      <c r="F11" s="14" t="s">
        <v>3</v>
      </c>
      <c r="G11" s="1"/>
    </row>
    <row r="12" spans="1:7" x14ac:dyDescent="0.25">
      <c r="A12" s="1"/>
      <c r="B12" s="71" t="s">
        <v>87</v>
      </c>
      <c r="C12" s="12">
        <f>SUM(C11:C11)</f>
        <v>0</v>
      </c>
      <c r="D12" s="13" t="s">
        <v>3</v>
      </c>
      <c r="E12" s="12">
        <f>SUM(E11:E11)</f>
        <v>0</v>
      </c>
      <c r="F12" s="13" t="s">
        <v>3</v>
      </c>
      <c r="G12" s="1"/>
    </row>
    <row r="13" spans="1:7" x14ac:dyDescent="0.25">
      <c r="A13" s="1"/>
      <c r="B13" s="71" t="s">
        <v>88</v>
      </c>
      <c r="C13" s="12">
        <f>C12*(1+'Fane 13. Nøgletal'!C15)</f>
        <v>0</v>
      </c>
      <c r="D13" s="13" t="s">
        <v>3</v>
      </c>
      <c r="E13" s="12">
        <f>E12*(1+'Fane 13. Nøgletal'!C15)</f>
        <v>0</v>
      </c>
      <c r="F13" s="13" t="s">
        <v>3</v>
      </c>
      <c r="G13" s="1"/>
    </row>
    <row r="14" spans="1:7" x14ac:dyDescent="0.25">
      <c r="A14" s="1"/>
      <c r="B14" s="1"/>
      <c r="C14" s="1"/>
      <c r="D14" s="1"/>
      <c r="E14" s="1"/>
      <c r="F14" s="1"/>
      <c r="G14" s="1"/>
    </row>
    <row r="15" spans="1:7" x14ac:dyDescent="0.25">
      <c r="A15" s="1"/>
      <c r="B15" s="159"/>
      <c r="C15" s="159"/>
      <c r="D15" s="159"/>
      <c r="E15" s="159"/>
      <c r="F15" s="159"/>
      <c r="G15" s="1"/>
    </row>
    <row r="16" spans="1:7" x14ac:dyDescent="0.25">
      <c r="A16" s="1"/>
      <c r="B16" s="48"/>
      <c r="C16" s="48"/>
      <c r="D16" s="48"/>
      <c r="E16" s="48"/>
      <c r="F16" s="48"/>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59"/>
      <c r="C21" s="159"/>
      <c r="D21" s="159"/>
      <c r="E21" s="159"/>
      <c r="F21" s="159"/>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59"/>
      <c r="C27" s="159"/>
      <c r="D27" s="159"/>
      <c r="E27" s="159"/>
      <c r="F27" s="159"/>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pExWu2Z0L9424IK9Y+8SVlWa39vFY0fRvTbb7MTjbvevAg5m3G/vlA+NlQRVPwFCGRjRhZ5riXzfT/xW7FVRpQ==" saltValue="oXQkQ37V0jXBd/hn6b/eQQ=="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D53"/>
  <sheetViews>
    <sheetView showGridLines="0" view="pageLayout" zoomScaleNormal="100" workbookViewId="0"/>
  </sheetViews>
  <sheetFormatPr defaultColWidth="9.140625" defaultRowHeight="15" x14ac:dyDescent="0.25"/>
  <cols>
    <col min="1" max="1" width="11.140625" style="2" customWidth="1"/>
    <col min="2" max="2" width="55.71093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26" t="s">
        <v>231</v>
      </c>
      <c r="C3" s="126"/>
      <c r="D3" s="1"/>
    </row>
    <row r="4" spans="1:4" ht="25.5" customHeight="1" x14ac:dyDescent="0.25">
      <c r="A4" s="1"/>
      <c r="B4" s="126"/>
      <c r="C4" s="126"/>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1" t="s">
        <v>13</v>
      </c>
      <c r="C8" s="20"/>
      <c r="D8" s="1"/>
    </row>
    <row r="9" spans="1:4" x14ac:dyDescent="0.25">
      <c r="A9" s="1"/>
      <c r="B9" s="79" t="s">
        <v>108</v>
      </c>
      <c r="C9" s="25">
        <v>1.2699999999999999E-2</v>
      </c>
      <c r="D9" s="1"/>
    </row>
    <row r="10" spans="1:4" x14ac:dyDescent="0.25">
      <c r="A10" s="1"/>
      <c r="B10" s="79" t="s">
        <v>21</v>
      </c>
      <c r="C10" s="25">
        <v>1.7500000000000002E-2</v>
      </c>
      <c r="D10" s="1"/>
    </row>
    <row r="11" spans="1:4" x14ac:dyDescent="0.25">
      <c r="A11" s="1"/>
      <c r="B11" s="79" t="s">
        <v>109</v>
      </c>
      <c r="C11" s="25">
        <v>1.6899999999999998E-2</v>
      </c>
      <c r="D11" s="1"/>
    </row>
    <row r="12" spans="1:4" x14ac:dyDescent="0.25">
      <c r="A12" s="1"/>
      <c r="B12" s="26" t="s">
        <v>37</v>
      </c>
      <c r="C12" s="27">
        <v>1.9699999999999999E-2</v>
      </c>
      <c r="D12" s="1"/>
    </row>
    <row r="13" spans="1:4" x14ac:dyDescent="0.25">
      <c r="A13" s="1"/>
      <c r="B13" s="26" t="s">
        <v>129</v>
      </c>
      <c r="C13" s="27">
        <v>1.2200000000000001E-2</v>
      </c>
      <c r="D13" s="1"/>
    </row>
    <row r="14" spans="1:4" x14ac:dyDescent="0.25">
      <c r="A14" s="1"/>
      <c r="B14" s="26" t="s">
        <v>157</v>
      </c>
      <c r="C14" s="27">
        <v>3.3E-3</v>
      </c>
      <c r="D14" s="1"/>
    </row>
    <row r="15" spans="1:4" x14ac:dyDescent="0.25">
      <c r="A15" s="1"/>
      <c r="B15" s="26" t="s">
        <v>247</v>
      </c>
      <c r="C15" s="27">
        <v>3.56E-2</v>
      </c>
      <c r="D15" s="1"/>
    </row>
    <row r="16" spans="1:4" x14ac:dyDescent="0.25">
      <c r="A16" s="1"/>
      <c r="B16" s="71"/>
      <c r="C16" s="20"/>
      <c r="D16" s="1"/>
    </row>
    <row r="17" spans="1:4" x14ac:dyDescent="0.25">
      <c r="A17" s="1"/>
      <c r="B17" s="1"/>
      <c r="C17" s="1"/>
      <c r="D17" s="1"/>
    </row>
    <row r="18" spans="1:4" x14ac:dyDescent="0.25">
      <c r="A18" s="1"/>
      <c r="B18" s="1"/>
      <c r="C18" s="1"/>
      <c r="D18" s="1"/>
    </row>
    <row r="19" spans="1:4" x14ac:dyDescent="0.25">
      <c r="A19" s="1"/>
      <c r="B19" s="71" t="s">
        <v>94</v>
      </c>
      <c r="C19" s="20"/>
      <c r="D19" s="1"/>
    </row>
    <row r="20" spans="1:4" x14ac:dyDescent="0.25">
      <c r="A20" s="1"/>
      <c r="B20" s="79" t="s">
        <v>110</v>
      </c>
      <c r="C20" s="23">
        <v>9.1000000000000004E-3</v>
      </c>
      <c r="D20" s="1"/>
    </row>
    <row r="21" spans="1:4" x14ac:dyDescent="0.25">
      <c r="A21" s="1"/>
      <c r="B21" s="79" t="s">
        <v>111</v>
      </c>
      <c r="C21" s="23">
        <v>1.77E-2</v>
      </c>
      <c r="D21" s="1"/>
    </row>
    <row r="22" spans="1:4" x14ac:dyDescent="0.25">
      <c r="A22" s="1"/>
      <c r="B22" s="79" t="s">
        <v>113</v>
      </c>
      <c r="C22" s="23">
        <v>8.6999999999999994E-3</v>
      </c>
      <c r="D22" s="1"/>
    </row>
    <row r="23" spans="1:4" x14ac:dyDescent="0.25">
      <c r="A23" s="1"/>
      <c r="B23" s="79" t="s">
        <v>112</v>
      </c>
      <c r="C23" s="28">
        <v>2.8400000000000002E-2</v>
      </c>
      <c r="D23" s="1"/>
    </row>
    <row r="24" spans="1:4" x14ac:dyDescent="0.25">
      <c r="A24" s="1"/>
      <c r="B24" s="79" t="s">
        <v>130</v>
      </c>
      <c r="C24" s="28">
        <v>2.75E-2</v>
      </c>
      <c r="D24" s="1"/>
    </row>
    <row r="25" spans="1:4" x14ac:dyDescent="0.25">
      <c r="A25" s="1"/>
      <c r="B25" s="79" t="s">
        <v>158</v>
      </c>
      <c r="C25" s="28">
        <v>1.4800000000000001E-2</v>
      </c>
      <c r="D25" s="1"/>
    </row>
    <row r="26" spans="1:4" x14ac:dyDescent="0.25">
      <c r="A26" s="1"/>
      <c r="B26" s="26" t="s">
        <v>248</v>
      </c>
      <c r="C26" s="27">
        <v>0</v>
      </c>
      <c r="D26" s="1"/>
    </row>
    <row r="27" spans="1:4" x14ac:dyDescent="0.25">
      <c r="A27" s="1"/>
      <c r="B27" s="71"/>
      <c r="C27" s="71"/>
      <c r="D27" s="1"/>
    </row>
    <row r="28" spans="1:4" x14ac:dyDescent="0.25">
      <c r="A28" s="1"/>
      <c r="B28" s="1"/>
      <c r="C28" s="1"/>
      <c r="D28" s="1"/>
    </row>
    <row r="29" spans="1:4" x14ac:dyDescent="0.25">
      <c r="A29" s="1"/>
      <c r="B29" s="1"/>
      <c r="C29" s="1"/>
      <c r="D29" s="1"/>
    </row>
    <row r="30" spans="1:4" x14ac:dyDescent="0.25">
      <c r="A30" s="1"/>
      <c r="B30" s="71" t="s">
        <v>95</v>
      </c>
      <c r="C30" s="20"/>
      <c r="D30" s="1"/>
    </row>
    <row r="31" spans="1:4" x14ac:dyDescent="0.25">
      <c r="A31" s="1"/>
      <c r="B31" s="79" t="s">
        <v>114</v>
      </c>
      <c r="C31" s="25">
        <v>0.02</v>
      </c>
      <c r="D31" s="1"/>
    </row>
    <row r="32" spans="1:4" x14ac:dyDescent="0.25">
      <c r="A32" s="1"/>
      <c r="B32" s="71"/>
      <c r="C32" s="20"/>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9"/>
      <c r="B50" s="39"/>
      <c r="C50" s="39"/>
      <c r="D50" s="39"/>
    </row>
    <row r="51" spans="1:4" x14ac:dyDescent="0.25">
      <c r="A51" s="39"/>
      <c r="B51" s="39"/>
      <c r="C51" s="39"/>
      <c r="D51" s="39"/>
    </row>
    <row r="52" spans="1:4" x14ac:dyDescent="0.25">
      <c r="A52" s="39"/>
      <c r="B52" s="39"/>
      <c r="C52" s="39"/>
      <c r="D52" s="39"/>
    </row>
    <row r="53" spans="1:4" x14ac:dyDescent="0.25">
      <c r="A53" s="39"/>
      <c r="B53" s="39"/>
      <c r="C53" s="39"/>
      <c r="D53" s="39"/>
    </row>
  </sheetData>
  <sheetProtection algorithmName="SHA-512" hashValue="HIHgqcPtuGEh+rZZsW0iRM07sllN+YQ0hE+GauHZ3kU5kz9oMws/1qhL8m3+PEtSRSmfGuhR8KHI0IlT8nOuZA==" saltValue="dyR1ORU1/towu0FOm6yuiQ==" spinCount="100000" sheet="1" objects="1" scenarios="1"/>
  <mergeCells count="1">
    <mergeCell ref="B3:C4"/>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9"/>
  <sheetViews>
    <sheetView showGridLines="0" view="pageLayout" zoomScaleNormal="100" workbookViewId="0"/>
  </sheetViews>
  <sheetFormatPr defaultColWidth="9.140625" defaultRowHeight="15" x14ac:dyDescent="0.25"/>
  <cols>
    <col min="1" max="1" width="10.7109375" style="2" customWidth="1"/>
    <col min="2" max="2" width="47.28515625" style="2" customWidth="1"/>
    <col min="3" max="3" width="14.7109375" style="2" customWidth="1"/>
    <col min="4" max="4" width="3.5703125" style="2" customWidth="1"/>
    <col min="5" max="5" width="10.710937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7" t="s">
        <v>173</v>
      </c>
      <c r="C3" s="107"/>
      <c r="D3" s="107"/>
      <c r="E3" s="1"/>
    </row>
    <row r="4" spans="1:5" ht="15" customHeight="1" x14ac:dyDescent="0.25">
      <c r="A4" s="1"/>
      <c r="B4" s="107"/>
      <c r="C4" s="107"/>
      <c r="D4" s="107"/>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71" t="s">
        <v>12</v>
      </c>
      <c r="C8" s="72"/>
      <c r="D8" s="20"/>
      <c r="E8" s="1"/>
    </row>
    <row r="9" spans="1:5" ht="15" customHeight="1" x14ac:dyDescent="0.25">
      <c r="A9" s="1"/>
      <c r="B9" s="63" t="s">
        <v>124</v>
      </c>
      <c r="C9" s="7">
        <f>'Fane 3. Omkostninger i ØR2022'!E24</f>
        <v>57779391.638754211</v>
      </c>
      <c r="D9" s="8" t="s">
        <v>3</v>
      </c>
      <c r="E9" s="1"/>
    </row>
    <row r="10" spans="1:5" ht="17.100000000000001" customHeight="1" x14ac:dyDescent="0.25">
      <c r="A10" s="1"/>
      <c r="B10" s="64" t="s">
        <v>35</v>
      </c>
      <c r="C10" s="7">
        <f>'Fane 10.1. Varige tillæg'!C15</f>
        <v>1161672.9084000001</v>
      </c>
      <c r="D10" s="8" t="s">
        <v>3</v>
      </c>
      <c r="E10" s="1"/>
    </row>
    <row r="11" spans="1:5" ht="17.100000000000001" customHeight="1" x14ac:dyDescent="0.25">
      <c r="A11" s="1"/>
      <c r="B11" s="64" t="s">
        <v>36</v>
      </c>
      <c r="C11" s="9">
        <f>'Fane 10.1. Varige tillæg'!E15</f>
        <v>1656343.8180000002</v>
      </c>
      <c r="D11" s="8" t="s">
        <v>3</v>
      </c>
      <c r="E11" s="1"/>
    </row>
    <row r="12" spans="1:5" ht="17.100000000000001" customHeight="1" x14ac:dyDescent="0.25">
      <c r="A12" s="1"/>
      <c r="B12" s="64" t="s">
        <v>26</v>
      </c>
      <c r="C12" s="9">
        <f>-'Fane 12. Bortfald'!C13</f>
        <v>0</v>
      </c>
      <c r="D12" s="8" t="s">
        <v>3</v>
      </c>
      <c r="E12" s="1"/>
    </row>
    <row r="13" spans="1:5" ht="17.100000000000001" customHeight="1" x14ac:dyDescent="0.25">
      <c r="A13" s="1"/>
      <c r="B13" s="64" t="s">
        <v>25</v>
      </c>
      <c r="C13" s="9">
        <f>-'Fane 12. Bortfald'!E13</f>
        <v>0</v>
      </c>
      <c r="D13" s="8" t="s">
        <v>3</v>
      </c>
      <c r="E13" s="1"/>
    </row>
    <row r="14" spans="1:5" ht="17.100000000000001" customHeight="1" x14ac:dyDescent="0.25">
      <c r="A14" s="1"/>
      <c r="B14" s="64" t="s">
        <v>122</v>
      </c>
      <c r="C14" s="9">
        <f>'Fane 11. Tilknyttet virksomhed'!C12</f>
        <v>0</v>
      </c>
      <c r="D14" s="8" t="s">
        <v>3</v>
      </c>
      <c r="E14" s="1"/>
    </row>
    <row r="15" spans="1:5" ht="17.100000000000001" customHeight="1" x14ac:dyDescent="0.25">
      <c r="A15" s="1"/>
      <c r="B15" s="64" t="s">
        <v>123</v>
      </c>
      <c r="C15" s="9">
        <f>'Fane 11. Tilknyttet virksomhed'!E12</f>
        <v>0</v>
      </c>
      <c r="D15" s="8" t="s">
        <v>3</v>
      </c>
      <c r="E15" s="1"/>
    </row>
    <row r="16" spans="1:5" ht="17.100000000000001" customHeight="1" x14ac:dyDescent="0.25">
      <c r="A16" s="1"/>
      <c r="B16" s="64" t="s">
        <v>17</v>
      </c>
      <c r="C16" s="9">
        <f>SUM(C9:C15)*'Fane 13. Nøgletal'!C15</f>
        <v>2157267.7377994899</v>
      </c>
      <c r="D16" s="8" t="s">
        <v>3</v>
      </c>
      <c r="E16" s="1"/>
    </row>
    <row r="17" spans="1:5" ht="17.100000000000001" customHeight="1" x14ac:dyDescent="0.25">
      <c r="A17" s="1"/>
      <c r="B17" s="64" t="s">
        <v>9</v>
      </c>
      <c r="C17" s="9">
        <f>-SUM(C9,C10:C16)*'Fane 5. Individuelt eff. krav'!G9</f>
        <v>-129708.22397332088</v>
      </c>
      <c r="D17" s="8" t="s">
        <v>3</v>
      </c>
      <c r="E17" s="1"/>
    </row>
    <row r="18" spans="1:5" ht="17.100000000000001" customHeight="1" x14ac:dyDescent="0.25">
      <c r="A18" s="1"/>
      <c r="B18" s="64" t="s">
        <v>23</v>
      </c>
      <c r="C18" s="9">
        <f>-'Fane 4.1. Gen. krav - drift'!G47</f>
        <v>-679568.90638355643</v>
      </c>
      <c r="D18" s="8" t="s">
        <v>3</v>
      </c>
      <c r="E18" s="1"/>
    </row>
    <row r="19" spans="1:5" ht="17.100000000000001" customHeight="1" x14ac:dyDescent="0.25">
      <c r="A19" s="1"/>
      <c r="B19" s="64" t="s">
        <v>24</v>
      </c>
      <c r="C19" s="9">
        <f>-'Fane 4.2. Gen. krav - anlæg'!G47</f>
        <v>0</v>
      </c>
      <c r="D19" s="8" t="s">
        <v>3</v>
      </c>
      <c r="E19" s="1"/>
    </row>
    <row r="20" spans="1:5" ht="17.100000000000001" customHeight="1" x14ac:dyDescent="0.25">
      <c r="A20" s="1"/>
      <c r="B20" s="65" t="s">
        <v>19</v>
      </c>
      <c r="C20" s="10">
        <f>SUM(C9,C10:C19)</f>
        <v>61945398.972596824</v>
      </c>
      <c r="D20" s="11" t="s">
        <v>3</v>
      </c>
      <c r="E20" s="1"/>
    </row>
    <row r="21" spans="1:5" ht="15" customHeight="1" x14ac:dyDescent="0.25">
      <c r="A21" s="1"/>
      <c r="B21" s="71" t="s">
        <v>11</v>
      </c>
      <c r="C21" s="72"/>
      <c r="D21" s="20"/>
      <c r="E21" s="1"/>
    </row>
    <row r="22" spans="1:5" ht="15" customHeight="1" x14ac:dyDescent="0.25">
      <c r="A22" s="1"/>
      <c r="B22" s="67" t="s">
        <v>11</v>
      </c>
      <c r="C22" s="10">
        <f>'Fane 6. Ikke-påvirkelige omk.'!C16</f>
        <v>57539521.173864968</v>
      </c>
      <c r="D22" s="11" t="s">
        <v>3</v>
      </c>
      <c r="E22" s="1"/>
    </row>
    <row r="23" spans="1:5" ht="15" customHeight="1" x14ac:dyDescent="0.25">
      <c r="A23" s="1"/>
      <c r="B23" s="71" t="s">
        <v>84</v>
      </c>
      <c r="C23" s="72"/>
      <c r="D23" s="20"/>
      <c r="E23" s="1"/>
    </row>
    <row r="24" spans="1:5" ht="15" customHeight="1" x14ac:dyDescent="0.25">
      <c r="A24" s="1"/>
      <c r="B24" s="64" t="s">
        <v>80</v>
      </c>
      <c r="C24" s="9">
        <f>'Fane 10.2. Engangstillæg'!C13</f>
        <v>0</v>
      </c>
      <c r="D24" s="8" t="s">
        <v>3</v>
      </c>
      <c r="E24" s="1"/>
    </row>
    <row r="25" spans="1:5" ht="15" customHeight="1" x14ac:dyDescent="0.25">
      <c r="A25" s="1"/>
      <c r="B25" s="64" t="s">
        <v>81</v>
      </c>
      <c r="C25" s="9">
        <f>'Fane 10.2. Engangstillæg'!E13</f>
        <v>0</v>
      </c>
      <c r="D25" s="8" t="s">
        <v>3</v>
      </c>
      <c r="E25" s="1"/>
    </row>
    <row r="26" spans="1:5" ht="15" customHeight="1" x14ac:dyDescent="0.25">
      <c r="A26" s="1"/>
      <c r="B26" s="64" t="s">
        <v>213</v>
      </c>
      <c r="C26" s="9">
        <f>-C24*('Fane 5. Individuelt eff. krav'!G9+'Fane 13. Nøgletal'!C31)</f>
        <v>0</v>
      </c>
      <c r="D26" s="8" t="s">
        <v>3</v>
      </c>
      <c r="E26" s="1"/>
    </row>
    <row r="27" spans="1:5" ht="15" customHeight="1" x14ac:dyDescent="0.25">
      <c r="A27" s="1"/>
      <c r="B27" s="38" t="s">
        <v>214</v>
      </c>
      <c r="C27" s="9">
        <f>-C25*('Fane 5. Individuelt eff. krav'!G9+'Fane 13. Nøgletal'!C26)</f>
        <v>0</v>
      </c>
      <c r="D27" s="8" t="s">
        <v>3</v>
      </c>
      <c r="E27" s="1"/>
    </row>
    <row r="28" spans="1:5" x14ac:dyDescent="0.25">
      <c r="A28" s="1"/>
      <c r="B28" s="65" t="s">
        <v>85</v>
      </c>
      <c r="C28" s="10">
        <f>SUM(C24:C27)</f>
        <v>0</v>
      </c>
      <c r="D28" s="11" t="s">
        <v>3</v>
      </c>
      <c r="E28" s="1"/>
    </row>
    <row r="29" spans="1:5" x14ac:dyDescent="0.25">
      <c r="A29" s="1"/>
      <c r="B29" s="29" t="s">
        <v>142</v>
      </c>
      <c r="C29" s="72"/>
      <c r="D29" s="20"/>
      <c r="E29" s="1"/>
    </row>
    <row r="30" spans="1:5" x14ac:dyDescent="0.25">
      <c r="A30" s="1"/>
      <c r="B30" s="81" t="s">
        <v>143</v>
      </c>
      <c r="C30" s="10">
        <f>'Fane 7. Kontrol af ØR2021'!E33</f>
        <v>-2867751.7687039226</v>
      </c>
      <c r="D30" s="11" t="s">
        <v>3</v>
      </c>
      <c r="E30" s="1"/>
    </row>
    <row r="31" spans="1:5" x14ac:dyDescent="0.25">
      <c r="A31" s="1"/>
      <c r="B31" s="29" t="s">
        <v>161</v>
      </c>
      <c r="C31" s="72"/>
      <c r="D31" s="20"/>
      <c r="E31" s="1"/>
    </row>
    <row r="32" spans="1:5" x14ac:dyDescent="0.25">
      <c r="A32" s="1"/>
      <c r="B32" s="81" t="s">
        <v>162</v>
      </c>
      <c r="C32" s="10">
        <f>'Fane 8. Skattesagen'!G12</f>
        <v>0</v>
      </c>
      <c r="D32" s="11" t="s">
        <v>3</v>
      </c>
      <c r="E32" s="1" t="s">
        <v>197</v>
      </c>
    </row>
    <row r="33" spans="1:5" x14ac:dyDescent="0.25">
      <c r="A33" s="1"/>
      <c r="B33" s="71" t="s">
        <v>89</v>
      </c>
      <c r="C33" s="12">
        <f>SUM(C20,C22,C28,C30,C32)</f>
        <v>116617168.37775786</v>
      </c>
      <c r="D33" s="13" t="s">
        <v>3</v>
      </c>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LbN9f+QhSpHj4wrmzT+WOW/AS4slVAECJRUxmJhYEDlJy4ajfB45rDRDx+PNIlq7wv3y4DnnovLXtuhRmETAww==" saltValue="y+BsMemh8kz8fBWspvyXPw==" spinCount="100000" sheet="1" objects="1" scenarios="1"/>
  <mergeCells count="1">
    <mergeCell ref="B3:D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50.7109375" style="2" customWidth="1"/>
    <col min="3" max="3" width="20.425781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7" t="s">
        <v>174</v>
      </c>
      <c r="C3" s="107"/>
      <c r="D3" s="107"/>
      <c r="E3" s="1"/>
    </row>
    <row r="4" spans="1:5" ht="15" customHeight="1" x14ac:dyDescent="0.25">
      <c r="A4" s="1"/>
      <c r="B4" s="107"/>
      <c r="C4" s="107"/>
      <c r="D4" s="107"/>
      <c r="E4" s="1"/>
    </row>
    <row r="5" spans="1:5" x14ac:dyDescent="0.25">
      <c r="A5" s="1"/>
      <c r="B5" s="108"/>
      <c r="C5" s="108"/>
      <c r="D5" s="108"/>
      <c r="E5" s="1"/>
    </row>
    <row r="6" spans="1:5" x14ac:dyDescent="0.25">
      <c r="A6" s="1"/>
      <c r="B6" s="1"/>
      <c r="C6" s="1"/>
      <c r="D6" s="1"/>
      <c r="E6" s="1"/>
    </row>
    <row r="7" spans="1:5" x14ac:dyDescent="0.25">
      <c r="A7" s="1"/>
      <c r="B7" s="1"/>
      <c r="C7" s="1"/>
      <c r="D7" s="1"/>
      <c r="E7" s="1"/>
    </row>
    <row r="8" spans="1:5" x14ac:dyDescent="0.25">
      <c r="A8" s="1"/>
      <c r="B8" s="71" t="s">
        <v>12</v>
      </c>
      <c r="C8" s="72"/>
      <c r="D8" s="20"/>
      <c r="E8" s="1"/>
    </row>
    <row r="9" spans="1:5" ht="15" customHeight="1" x14ac:dyDescent="0.25">
      <c r="A9" s="1"/>
      <c r="B9" s="70" t="s">
        <v>147</v>
      </c>
      <c r="C9" s="7">
        <f>'Fane 2.1. Økonomisk ramme 2023'!C20</f>
        <v>61945398.972596824</v>
      </c>
      <c r="D9" s="8" t="s">
        <v>3</v>
      </c>
      <c r="E9" s="1"/>
    </row>
    <row r="10" spans="1:5" ht="15" customHeight="1" x14ac:dyDescent="0.25">
      <c r="A10" s="1"/>
      <c r="B10" s="63" t="s">
        <v>17</v>
      </c>
      <c r="C10" s="9">
        <f>SUM(C9:C9)*'Fane 13. Nøgletal'!C15</f>
        <v>2205256.2034244468</v>
      </c>
      <c r="D10" s="8" t="s">
        <v>3</v>
      </c>
      <c r="E10" s="1"/>
    </row>
    <row r="11" spans="1:5" ht="15" customHeight="1" x14ac:dyDescent="0.25">
      <c r="A11" s="1"/>
      <c r="B11" s="63" t="s">
        <v>9</v>
      </c>
      <c r="C11" s="9">
        <f>-SUM(C9:C10)*'Fane 5. Individuelt eff. krav'!G9</f>
        <v>-132593.58610911548</v>
      </c>
      <c r="D11" s="8" t="s">
        <v>3</v>
      </c>
      <c r="E11" s="1"/>
    </row>
    <row r="12" spans="1:5" ht="15" customHeight="1" x14ac:dyDescent="0.25">
      <c r="A12" s="1"/>
      <c r="B12" s="63" t="s">
        <v>23</v>
      </c>
      <c r="C12" s="9">
        <f>-'Fane 4.1. Gen. krav - drift'!G55</f>
        <v>-689686.32826179487</v>
      </c>
      <c r="D12" s="8" t="s">
        <v>3</v>
      </c>
      <c r="E12" s="1"/>
    </row>
    <row r="13" spans="1:5" x14ac:dyDescent="0.25">
      <c r="A13" s="1"/>
      <c r="B13" s="63" t="s">
        <v>24</v>
      </c>
      <c r="C13" s="9">
        <f>-'Fane 4.2. Gen. krav - anlæg'!G53</f>
        <v>0</v>
      </c>
      <c r="D13" s="8" t="s">
        <v>3</v>
      </c>
      <c r="E13" s="1"/>
    </row>
    <row r="14" spans="1:5" ht="15" customHeight="1" x14ac:dyDescent="0.25">
      <c r="A14" s="1"/>
      <c r="B14" s="35" t="s">
        <v>19</v>
      </c>
      <c r="C14" s="10">
        <f>SUM(C9:C13)</f>
        <v>63328375.261650361</v>
      </c>
      <c r="D14" s="11" t="s">
        <v>3</v>
      </c>
      <c r="E14" s="1"/>
    </row>
    <row r="15" spans="1:5" ht="15" customHeight="1" x14ac:dyDescent="0.25">
      <c r="A15" s="1"/>
      <c r="B15" s="71" t="s">
        <v>11</v>
      </c>
      <c r="C15" s="72"/>
      <c r="D15" s="20"/>
      <c r="E15" s="1"/>
    </row>
    <row r="16" spans="1:5" ht="15" customHeight="1" x14ac:dyDescent="0.25">
      <c r="A16" s="1"/>
      <c r="B16" s="67" t="s">
        <v>11</v>
      </c>
      <c r="C16" s="10">
        <f>'Fane 6. Ikke-påvirkelige omk.'!C16*(1+'Fane 13. Nøgletal'!C15)</f>
        <v>59587928.127654567</v>
      </c>
      <c r="D16" s="11" t="s">
        <v>3</v>
      </c>
      <c r="E16" s="1"/>
    </row>
    <row r="17" spans="1:5" ht="15" customHeight="1" x14ac:dyDescent="0.25">
      <c r="A17" s="1"/>
      <c r="B17" s="29" t="s">
        <v>142</v>
      </c>
      <c r="C17" s="72"/>
      <c r="D17" s="20"/>
      <c r="E17" s="1"/>
    </row>
    <row r="18" spans="1:5" ht="15" customHeight="1" x14ac:dyDescent="0.25">
      <c r="A18" s="1"/>
      <c r="B18" s="81" t="s">
        <v>143</v>
      </c>
      <c r="C18" s="10">
        <f>'Fane 7. Kontrol af ØR2021'!E33</f>
        <v>-2867751.7687039226</v>
      </c>
      <c r="D18" s="11" t="s">
        <v>3</v>
      </c>
      <c r="E18" s="1"/>
    </row>
    <row r="19" spans="1:5" x14ac:dyDescent="0.25">
      <c r="A19" s="1"/>
      <c r="B19" s="29" t="s">
        <v>161</v>
      </c>
      <c r="C19" s="72"/>
      <c r="D19" s="20"/>
      <c r="E19" s="1"/>
    </row>
    <row r="20" spans="1:5" x14ac:dyDescent="0.25">
      <c r="A20" s="1"/>
      <c r="B20" s="81" t="s">
        <v>162</v>
      </c>
      <c r="C20" s="10">
        <f>'Fane 8. Skattesagen'!G13</f>
        <v>0</v>
      </c>
      <c r="D20" s="11" t="s">
        <v>3</v>
      </c>
      <c r="E20" s="1"/>
    </row>
    <row r="21" spans="1:5" x14ac:dyDescent="0.25">
      <c r="A21" s="1"/>
      <c r="B21" s="71" t="s">
        <v>126</v>
      </c>
      <c r="C21" s="12">
        <f>SUM(C14,C16,C18,C20)</f>
        <v>120048551.62060101</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RQRyAcqWzPVONAkFfnBPUsSYYvoNr/LPQGSZQ6Bgufzegw2XzJbKDCObfLeWm/11P80k/R6ZOScyYn317tUWOA==" saltValue="5rRtwp1jkbMKenxHYgQeD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2.85546875" style="2" customWidth="1"/>
    <col min="3" max="3" width="15.140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7" t="s">
        <v>175</v>
      </c>
      <c r="C3" s="107"/>
      <c r="D3" s="107"/>
      <c r="E3" s="1"/>
    </row>
    <row r="4" spans="1:5" ht="15" customHeight="1" x14ac:dyDescent="0.25">
      <c r="A4" s="1"/>
      <c r="B4" s="107"/>
      <c r="C4" s="107"/>
      <c r="D4" s="107"/>
      <c r="E4" s="1"/>
    </row>
    <row r="5" spans="1:5" x14ac:dyDescent="0.25">
      <c r="A5" s="1"/>
      <c r="B5" s="108" t="s">
        <v>20</v>
      </c>
      <c r="C5" s="108"/>
      <c r="D5" s="108"/>
      <c r="E5" s="1"/>
    </row>
    <row r="6" spans="1:5" x14ac:dyDescent="0.25">
      <c r="A6" s="1"/>
      <c r="B6" s="1"/>
      <c r="C6" s="1"/>
      <c r="D6" s="1"/>
      <c r="E6" s="1"/>
    </row>
    <row r="7" spans="1:5" x14ac:dyDescent="0.25">
      <c r="A7" s="1"/>
      <c r="B7" s="71" t="s">
        <v>12</v>
      </c>
      <c r="C7" s="72"/>
      <c r="D7" s="20"/>
      <c r="E7" s="1"/>
    </row>
    <row r="8" spans="1:5" ht="15" customHeight="1" x14ac:dyDescent="0.25">
      <c r="A8" s="1"/>
      <c r="B8" s="70" t="s">
        <v>125</v>
      </c>
      <c r="C8" s="7">
        <f>'Fane 2.2. Økonomisk ramme 2024'!C14</f>
        <v>63328375.261650361</v>
      </c>
      <c r="D8" s="8" t="s">
        <v>3</v>
      </c>
      <c r="E8" s="1"/>
    </row>
    <row r="9" spans="1:5" ht="15" customHeight="1" x14ac:dyDescent="0.25">
      <c r="A9" s="1"/>
      <c r="B9" s="63" t="s">
        <v>17</v>
      </c>
      <c r="C9" s="9">
        <f>SUM(C8:C8)*'Fane 13. Nøgletal'!C15</f>
        <v>2254490.159314753</v>
      </c>
      <c r="D9" s="8" t="s">
        <v>3</v>
      </c>
      <c r="E9" s="1"/>
    </row>
    <row r="10" spans="1:5" ht="15" customHeight="1" x14ac:dyDescent="0.25">
      <c r="A10" s="1"/>
      <c r="B10" s="63" t="s">
        <v>9</v>
      </c>
      <c r="C10" s="9">
        <f>-SUM(C8,C9:C9)*'Fane 5. Individuelt eff. krav'!G9</f>
        <v>-135553.83479119444</v>
      </c>
      <c r="D10" s="8" t="s">
        <v>3</v>
      </c>
      <c r="E10" s="1"/>
    </row>
    <row r="11" spans="1:5" ht="15" customHeight="1" x14ac:dyDescent="0.25">
      <c r="A11" s="1"/>
      <c r="B11" s="63" t="s">
        <v>23</v>
      </c>
      <c r="C11" s="9">
        <f>-'Fane 4.1. Gen. krav - drift'!G60</f>
        <v>-699954.37831695657</v>
      </c>
      <c r="D11" s="8" t="s">
        <v>3</v>
      </c>
      <c r="E11" s="1"/>
    </row>
    <row r="12" spans="1:5" ht="15" customHeight="1" x14ac:dyDescent="0.25">
      <c r="A12" s="1"/>
      <c r="B12" s="63" t="s">
        <v>24</v>
      </c>
      <c r="C12" s="9">
        <f>-'Fane 4.2. Gen. krav - anlæg'!G58</f>
        <v>0</v>
      </c>
      <c r="D12" s="8" t="s">
        <v>3</v>
      </c>
      <c r="E12" s="1"/>
    </row>
    <row r="13" spans="1:5" ht="17.25" customHeight="1" x14ac:dyDescent="0.25">
      <c r="A13" s="1"/>
      <c r="B13" s="35" t="s">
        <v>19</v>
      </c>
      <c r="C13" s="10">
        <f>SUM(C8,C9:C12)</f>
        <v>64747357.207856968</v>
      </c>
      <c r="D13" s="11" t="s">
        <v>3</v>
      </c>
      <c r="E13" s="1"/>
    </row>
    <row r="14" spans="1:5" x14ac:dyDescent="0.25">
      <c r="A14" s="1"/>
      <c r="B14" s="71" t="s">
        <v>11</v>
      </c>
      <c r="C14" s="72"/>
      <c r="D14" s="20"/>
      <c r="E14" s="1"/>
    </row>
    <row r="15" spans="1:5" ht="15" customHeight="1" x14ac:dyDescent="0.25">
      <c r="A15" s="1"/>
      <c r="B15" s="67" t="s">
        <v>11</v>
      </c>
      <c r="C15" s="10">
        <f>'Fane 6. Ikke-påvirkelige omk.'!C16*(1+'Fane 13. Nøgletal'!C15)^2</f>
        <v>61709258.368999071</v>
      </c>
      <c r="D15" s="11" t="s">
        <v>3</v>
      </c>
      <c r="E15" s="1"/>
    </row>
    <row r="16" spans="1:5" ht="15" customHeight="1" x14ac:dyDescent="0.25">
      <c r="A16" s="1"/>
      <c r="B16" s="29" t="s">
        <v>142</v>
      </c>
      <c r="C16" s="72"/>
      <c r="D16" s="20"/>
      <c r="E16" s="1"/>
    </row>
    <row r="17" spans="1:5" ht="15" customHeight="1" x14ac:dyDescent="0.25">
      <c r="A17" s="1"/>
      <c r="B17" s="81" t="s">
        <v>143</v>
      </c>
      <c r="C17" s="10">
        <v>0</v>
      </c>
      <c r="D17" s="11" t="s">
        <v>3</v>
      </c>
      <c r="E17" s="1"/>
    </row>
    <row r="18" spans="1:5" x14ac:dyDescent="0.25">
      <c r="A18" s="1"/>
      <c r="B18" s="29" t="s">
        <v>161</v>
      </c>
      <c r="C18" s="72"/>
      <c r="D18" s="20"/>
      <c r="E18" s="1"/>
    </row>
    <row r="19" spans="1:5" x14ac:dyDescent="0.25">
      <c r="A19" s="1"/>
      <c r="B19" s="81" t="s">
        <v>162</v>
      </c>
      <c r="C19" s="10">
        <f>'Fane 8. Skattesagen'!G14</f>
        <v>0</v>
      </c>
      <c r="D19" s="11" t="s">
        <v>3</v>
      </c>
      <c r="E19" s="1"/>
    </row>
    <row r="20" spans="1:5" x14ac:dyDescent="0.25">
      <c r="A20" s="1"/>
      <c r="B20" s="71" t="s">
        <v>148</v>
      </c>
      <c r="C20" s="12">
        <f>SUM(C13,C15,C17,C19)</f>
        <v>126456615.57685605</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oKCgws6cOi7uMtdk6U/rC0urRB+FX5PmE/Vg5ApR1PdxfnbowsN4Qr4ufA28VpFRQ8poG24zS+oDiWlcgP+wug==" saltValue="C/knw/HP91MsgAZGVOq6S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F50"/>
  <sheetViews>
    <sheetView showGridLines="0" view="pageLayout" zoomScaleNormal="100" workbookViewId="0"/>
  </sheetViews>
  <sheetFormatPr defaultColWidth="9.140625" defaultRowHeight="15" x14ac:dyDescent="0.25"/>
  <cols>
    <col min="1" max="1" width="5.140625" style="2" customWidth="1"/>
    <col min="2" max="2" width="53" style="2" customWidth="1"/>
    <col min="3" max="3" width="10.85546875" style="2" bestFit="1"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7" t="s">
        <v>176</v>
      </c>
      <c r="C3" s="107"/>
      <c r="D3" s="107"/>
      <c r="E3" s="1"/>
      <c r="F3" s="1"/>
    </row>
    <row r="4" spans="1:6" ht="15" customHeight="1" x14ac:dyDescent="0.25">
      <c r="A4" s="1"/>
      <c r="B4" s="107"/>
      <c r="C4" s="107"/>
      <c r="D4" s="107"/>
      <c r="E4" s="1"/>
      <c r="F4" s="1"/>
    </row>
    <row r="5" spans="1:6" x14ac:dyDescent="0.25">
      <c r="A5" s="1"/>
      <c r="B5" s="108" t="s">
        <v>20</v>
      </c>
      <c r="C5" s="108"/>
      <c r="D5" s="108"/>
      <c r="E5" s="1"/>
      <c r="F5" s="1"/>
    </row>
    <row r="6" spans="1:6" x14ac:dyDescent="0.25">
      <c r="A6" s="1"/>
      <c r="B6" s="1"/>
      <c r="C6" s="1"/>
      <c r="D6" s="1"/>
      <c r="E6" s="1"/>
      <c r="F6" s="1"/>
    </row>
    <row r="7" spans="1:6" x14ac:dyDescent="0.25">
      <c r="A7" s="1"/>
      <c r="B7" s="71" t="s">
        <v>12</v>
      </c>
      <c r="C7" s="72"/>
      <c r="D7" s="20"/>
      <c r="E7" s="1"/>
      <c r="F7" s="1"/>
    </row>
    <row r="8" spans="1:6" ht="15" customHeight="1" x14ac:dyDescent="0.25">
      <c r="A8" s="1"/>
      <c r="B8" s="70" t="s">
        <v>177</v>
      </c>
      <c r="C8" s="7">
        <f>'Fane 2.3. Økonomisk ramme 2025'!C13</f>
        <v>64747357.207856968</v>
      </c>
      <c r="D8" s="8" t="s">
        <v>3</v>
      </c>
      <c r="E8" s="1"/>
      <c r="F8" s="1"/>
    </row>
    <row r="9" spans="1:6" ht="15" customHeight="1" x14ac:dyDescent="0.25">
      <c r="A9" s="1"/>
      <c r="B9" s="63" t="s">
        <v>17</v>
      </c>
      <c r="C9" s="9">
        <f>SUM(C8:C8)*'Fane 13. Nøgletal'!C15</f>
        <v>2305005.9165997081</v>
      </c>
      <c r="D9" s="8" t="s">
        <v>3</v>
      </c>
      <c r="E9" s="1"/>
      <c r="F9" s="1"/>
    </row>
    <row r="10" spans="1:6" ht="15" customHeight="1" x14ac:dyDescent="0.25">
      <c r="A10" s="1"/>
      <c r="B10" s="63" t="s">
        <v>9</v>
      </c>
      <c r="C10" s="9">
        <f>-SUM(C8:C9)*'Fane 5. Individuelt eff. krav'!G9</f>
        <v>-138591.1532683078</v>
      </c>
      <c r="D10" s="8" t="s">
        <v>3</v>
      </c>
      <c r="E10" s="1"/>
      <c r="F10" s="1"/>
    </row>
    <row r="11" spans="1:6" ht="15" customHeight="1" x14ac:dyDescent="0.25">
      <c r="A11" s="1"/>
      <c r="B11" s="63" t="s">
        <v>23</v>
      </c>
      <c r="C11" s="9">
        <f>-'Fane 4.1. Gen. krav - drift'!G65</f>
        <v>-710375.29910133954</v>
      </c>
      <c r="D11" s="8" t="s">
        <v>3</v>
      </c>
      <c r="E11" s="1"/>
      <c r="F11" s="1"/>
    </row>
    <row r="12" spans="1:6" x14ac:dyDescent="0.25">
      <c r="A12" s="1"/>
      <c r="B12" s="63" t="s">
        <v>24</v>
      </c>
      <c r="C12" s="9">
        <f>-'Fane 4.2. Gen. krav - anlæg'!G63</f>
        <v>0</v>
      </c>
      <c r="D12" s="8" t="s">
        <v>3</v>
      </c>
      <c r="E12" s="1"/>
      <c r="F12" s="1"/>
    </row>
    <row r="13" spans="1:6" ht="16.5" customHeight="1" x14ac:dyDescent="0.25">
      <c r="A13" s="1"/>
      <c r="B13" s="35" t="s">
        <v>19</v>
      </c>
      <c r="C13" s="10">
        <f>SUM(C8:C12)</f>
        <v>66203396.672087029</v>
      </c>
      <c r="D13" s="11" t="s">
        <v>3</v>
      </c>
      <c r="E13" s="1"/>
      <c r="F13" s="1"/>
    </row>
    <row r="14" spans="1:6" x14ac:dyDescent="0.25">
      <c r="A14" s="1"/>
      <c r="B14" s="71" t="s">
        <v>11</v>
      </c>
      <c r="C14" s="72"/>
      <c r="D14" s="20"/>
      <c r="E14" s="1"/>
      <c r="F14" s="1"/>
    </row>
    <row r="15" spans="1:6" ht="15" customHeight="1" x14ac:dyDescent="0.25">
      <c r="A15" s="1"/>
      <c r="B15" s="67" t="s">
        <v>11</v>
      </c>
      <c r="C15" s="10">
        <f>'Fane 6. Ikke-påvirkelige omk.'!C16*(1+'Fane 13. Nøgletal'!C15)^3</f>
        <v>63906107.966935441</v>
      </c>
      <c r="D15" s="11" t="s">
        <v>3</v>
      </c>
      <c r="E15" s="1"/>
      <c r="F15" s="1"/>
    </row>
    <row r="16" spans="1:6" ht="15" customHeight="1" x14ac:dyDescent="0.25">
      <c r="A16" s="1"/>
      <c r="B16" s="29" t="s">
        <v>142</v>
      </c>
      <c r="C16" s="72"/>
      <c r="D16" s="20"/>
      <c r="E16" s="1"/>
      <c r="F16" s="1"/>
    </row>
    <row r="17" spans="1:6" ht="15" customHeight="1" x14ac:dyDescent="0.25">
      <c r="A17" s="1"/>
      <c r="B17" s="81" t="s">
        <v>143</v>
      </c>
      <c r="C17" s="10">
        <v>0</v>
      </c>
      <c r="D17" s="11" t="s">
        <v>3</v>
      </c>
      <c r="E17" s="1"/>
      <c r="F17" s="1"/>
    </row>
    <row r="18" spans="1:6" x14ac:dyDescent="0.25">
      <c r="A18" s="1"/>
      <c r="B18" s="29" t="s">
        <v>161</v>
      </c>
      <c r="C18" s="72"/>
      <c r="D18" s="20"/>
      <c r="E18" s="1"/>
      <c r="F18" s="1"/>
    </row>
    <row r="19" spans="1:6" x14ac:dyDescent="0.25">
      <c r="A19" s="1"/>
      <c r="B19" s="81" t="s">
        <v>162</v>
      </c>
      <c r="C19" s="10">
        <f>'Fane 8. Skattesagen'!G15</f>
        <v>0</v>
      </c>
      <c r="D19" s="11" t="s">
        <v>3</v>
      </c>
      <c r="E19" s="1"/>
      <c r="F19" s="1"/>
    </row>
    <row r="20" spans="1:6" x14ac:dyDescent="0.25">
      <c r="A20" s="1"/>
      <c r="B20" s="71" t="s">
        <v>178</v>
      </c>
      <c r="C20" s="12">
        <f>SUM(C13,C15,C17,C19)</f>
        <v>130109504.63902247</v>
      </c>
      <c r="D20" s="13" t="s">
        <v>3</v>
      </c>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JXmsh47uwiy/dIltKzOz4/G+WesAe4URFgnvjKsRAV3cam4/6ibVkDqIM/8ITHfdV1ViV30YQVCD9VZ3qSJb6w==" saltValue="RdGeN9MrmE6476M9KVZ/T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140625" defaultRowHeight="15" x14ac:dyDescent="0.25"/>
  <cols>
    <col min="1" max="1" width="7.85546875" style="2" customWidth="1"/>
    <col min="2" max="3" width="9.140625" style="2"/>
    <col min="4" max="4" width="32.42578125" style="2" customWidth="1"/>
    <col min="5" max="5" width="12.7109375" style="2" bestFit="1"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6" t="s">
        <v>179</v>
      </c>
      <c r="C3" s="126"/>
      <c r="D3" s="126"/>
      <c r="E3" s="126"/>
      <c r="F3" s="126"/>
      <c r="G3" s="1"/>
    </row>
    <row r="4" spans="1:7" ht="29.25" customHeight="1" x14ac:dyDescent="0.25">
      <c r="A4" s="1"/>
      <c r="B4" s="126"/>
      <c r="C4" s="126"/>
      <c r="D4" s="126"/>
      <c r="E4" s="126"/>
      <c r="F4" s="12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1" t="s">
        <v>180</v>
      </c>
      <c r="C8" s="72"/>
      <c r="D8" s="72"/>
      <c r="E8" s="72"/>
      <c r="F8" s="20"/>
      <c r="G8" s="1"/>
    </row>
    <row r="9" spans="1:7" x14ac:dyDescent="0.25">
      <c r="A9" s="1"/>
      <c r="B9" s="127" t="s">
        <v>22</v>
      </c>
      <c r="C9" s="128"/>
      <c r="D9" s="129"/>
      <c r="E9" s="7">
        <v>56715348.767392091</v>
      </c>
      <c r="F9" s="8" t="s">
        <v>3</v>
      </c>
      <c r="G9" s="1"/>
    </row>
    <row r="10" spans="1:7" x14ac:dyDescent="0.25">
      <c r="A10" s="1"/>
      <c r="B10" s="118" t="s">
        <v>203</v>
      </c>
      <c r="C10" s="119"/>
      <c r="D10" s="120"/>
      <c r="E10" s="36">
        <v>-8429659.173731178</v>
      </c>
      <c r="F10" s="8" t="s">
        <v>3</v>
      </c>
      <c r="G10" s="1"/>
    </row>
    <row r="11" spans="1:7" x14ac:dyDescent="0.25">
      <c r="A11" s="1"/>
      <c r="B11" s="118" t="s">
        <v>204</v>
      </c>
      <c r="C11" s="119"/>
      <c r="D11" s="120"/>
      <c r="E11" s="36">
        <v>0</v>
      </c>
      <c r="F11" s="8" t="s">
        <v>3</v>
      </c>
      <c r="G11" s="1"/>
    </row>
    <row r="12" spans="1:7" x14ac:dyDescent="0.25">
      <c r="A12" s="1"/>
      <c r="B12" s="118" t="s">
        <v>145</v>
      </c>
      <c r="C12" s="119"/>
      <c r="D12" s="120"/>
      <c r="E12" s="7">
        <v>2017609.0934965559</v>
      </c>
      <c r="F12" s="8" t="s">
        <v>3</v>
      </c>
      <c r="G12" s="1"/>
    </row>
    <row r="13" spans="1:7" x14ac:dyDescent="0.25">
      <c r="A13" s="1"/>
      <c r="B13" s="118" t="s">
        <v>146</v>
      </c>
      <c r="C13" s="119"/>
      <c r="D13" s="120"/>
      <c r="E13" s="7">
        <v>2558741.5862215324</v>
      </c>
      <c r="F13" s="8" t="s">
        <v>3</v>
      </c>
      <c r="G13" s="1"/>
    </row>
    <row r="14" spans="1:7" s="33" customFormat="1" x14ac:dyDescent="0.25">
      <c r="A14" s="32"/>
      <c r="B14" s="118" t="s">
        <v>35</v>
      </c>
      <c r="C14" s="119"/>
      <c r="D14" s="120"/>
      <c r="E14" s="36">
        <v>441234.28390000004</v>
      </c>
      <c r="F14" s="8" t="s">
        <v>3</v>
      </c>
      <c r="G14" s="1"/>
    </row>
    <row r="15" spans="1:7" s="33" customFormat="1" x14ac:dyDescent="0.25">
      <c r="A15" s="32"/>
      <c r="B15" s="118" t="s">
        <v>36</v>
      </c>
      <c r="C15" s="119"/>
      <c r="D15" s="120"/>
      <c r="E15" s="36">
        <v>634139.77820000006</v>
      </c>
      <c r="F15" s="8" t="s">
        <v>3</v>
      </c>
      <c r="G15" s="32"/>
    </row>
    <row r="16" spans="1:7" x14ac:dyDescent="0.25">
      <c r="A16" s="1"/>
      <c r="B16" s="112" t="s">
        <v>26</v>
      </c>
      <c r="C16" s="113"/>
      <c r="D16" s="114"/>
      <c r="E16" s="9">
        <v>0</v>
      </c>
      <c r="F16" s="8" t="s">
        <v>3</v>
      </c>
      <c r="G16" s="1"/>
    </row>
    <row r="17" spans="1:7" x14ac:dyDescent="0.25">
      <c r="A17" s="1"/>
      <c r="B17" s="112" t="s">
        <v>25</v>
      </c>
      <c r="C17" s="113"/>
      <c r="D17" s="114"/>
      <c r="E17" s="9">
        <v>0</v>
      </c>
      <c r="F17" s="8" t="s">
        <v>3</v>
      </c>
      <c r="G17" s="1"/>
    </row>
    <row r="18" spans="1:7" x14ac:dyDescent="0.25">
      <c r="A18" s="1"/>
      <c r="B18" s="112" t="s">
        <v>122</v>
      </c>
      <c r="C18" s="113"/>
      <c r="D18" s="114"/>
      <c r="E18" s="9">
        <v>0</v>
      </c>
      <c r="F18" s="8" t="s">
        <v>3</v>
      </c>
      <c r="G18" s="1"/>
    </row>
    <row r="19" spans="1:7" x14ac:dyDescent="0.25">
      <c r="A19" s="1"/>
      <c r="B19" s="112" t="s">
        <v>123</v>
      </c>
      <c r="C19" s="113"/>
      <c r="D19" s="114"/>
      <c r="E19" s="9">
        <v>0</v>
      </c>
      <c r="F19" s="8" t="s">
        <v>3</v>
      </c>
      <c r="G19" s="1"/>
    </row>
    <row r="20" spans="1:7" x14ac:dyDescent="0.25">
      <c r="A20" s="1"/>
      <c r="B20" s="112" t="s">
        <v>17</v>
      </c>
      <c r="C20" s="113"/>
      <c r="D20" s="114"/>
      <c r="E20" s="9">
        <v>916926.23469273408</v>
      </c>
      <c r="F20" s="8" t="s">
        <v>3</v>
      </c>
      <c r="G20" s="1"/>
    </row>
    <row r="21" spans="1:7" x14ac:dyDescent="0.25">
      <c r="A21" s="1"/>
      <c r="B21" s="112" t="s">
        <v>9</v>
      </c>
      <c r="C21" s="113"/>
      <c r="D21" s="114"/>
      <c r="E21" s="9">
        <v>0</v>
      </c>
      <c r="F21" s="8" t="s">
        <v>3</v>
      </c>
      <c r="G21" s="1"/>
    </row>
    <row r="22" spans="1:7" x14ac:dyDescent="0.25">
      <c r="A22" s="1"/>
      <c r="B22" s="112" t="s">
        <v>23</v>
      </c>
      <c r="C22" s="113"/>
      <c r="D22" s="114"/>
      <c r="E22" s="9">
        <f>-('Fane 4.1. Gen. krav - drift'!G41)</f>
        <v>-645892.29265177599</v>
      </c>
      <c r="F22" s="8" t="s">
        <v>3</v>
      </c>
      <c r="G22" s="1"/>
    </row>
    <row r="23" spans="1:7" x14ac:dyDescent="0.25">
      <c r="A23" s="1"/>
      <c r="B23" s="112" t="s">
        <v>24</v>
      </c>
      <c r="C23" s="113"/>
      <c r="D23" s="114"/>
      <c r="E23" s="9">
        <f>-('Fane 4.2. Gen. krav - anlæg'!G41)</f>
        <v>-282365.13277884724</v>
      </c>
      <c r="F23" s="8" t="s">
        <v>3</v>
      </c>
      <c r="G23" s="1"/>
    </row>
    <row r="24" spans="1:7" x14ac:dyDescent="0.25">
      <c r="A24" s="1"/>
      <c r="B24" s="115" t="s">
        <v>19</v>
      </c>
      <c r="C24" s="116"/>
      <c r="D24" s="117"/>
      <c r="E24" s="40">
        <f>SUM(E9,E14:E23)</f>
        <v>57779391.638754211</v>
      </c>
      <c r="F24" s="42" t="s">
        <v>3</v>
      </c>
      <c r="G24" s="1"/>
    </row>
    <row r="25" spans="1:7" x14ac:dyDescent="0.25">
      <c r="A25" s="1"/>
      <c r="B25" s="130" t="s">
        <v>11</v>
      </c>
      <c r="C25" s="131"/>
      <c r="D25" s="131"/>
      <c r="E25" s="72"/>
      <c r="F25" s="20"/>
      <c r="G25" s="1"/>
    </row>
    <row r="26" spans="1:7" x14ac:dyDescent="0.25">
      <c r="A26" s="1"/>
      <c r="B26" s="123" t="s">
        <v>11</v>
      </c>
      <c r="C26" s="124"/>
      <c r="D26" s="125"/>
      <c r="E26" s="10">
        <v>53089477.719864465</v>
      </c>
      <c r="F26" s="11" t="s">
        <v>3</v>
      </c>
      <c r="G26" s="1"/>
    </row>
    <row r="27" spans="1:7" x14ac:dyDescent="0.25">
      <c r="A27" s="1"/>
      <c r="B27" s="71" t="s">
        <v>84</v>
      </c>
      <c r="C27" s="72"/>
      <c r="D27" s="72"/>
      <c r="E27" s="72"/>
      <c r="F27" s="20"/>
      <c r="G27" s="1"/>
    </row>
    <row r="28" spans="1:7" ht="15" customHeight="1" x14ac:dyDescent="0.25">
      <c r="A28" s="1"/>
      <c r="B28" s="118" t="s">
        <v>80</v>
      </c>
      <c r="C28" s="119"/>
      <c r="D28" s="120"/>
      <c r="E28" s="9">
        <v>0</v>
      </c>
      <c r="F28" s="8" t="s">
        <v>3</v>
      </c>
      <c r="G28" s="1"/>
    </row>
    <row r="29" spans="1:7" x14ac:dyDescent="0.25">
      <c r="A29" s="1"/>
      <c r="B29" s="118" t="s">
        <v>81</v>
      </c>
      <c r="C29" s="119"/>
      <c r="D29" s="120"/>
      <c r="E29" s="9">
        <v>0</v>
      </c>
      <c r="F29" s="8" t="s">
        <v>3</v>
      </c>
      <c r="G29" s="1"/>
    </row>
    <row r="30" spans="1:7" x14ac:dyDescent="0.25">
      <c r="A30" s="1"/>
      <c r="B30" s="121" t="s">
        <v>85</v>
      </c>
      <c r="C30" s="122"/>
      <c r="D30" s="122"/>
      <c r="E30" s="10">
        <v>0</v>
      </c>
      <c r="F30" s="10" t="s">
        <v>3</v>
      </c>
      <c r="G30" s="1"/>
    </row>
    <row r="31" spans="1:7" x14ac:dyDescent="0.25">
      <c r="A31" s="1"/>
      <c r="B31" s="71" t="s">
        <v>142</v>
      </c>
      <c r="C31" s="72"/>
      <c r="D31" s="72"/>
      <c r="E31" s="72"/>
      <c r="F31" s="20"/>
      <c r="G31" s="1"/>
    </row>
    <row r="32" spans="1:7" x14ac:dyDescent="0.25">
      <c r="A32" s="1"/>
      <c r="B32" s="121" t="s">
        <v>143</v>
      </c>
      <c r="C32" s="122"/>
      <c r="D32" s="122"/>
      <c r="E32" s="10">
        <v>1396182.592852656</v>
      </c>
      <c r="F32" s="10" t="s">
        <v>3</v>
      </c>
      <c r="G32" s="1"/>
    </row>
    <row r="33" spans="1:7" x14ac:dyDescent="0.25">
      <c r="A33" s="1"/>
      <c r="B33" s="71" t="s">
        <v>206</v>
      </c>
      <c r="C33" s="72"/>
      <c r="D33" s="72"/>
      <c r="E33" s="72"/>
      <c r="F33" s="20"/>
      <c r="G33" s="1"/>
    </row>
    <row r="34" spans="1:7" ht="15.6" customHeight="1" x14ac:dyDescent="0.25">
      <c r="A34" s="1"/>
      <c r="B34" s="123" t="s">
        <v>205</v>
      </c>
      <c r="C34" s="124"/>
      <c r="D34" s="125"/>
      <c r="E34" s="10">
        <f>'Fane 8. Skattesagen'!G11</f>
        <v>-6206202</v>
      </c>
      <c r="F34" s="11" t="s">
        <v>3</v>
      </c>
      <c r="G34" s="1"/>
    </row>
    <row r="35" spans="1:7" ht="15.6" customHeight="1" x14ac:dyDescent="0.25">
      <c r="A35" s="1"/>
      <c r="B35" s="44" t="s">
        <v>27</v>
      </c>
      <c r="C35" s="45"/>
      <c r="D35" s="72"/>
      <c r="E35" s="41">
        <f>SUM(E24,E26,E30,E32,E34)</f>
        <v>106058849.95147133</v>
      </c>
      <c r="F35" s="43" t="s">
        <v>3</v>
      </c>
      <c r="G35" s="1"/>
    </row>
    <row r="36" spans="1:7" ht="27.75" customHeight="1" x14ac:dyDescent="0.25">
      <c r="A36" s="1"/>
      <c r="B36" s="109" t="s">
        <v>181</v>
      </c>
      <c r="C36" s="110"/>
      <c r="D36" s="110"/>
      <c r="E36" s="110"/>
      <c r="F36" s="11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wUVVs41x+uQS9i+QtjmgVhwtIq6q1PQKjFbQZSJNm1pOahHTmFgUK/qqQ0MM50ViWCHnBaxmjRHANiqmEDIeXw==" saltValue="fF1YGWRJffREtX+t4Bu4xw==" spinCount="100000" sheet="1" objects="1" scenarios="1"/>
  <mergeCells count="25">
    <mergeCell ref="B17:D17"/>
    <mergeCell ref="B18:D18"/>
    <mergeCell ref="B19:D19"/>
    <mergeCell ref="B25:D25"/>
    <mergeCell ref="B26:D26"/>
    <mergeCell ref="B3:F4"/>
    <mergeCell ref="B9:D9"/>
    <mergeCell ref="B16:D16"/>
    <mergeCell ref="B14:D14"/>
    <mergeCell ref="B15:D15"/>
    <mergeCell ref="B10:D10"/>
    <mergeCell ref="B11:D11"/>
    <mergeCell ref="B12:D12"/>
    <mergeCell ref="B13:D13"/>
    <mergeCell ref="B36:F36"/>
    <mergeCell ref="B20:D20"/>
    <mergeCell ref="B21:D21"/>
    <mergeCell ref="B22:D22"/>
    <mergeCell ref="B23:D23"/>
    <mergeCell ref="B24:D24"/>
    <mergeCell ref="B29:D29"/>
    <mergeCell ref="B30:D30"/>
    <mergeCell ref="B32:D32"/>
    <mergeCell ref="B28:D28"/>
    <mergeCell ref="B34:D3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9"/>
  <sheetViews>
    <sheetView showGridLines="0" view="pageLayout" zoomScaleNormal="100" workbookViewId="0"/>
  </sheetViews>
  <sheetFormatPr defaultColWidth="9.140625" defaultRowHeight="15" x14ac:dyDescent="0.25"/>
  <cols>
    <col min="1" max="1" width="7.42578125" style="2" customWidth="1"/>
    <col min="2" max="5" width="9.140625" style="2"/>
    <col min="6" max="6" width="18.28515625" style="2" customWidth="1"/>
    <col min="7" max="7" width="11.7109375" style="2" bestFit="1" customWidth="1"/>
    <col min="8" max="8" width="5.42578125" style="2" customWidth="1"/>
    <col min="9" max="9" width="7.42578125" style="2" customWidth="1"/>
    <col min="10" max="16384" width="9.140625" style="2"/>
  </cols>
  <sheetData>
    <row r="1" spans="1:9" x14ac:dyDescent="0.25">
      <c r="A1" s="1"/>
      <c r="B1" s="1"/>
      <c r="C1" s="1"/>
      <c r="D1" s="1"/>
      <c r="E1" s="1"/>
      <c r="F1" s="1"/>
      <c r="G1" s="1"/>
      <c r="H1" s="1"/>
      <c r="I1" s="1"/>
    </row>
    <row r="2" spans="1:9" ht="15" customHeight="1" x14ac:dyDescent="0.25">
      <c r="A2" s="1"/>
      <c r="B2" s="126" t="s">
        <v>101</v>
      </c>
      <c r="C2" s="126"/>
      <c r="D2" s="126"/>
      <c r="E2" s="126"/>
      <c r="F2" s="126"/>
      <c r="G2" s="126"/>
      <c r="H2" s="126"/>
      <c r="I2" s="1"/>
    </row>
    <row r="3" spans="1:9" ht="15" customHeight="1" x14ac:dyDescent="0.25">
      <c r="A3" s="1"/>
      <c r="B3" s="126"/>
      <c r="C3" s="126"/>
      <c r="D3" s="126"/>
      <c r="E3" s="126"/>
      <c r="F3" s="126"/>
      <c r="G3" s="126"/>
      <c r="H3" s="126"/>
      <c r="I3" s="1"/>
    </row>
    <row r="4" spans="1:9" ht="15" customHeight="1" x14ac:dyDescent="0.25">
      <c r="A4" s="1"/>
      <c r="B4" s="126"/>
      <c r="C4" s="126"/>
      <c r="D4" s="126"/>
      <c r="E4" s="126"/>
      <c r="F4" s="126"/>
      <c r="G4" s="126"/>
      <c r="H4" s="126"/>
      <c r="I4" s="1"/>
    </row>
    <row r="5" spans="1:9" x14ac:dyDescent="0.25">
      <c r="A5" s="1"/>
      <c r="B5" s="132" t="s">
        <v>49</v>
      </c>
      <c r="C5" s="133"/>
      <c r="D5" s="133"/>
      <c r="E5" s="133"/>
      <c r="F5" s="133"/>
      <c r="G5" s="133"/>
      <c r="H5" s="135"/>
      <c r="I5" s="1"/>
    </row>
    <row r="6" spans="1:9" x14ac:dyDescent="0.25">
      <c r="A6" s="1"/>
      <c r="B6" s="136" t="s">
        <v>38</v>
      </c>
      <c r="C6" s="137"/>
      <c r="D6" s="137"/>
      <c r="E6" s="137"/>
      <c r="F6" s="138"/>
      <c r="G6" s="60">
        <v>39234523.653842919</v>
      </c>
      <c r="H6" s="14" t="s">
        <v>3</v>
      </c>
      <c r="I6" s="1"/>
    </row>
    <row r="7" spans="1:9" x14ac:dyDescent="0.25">
      <c r="A7" s="1"/>
      <c r="B7" s="136" t="s">
        <v>39</v>
      </c>
      <c r="C7" s="137"/>
      <c r="D7" s="137"/>
      <c r="E7" s="137"/>
      <c r="F7" s="138"/>
      <c r="G7" s="60">
        <f>G6*'Fane 13. Nøgletal'!C31</f>
        <v>784690.47307685844</v>
      </c>
      <c r="H7" s="14" t="s">
        <v>3</v>
      </c>
      <c r="I7" s="1"/>
    </row>
    <row r="8" spans="1:9" x14ac:dyDescent="0.25">
      <c r="A8" s="1"/>
      <c r="B8" s="71"/>
      <c r="C8" s="72"/>
      <c r="D8" s="72"/>
      <c r="E8" s="72"/>
      <c r="F8" s="72"/>
      <c r="G8" s="61"/>
      <c r="H8" s="20"/>
      <c r="I8" s="1"/>
    </row>
    <row r="9" spans="1:9" x14ac:dyDescent="0.25">
      <c r="A9" s="1"/>
      <c r="B9" s="1"/>
      <c r="C9" s="1"/>
      <c r="D9" s="1"/>
      <c r="E9" s="1"/>
      <c r="F9" s="1"/>
      <c r="G9" s="62"/>
      <c r="H9" s="1"/>
      <c r="I9" s="1"/>
    </row>
    <row r="10" spans="1:9" x14ac:dyDescent="0.25">
      <c r="A10" s="1"/>
      <c r="B10" s="132" t="s">
        <v>50</v>
      </c>
      <c r="C10" s="133"/>
      <c r="D10" s="133"/>
      <c r="E10" s="133"/>
      <c r="F10" s="133"/>
      <c r="G10" s="134"/>
      <c r="H10" s="135"/>
      <c r="I10" s="1"/>
    </row>
    <row r="11" spans="1:9" x14ac:dyDescent="0.25">
      <c r="A11" s="1"/>
      <c r="B11" s="136" t="s">
        <v>40</v>
      </c>
      <c r="C11" s="137"/>
      <c r="D11" s="137"/>
      <c r="E11" s="137"/>
      <c r="F11" s="138"/>
      <c r="G11" s="60">
        <f>(G6-G7)*(1+'Fane 13. Nøgletal'!C9)</f>
        <v>38938146.062161788</v>
      </c>
      <c r="H11" s="14" t="s">
        <v>3</v>
      </c>
      <c r="I11" s="1"/>
    </row>
    <row r="12" spans="1:9" x14ac:dyDescent="0.25">
      <c r="A12" s="1"/>
      <c r="B12" s="139" t="s">
        <v>41</v>
      </c>
      <c r="C12" s="140"/>
      <c r="D12" s="140"/>
      <c r="E12" s="140"/>
      <c r="F12" s="141"/>
      <c r="G12" s="60">
        <v>0</v>
      </c>
      <c r="H12" s="14" t="s">
        <v>3</v>
      </c>
      <c r="I12" s="1"/>
    </row>
    <row r="13" spans="1:9" x14ac:dyDescent="0.25">
      <c r="A13" s="1"/>
      <c r="B13" s="136" t="s">
        <v>42</v>
      </c>
      <c r="C13" s="137"/>
      <c r="D13" s="137"/>
      <c r="E13" s="137"/>
      <c r="F13" s="138"/>
      <c r="G13" s="60">
        <f>(G11+G12)*'Fane 13. Nøgletal'!C31</f>
        <v>778762.92124323582</v>
      </c>
      <c r="H13" s="14" t="s">
        <v>3</v>
      </c>
      <c r="I13" s="1"/>
    </row>
    <row r="14" spans="1:9" x14ac:dyDescent="0.25">
      <c r="A14" s="1"/>
      <c r="B14" s="71"/>
      <c r="C14" s="72"/>
      <c r="D14" s="72"/>
      <c r="E14" s="72"/>
      <c r="F14" s="72"/>
      <c r="G14" s="61"/>
      <c r="H14" s="20"/>
      <c r="I14" s="1"/>
    </row>
    <row r="15" spans="1:9" x14ac:dyDescent="0.25">
      <c r="A15" s="1"/>
      <c r="B15" s="1"/>
      <c r="C15" s="1"/>
      <c r="D15" s="1"/>
      <c r="E15" s="1"/>
      <c r="F15" s="1"/>
      <c r="G15" s="62"/>
      <c r="H15" s="1"/>
      <c r="I15" s="1"/>
    </row>
    <row r="16" spans="1:9" x14ac:dyDescent="0.25">
      <c r="A16" s="1"/>
      <c r="B16" s="132" t="s">
        <v>51</v>
      </c>
      <c r="C16" s="133"/>
      <c r="D16" s="133"/>
      <c r="E16" s="133"/>
      <c r="F16" s="133"/>
      <c r="G16" s="134"/>
      <c r="H16" s="135"/>
      <c r="I16" s="1"/>
    </row>
    <row r="17" spans="1:9" x14ac:dyDescent="0.25">
      <c r="A17" s="1"/>
      <c r="B17" s="136" t="s">
        <v>43</v>
      </c>
      <c r="C17" s="137"/>
      <c r="D17" s="137"/>
      <c r="E17" s="137"/>
      <c r="F17" s="138"/>
      <c r="G17" s="60">
        <f>(G11+G12-G13)*(1+'Fane 13. Nøgletal'!C11)</f>
        <v>38804276.716000073</v>
      </c>
      <c r="H17" s="14" t="s">
        <v>3</v>
      </c>
      <c r="I17" s="1"/>
    </row>
    <row r="18" spans="1:9" x14ac:dyDescent="0.25">
      <c r="A18" s="1"/>
      <c r="B18" s="136" t="s">
        <v>119</v>
      </c>
      <c r="C18" s="137"/>
      <c r="D18" s="137"/>
      <c r="E18" s="137"/>
      <c r="F18" s="138"/>
      <c r="G18" s="60">
        <v>0</v>
      </c>
      <c r="H18" s="14" t="s">
        <v>3</v>
      </c>
      <c r="I18" s="1"/>
    </row>
    <row r="19" spans="1:9" x14ac:dyDescent="0.25">
      <c r="A19" s="1"/>
      <c r="B19" s="139" t="s">
        <v>44</v>
      </c>
      <c r="C19" s="140"/>
      <c r="D19" s="140"/>
      <c r="E19" s="140"/>
      <c r="F19" s="141"/>
      <c r="G19" s="60">
        <v>0</v>
      </c>
      <c r="H19" s="14" t="s">
        <v>3</v>
      </c>
      <c r="I19" s="1"/>
    </row>
    <row r="20" spans="1:9" x14ac:dyDescent="0.25">
      <c r="A20" s="1"/>
      <c r="B20" s="136" t="s">
        <v>45</v>
      </c>
      <c r="C20" s="137"/>
      <c r="D20" s="137"/>
      <c r="E20" s="137"/>
      <c r="F20" s="138"/>
      <c r="G20" s="60">
        <f>SUM(G17:G19)*'Fane 13. Nøgletal'!C31</f>
        <v>776085.53432000149</v>
      </c>
      <c r="H20" s="14" t="s">
        <v>3</v>
      </c>
      <c r="I20" s="1"/>
    </row>
    <row r="21" spans="1:9" x14ac:dyDescent="0.25">
      <c r="A21" s="1"/>
      <c r="B21" s="71"/>
      <c r="C21" s="72"/>
      <c r="D21" s="72"/>
      <c r="E21" s="72"/>
      <c r="F21" s="72"/>
      <c r="G21" s="61"/>
      <c r="H21" s="20"/>
      <c r="I21" s="1"/>
    </row>
    <row r="22" spans="1:9" x14ac:dyDescent="0.25">
      <c r="A22" s="1"/>
      <c r="B22" s="1"/>
      <c r="C22" s="1"/>
      <c r="D22" s="1"/>
      <c r="E22" s="1"/>
      <c r="F22" s="1"/>
      <c r="G22" s="62"/>
      <c r="H22" s="1"/>
      <c r="I22" s="1"/>
    </row>
    <row r="23" spans="1:9" x14ac:dyDescent="0.25">
      <c r="A23" s="1"/>
      <c r="B23" s="132" t="s">
        <v>52</v>
      </c>
      <c r="C23" s="133"/>
      <c r="D23" s="133"/>
      <c r="E23" s="133"/>
      <c r="F23" s="133"/>
      <c r="G23" s="134"/>
      <c r="H23" s="135"/>
      <c r="I23" s="1"/>
    </row>
    <row r="24" spans="1:9" x14ac:dyDescent="0.25">
      <c r="A24" s="1"/>
      <c r="B24" s="136" t="s">
        <v>46</v>
      </c>
      <c r="C24" s="137"/>
      <c r="D24" s="137"/>
      <c r="E24" s="137"/>
      <c r="F24" s="138"/>
      <c r="G24" s="60">
        <f>(G17+G18+G19-G20)*(1+'Fane 13. Nøgletal'!C11)</f>
        <v>38670867.612650461</v>
      </c>
      <c r="H24" s="14" t="s">
        <v>3</v>
      </c>
      <c r="I24" s="1"/>
    </row>
    <row r="25" spans="1:9" x14ac:dyDescent="0.25">
      <c r="A25" s="1"/>
      <c r="B25" s="139" t="s">
        <v>47</v>
      </c>
      <c r="C25" s="140"/>
      <c r="D25" s="140"/>
      <c r="E25" s="140"/>
      <c r="F25" s="141"/>
      <c r="G25" s="60">
        <v>-8607666.7551476415</v>
      </c>
      <c r="H25" s="14" t="s">
        <v>3</v>
      </c>
      <c r="I25" s="1"/>
    </row>
    <row r="26" spans="1:9" x14ac:dyDescent="0.25">
      <c r="A26" s="1"/>
      <c r="B26" s="136" t="s">
        <v>48</v>
      </c>
      <c r="C26" s="137"/>
      <c r="D26" s="137"/>
      <c r="E26" s="137"/>
      <c r="F26" s="138"/>
      <c r="G26" s="60">
        <f>(G24+G25)*'Fane 13. Nøgletal'!C31</f>
        <v>601264.01715005643</v>
      </c>
      <c r="H26" s="14" t="s">
        <v>3</v>
      </c>
      <c r="I26" s="1"/>
    </row>
    <row r="27" spans="1:9" x14ac:dyDescent="0.25">
      <c r="A27" s="1"/>
      <c r="B27" s="71"/>
      <c r="C27" s="72"/>
      <c r="D27" s="72"/>
      <c r="E27" s="72"/>
      <c r="F27" s="72"/>
      <c r="G27" s="61"/>
      <c r="H27" s="20"/>
      <c r="I27" s="1"/>
    </row>
    <row r="28" spans="1:9" x14ac:dyDescent="0.25">
      <c r="A28" s="1"/>
      <c r="B28" s="1"/>
      <c r="C28" s="1"/>
      <c r="D28" s="1"/>
      <c r="E28" s="1"/>
      <c r="F28" s="1"/>
      <c r="G28" s="62"/>
      <c r="H28" s="1"/>
      <c r="I28" s="1"/>
    </row>
    <row r="29" spans="1:9" x14ac:dyDescent="0.25">
      <c r="A29" s="1"/>
      <c r="B29" s="132" t="s">
        <v>55</v>
      </c>
      <c r="C29" s="133"/>
      <c r="D29" s="133"/>
      <c r="E29" s="133"/>
      <c r="F29" s="133"/>
      <c r="G29" s="134"/>
      <c r="H29" s="135"/>
      <c r="I29" s="1"/>
    </row>
    <row r="30" spans="1:9" x14ac:dyDescent="0.25">
      <c r="A30" s="1"/>
      <c r="B30" s="136" t="s">
        <v>56</v>
      </c>
      <c r="C30" s="137"/>
      <c r="D30" s="137"/>
      <c r="E30" s="137"/>
      <c r="F30" s="138"/>
      <c r="G30" s="60">
        <f>G24*(1-'Fane 13. Nøgletal'!C31)*(1+'Fane 13. Nøgletal'!C11)+G25*(1-'Fane 13. Nøgletal'!C31)*(1+'Fane 13. Nøgletal'!C12)</f>
        <v>29936224.135378595</v>
      </c>
      <c r="H30" s="14" t="s">
        <v>3</v>
      </c>
      <c r="I30" s="1"/>
    </row>
    <row r="31" spans="1:9" x14ac:dyDescent="0.25">
      <c r="A31" s="1"/>
      <c r="B31" s="142" t="s">
        <v>115</v>
      </c>
      <c r="C31" s="143"/>
      <c r="D31" s="143"/>
      <c r="E31" s="143"/>
      <c r="F31" s="144"/>
      <c r="G31" s="60">
        <f>G25*(1-'Fane 13. Nøgletal'!C31)*(1+'Fane 13. Nøgletal'!C12)</f>
        <v>-8601693.0344195701</v>
      </c>
      <c r="H31" s="14" t="s">
        <v>3</v>
      </c>
      <c r="I31" s="1"/>
    </row>
    <row r="32" spans="1:9" x14ac:dyDescent="0.25">
      <c r="A32" s="1"/>
      <c r="B32" s="136" t="s">
        <v>132</v>
      </c>
      <c r="C32" s="137"/>
      <c r="D32" s="137"/>
      <c r="E32" s="137"/>
      <c r="F32" s="138"/>
      <c r="G32" s="60">
        <v>2058784.7892821999</v>
      </c>
      <c r="H32" s="14" t="s">
        <v>3</v>
      </c>
      <c r="I32" s="1"/>
    </row>
    <row r="33" spans="1:9" x14ac:dyDescent="0.25">
      <c r="A33" s="1"/>
      <c r="B33" s="136" t="s">
        <v>57</v>
      </c>
      <c r="C33" s="137"/>
      <c r="D33" s="137"/>
      <c r="E33" s="137"/>
      <c r="F33" s="138"/>
      <c r="G33" s="60">
        <f>(G30+G32)*'Fane 13. Nøgletal'!C31</f>
        <v>639900.17849321594</v>
      </c>
      <c r="H33" s="14" t="s">
        <v>3</v>
      </c>
      <c r="I33" s="1"/>
    </row>
    <row r="34" spans="1:9" x14ac:dyDescent="0.25">
      <c r="A34" s="1"/>
      <c r="B34" s="71"/>
      <c r="C34" s="72"/>
      <c r="D34" s="72"/>
      <c r="E34" s="72"/>
      <c r="F34" s="72"/>
      <c r="G34" s="61"/>
      <c r="H34" s="20"/>
      <c r="I34" s="1"/>
    </row>
    <row r="35" spans="1:9" x14ac:dyDescent="0.25">
      <c r="A35" s="1"/>
      <c r="B35" s="1"/>
      <c r="C35" s="1"/>
      <c r="D35" s="1"/>
      <c r="E35" s="1"/>
      <c r="F35" s="1"/>
      <c r="G35" s="62"/>
      <c r="H35" s="1"/>
      <c r="I35" s="1"/>
    </row>
    <row r="36" spans="1:9" x14ac:dyDescent="0.25">
      <c r="A36" s="1"/>
      <c r="B36" s="132" t="s">
        <v>100</v>
      </c>
      <c r="C36" s="133"/>
      <c r="D36" s="133"/>
      <c r="E36" s="133"/>
      <c r="F36" s="133"/>
      <c r="G36" s="134"/>
      <c r="H36" s="135"/>
      <c r="I36" s="1"/>
    </row>
    <row r="37" spans="1:9" x14ac:dyDescent="0.25">
      <c r="A37" s="1"/>
      <c r="B37" s="136" t="s">
        <v>78</v>
      </c>
      <c r="C37" s="137"/>
      <c r="D37" s="137"/>
      <c r="E37" s="137"/>
      <c r="F37" s="138"/>
      <c r="G37" s="60">
        <f>(G30-G31)*(1-'Fane 13. Nøgletal'!C31)*(1+'Fane 13. Nøgletal'!C11)+G31*(1-'Fane 13. Nøgletal'!C31)*(1+'Fane 13. Nøgletal'!C12)+G32*(1-'Fane 13. Nøgletal'!C31)*(1+'Fane 13. Nøgletal'!C13)</f>
        <v>31851924.27555193</v>
      </c>
      <c r="H37" s="14" t="s">
        <v>3</v>
      </c>
      <c r="I37" s="1"/>
    </row>
    <row r="38" spans="1:9" x14ac:dyDescent="0.25">
      <c r="A38" s="1"/>
      <c r="B38" s="142" t="s">
        <v>115</v>
      </c>
      <c r="C38" s="143"/>
      <c r="D38" s="143"/>
      <c r="E38" s="143"/>
      <c r="F38" s="144"/>
      <c r="G38" s="60">
        <f>G31*(1-'Fane 13. Nøgletal'!C31)*(1+'Fane 13. Nøgletal'!C12)</f>
        <v>-8595723.4594536833</v>
      </c>
      <c r="H38" s="14" t="s">
        <v>3</v>
      </c>
      <c r="I38" s="1"/>
    </row>
    <row r="39" spans="1:9" x14ac:dyDescent="0.25">
      <c r="A39" s="1"/>
      <c r="B39" s="142" t="s">
        <v>136</v>
      </c>
      <c r="C39" s="137"/>
      <c r="D39" s="137"/>
      <c r="E39" s="137"/>
      <c r="F39" s="138"/>
      <c r="G39" s="60">
        <f>G32*(1-'Fane 13. Nøgletal'!C31)*(1+'Fane 13. Nøgletal'!C13)</f>
        <v>2042223.9244372139</v>
      </c>
      <c r="H39" s="14" t="s">
        <v>3</v>
      </c>
      <c r="I39" s="1"/>
    </row>
    <row r="40" spans="1:9" x14ac:dyDescent="0.25">
      <c r="A40" s="1"/>
      <c r="B40" s="136" t="s">
        <v>159</v>
      </c>
      <c r="C40" s="137"/>
      <c r="D40" s="137"/>
      <c r="E40" s="137"/>
      <c r="F40" s="138"/>
      <c r="G40" s="60">
        <v>442690.35703687009</v>
      </c>
      <c r="H40" s="14" t="s">
        <v>3</v>
      </c>
      <c r="I40" s="1"/>
    </row>
    <row r="41" spans="1:9" x14ac:dyDescent="0.25">
      <c r="A41" s="1"/>
      <c r="B41" s="136" t="s">
        <v>116</v>
      </c>
      <c r="C41" s="137"/>
      <c r="D41" s="137"/>
      <c r="E41" s="137"/>
      <c r="F41" s="138"/>
      <c r="G41" s="60">
        <f>(G37+G40)*'Fane 13. Nøgletal'!C31</f>
        <v>645892.29265177599</v>
      </c>
      <c r="H41" s="14" t="s">
        <v>3</v>
      </c>
      <c r="I41" s="1"/>
    </row>
    <row r="42" spans="1:9" x14ac:dyDescent="0.25">
      <c r="A42" s="1"/>
      <c r="B42" s="71"/>
      <c r="C42" s="72"/>
      <c r="D42" s="72"/>
      <c r="E42" s="72"/>
      <c r="F42" s="72"/>
      <c r="G42" s="61"/>
      <c r="H42" s="20"/>
      <c r="I42" s="1"/>
    </row>
    <row r="43" spans="1:9" x14ac:dyDescent="0.25">
      <c r="A43" s="1"/>
      <c r="B43" s="1"/>
      <c r="C43" s="1"/>
      <c r="D43" s="1"/>
      <c r="E43" s="1"/>
      <c r="F43" s="1"/>
      <c r="G43" s="62"/>
      <c r="H43" s="1"/>
      <c r="I43" s="1"/>
    </row>
    <row r="44" spans="1:9" x14ac:dyDescent="0.25">
      <c r="A44" s="1"/>
      <c r="B44" s="132" t="s">
        <v>216</v>
      </c>
      <c r="C44" s="133"/>
      <c r="D44" s="133"/>
      <c r="E44" s="133"/>
      <c r="F44" s="133"/>
      <c r="G44" s="134"/>
      <c r="H44" s="135"/>
      <c r="I44" s="1"/>
    </row>
    <row r="45" spans="1:9" x14ac:dyDescent="0.25">
      <c r="A45" s="1"/>
      <c r="B45" s="136" t="s">
        <v>77</v>
      </c>
      <c r="C45" s="137"/>
      <c r="D45" s="137"/>
      <c r="E45" s="137"/>
      <c r="F45" s="138"/>
      <c r="G45" s="60">
        <f>(G37+G40-G41)*(1+'Fane 13. Nøgletal'!C15)</f>
        <v>32775416.855238784</v>
      </c>
      <c r="H45" s="14" t="s">
        <v>3</v>
      </c>
      <c r="I45" s="1"/>
    </row>
    <row r="46" spans="1:9" x14ac:dyDescent="0.25">
      <c r="A46" s="1"/>
      <c r="B46" s="80" t="s">
        <v>207</v>
      </c>
      <c r="C46" s="77"/>
      <c r="D46" s="77"/>
      <c r="E46" s="77"/>
      <c r="F46" s="78"/>
      <c r="G46" s="60">
        <f>SUM('Fane 2.1. Økonomisk ramme 2023'!C10,'Fane 2.1. Økonomisk ramme 2023'!C14,-'Fane 12. Bortfald'!C13)*(1+'Fane 13. Nøgletal'!C15)</f>
        <v>1203028.4639390402</v>
      </c>
      <c r="H46" s="14" t="s">
        <v>3</v>
      </c>
      <c r="I46" s="1"/>
    </row>
    <row r="47" spans="1:9" x14ac:dyDescent="0.25">
      <c r="A47" s="1"/>
      <c r="B47" s="136" t="s">
        <v>208</v>
      </c>
      <c r="C47" s="137"/>
      <c r="D47" s="137"/>
      <c r="E47" s="137"/>
      <c r="F47" s="138"/>
      <c r="G47" s="60">
        <f>(G45+G46)*'Fane 13. Nøgletal'!C31</f>
        <v>679568.90638355643</v>
      </c>
      <c r="H47" s="14" t="s">
        <v>3</v>
      </c>
      <c r="I47" s="1"/>
    </row>
    <row r="48" spans="1:9" x14ac:dyDescent="0.25">
      <c r="A48" s="1"/>
      <c r="B48" s="71"/>
      <c r="C48" s="72"/>
      <c r="D48" s="72"/>
      <c r="E48" s="72"/>
      <c r="F48" s="72"/>
      <c r="G48" s="61"/>
      <c r="H48" s="20"/>
      <c r="I48" s="1"/>
    </row>
    <row r="49" spans="1:9" x14ac:dyDescent="0.25">
      <c r="A49" s="1"/>
      <c r="B49" s="1"/>
      <c r="C49" s="1"/>
      <c r="D49" s="1"/>
      <c r="E49" s="1"/>
      <c r="F49" s="1"/>
      <c r="G49" s="62"/>
      <c r="H49" s="1"/>
      <c r="I49" s="1"/>
    </row>
    <row r="50" spans="1:9" x14ac:dyDescent="0.25">
      <c r="A50" s="1"/>
      <c r="B50" s="1"/>
      <c r="C50" s="1"/>
      <c r="D50" s="1"/>
      <c r="E50" s="1"/>
      <c r="F50" s="1"/>
      <c r="G50" s="62"/>
      <c r="H50" s="1"/>
      <c r="I50" s="1"/>
    </row>
    <row r="51" spans="1:9" x14ac:dyDescent="0.25">
      <c r="A51" s="1"/>
      <c r="B51" s="1"/>
      <c r="C51" s="1"/>
      <c r="D51" s="1"/>
      <c r="E51" s="1"/>
      <c r="F51" s="1"/>
      <c r="G51" s="62"/>
      <c r="H51" s="1"/>
      <c r="I51" s="1"/>
    </row>
    <row r="52" spans="1:9" x14ac:dyDescent="0.25">
      <c r="A52" s="1"/>
      <c r="B52" s="1"/>
      <c r="C52" s="1"/>
      <c r="D52" s="1"/>
      <c r="E52" s="1"/>
      <c r="F52" s="1"/>
      <c r="G52" s="62"/>
      <c r="H52" s="1"/>
      <c r="I52" s="1"/>
    </row>
    <row r="53" spans="1:9" x14ac:dyDescent="0.25">
      <c r="A53" s="1"/>
      <c r="B53" s="132" t="s">
        <v>215</v>
      </c>
      <c r="C53" s="133"/>
      <c r="D53" s="133"/>
      <c r="E53" s="133"/>
      <c r="F53" s="133"/>
      <c r="G53" s="134"/>
      <c r="H53" s="135"/>
      <c r="I53" s="1"/>
    </row>
    <row r="54" spans="1:9" x14ac:dyDescent="0.25">
      <c r="A54" s="1"/>
      <c r="B54" s="136" t="s">
        <v>133</v>
      </c>
      <c r="C54" s="137"/>
      <c r="D54" s="137"/>
      <c r="E54" s="137"/>
      <c r="F54" s="138"/>
      <c r="G54" s="60">
        <f>(G45+G46-G47)*(1+'Fane 13. Nøgletal'!C15)</f>
        <v>34484316.413089745</v>
      </c>
      <c r="H54" s="14" t="s">
        <v>3</v>
      </c>
      <c r="I54" s="1"/>
    </row>
    <row r="55" spans="1:9" x14ac:dyDescent="0.25">
      <c r="A55" s="1"/>
      <c r="B55" s="136" t="s">
        <v>134</v>
      </c>
      <c r="C55" s="137"/>
      <c r="D55" s="137"/>
      <c r="E55" s="137"/>
      <c r="F55" s="138"/>
      <c r="G55" s="60">
        <f>(G54)*'Fane 13. Nøgletal'!C31</f>
        <v>689686.32826179487</v>
      </c>
      <c r="H55" s="14" t="s">
        <v>3</v>
      </c>
      <c r="I55" s="1"/>
    </row>
    <row r="56" spans="1:9" x14ac:dyDescent="0.25">
      <c r="A56" s="1"/>
      <c r="B56" s="71"/>
      <c r="C56" s="72"/>
      <c r="D56" s="72"/>
      <c r="E56" s="72"/>
      <c r="F56" s="72"/>
      <c r="G56" s="61"/>
      <c r="H56" s="20"/>
      <c r="I56" s="1"/>
    </row>
    <row r="57" spans="1:9" x14ac:dyDescent="0.25">
      <c r="A57" s="1"/>
      <c r="B57" s="1"/>
      <c r="C57" s="1"/>
      <c r="D57" s="1"/>
      <c r="E57" s="1"/>
      <c r="F57" s="1"/>
      <c r="G57" s="62"/>
      <c r="H57" s="1"/>
      <c r="I57" s="1"/>
    </row>
    <row r="58" spans="1:9" x14ac:dyDescent="0.25">
      <c r="A58" s="1"/>
      <c r="B58" s="132" t="s">
        <v>149</v>
      </c>
      <c r="C58" s="133"/>
      <c r="D58" s="133"/>
      <c r="E58" s="133"/>
      <c r="F58" s="133"/>
      <c r="G58" s="134"/>
      <c r="H58" s="135"/>
      <c r="I58" s="1"/>
    </row>
    <row r="59" spans="1:9" x14ac:dyDescent="0.25">
      <c r="A59" s="1"/>
      <c r="B59" s="136" t="s">
        <v>150</v>
      </c>
      <c r="C59" s="137"/>
      <c r="D59" s="137"/>
      <c r="E59" s="137"/>
      <c r="F59" s="138"/>
      <c r="G59" s="60">
        <f>(G54-G55)*(1+'Fane 13. Nøgletal'!C15)</f>
        <v>34997718.91584783</v>
      </c>
      <c r="H59" s="14" t="s">
        <v>3</v>
      </c>
      <c r="I59" s="1"/>
    </row>
    <row r="60" spans="1:9" x14ac:dyDescent="0.25">
      <c r="A60" s="1"/>
      <c r="B60" s="136" t="s">
        <v>151</v>
      </c>
      <c r="C60" s="137"/>
      <c r="D60" s="137"/>
      <c r="E60" s="137"/>
      <c r="F60" s="138"/>
      <c r="G60" s="60">
        <f>(G59)*'Fane 13. Nøgletal'!C31</f>
        <v>699954.37831695657</v>
      </c>
      <c r="H60" s="14" t="s">
        <v>3</v>
      </c>
      <c r="I60" s="1"/>
    </row>
    <row r="61" spans="1:9" x14ac:dyDescent="0.25">
      <c r="A61" s="1"/>
      <c r="B61" s="71"/>
      <c r="C61" s="72"/>
      <c r="D61" s="72"/>
      <c r="E61" s="72"/>
      <c r="F61" s="72"/>
      <c r="G61" s="61"/>
      <c r="H61" s="20"/>
      <c r="I61" s="1"/>
    </row>
    <row r="62" spans="1:9" x14ac:dyDescent="0.25">
      <c r="A62" s="1"/>
      <c r="B62" s="1"/>
      <c r="C62" s="1"/>
      <c r="D62" s="1"/>
      <c r="E62" s="1"/>
      <c r="F62" s="1"/>
      <c r="G62" s="62"/>
      <c r="H62" s="1"/>
      <c r="I62" s="1"/>
    </row>
    <row r="63" spans="1:9" x14ac:dyDescent="0.25">
      <c r="A63" s="1"/>
      <c r="B63" s="132" t="s">
        <v>182</v>
      </c>
      <c r="C63" s="133"/>
      <c r="D63" s="133"/>
      <c r="E63" s="133"/>
      <c r="F63" s="133"/>
      <c r="G63" s="134"/>
      <c r="H63" s="135"/>
      <c r="I63" s="1"/>
    </row>
    <row r="64" spans="1:9" x14ac:dyDescent="0.25">
      <c r="A64" s="1"/>
      <c r="B64" s="136" t="s">
        <v>183</v>
      </c>
      <c r="C64" s="137"/>
      <c r="D64" s="137"/>
      <c r="E64" s="137"/>
      <c r="F64" s="138"/>
      <c r="G64" s="60">
        <f>(G59-G60)*(1+'Fane 13. Nøgletal'!C15)</f>
        <v>35518764.955066979</v>
      </c>
      <c r="H64" s="14" t="s">
        <v>3</v>
      </c>
      <c r="I64" s="1"/>
    </row>
    <row r="65" spans="1:9" x14ac:dyDescent="0.25">
      <c r="A65" s="1"/>
      <c r="B65" s="136" t="s">
        <v>184</v>
      </c>
      <c r="C65" s="137"/>
      <c r="D65" s="137"/>
      <c r="E65" s="137"/>
      <c r="F65" s="138"/>
      <c r="G65" s="60">
        <f>(G64)*'Fane 13. Nøgletal'!C31</f>
        <v>710375.29910133954</v>
      </c>
      <c r="H65" s="14" t="s">
        <v>3</v>
      </c>
      <c r="I65" s="1"/>
    </row>
    <row r="66" spans="1:9" x14ac:dyDescent="0.25">
      <c r="A66" s="1"/>
      <c r="B66" s="71"/>
      <c r="C66" s="72"/>
      <c r="D66" s="72"/>
      <c r="E66" s="72"/>
      <c r="F66" s="72"/>
      <c r="G66" s="72"/>
      <c r="H66" s="20"/>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sheetData>
  <sheetProtection algorithmName="SHA-512" hashValue="jRhuC1JNZmrJq5oYkGk0kHO9IJumAeyjenOUG/2z44aqPzoh+bq85vbwX9vn6o6JyxzjbjVA11kbpOwTjR4DnA==" saltValue="l3Qf9UfAYfSBMegDYMPz0Q==" spinCount="100000" sheet="1" objects="1" scenarios="1"/>
  <mergeCells count="40">
    <mergeCell ref="B38:F38"/>
    <mergeCell ref="B39:F39"/>
    <mergeCell ref="B60:F60"/>
    <mergeCell ref="B59:F59"/>
    <mergeCell ref="B58:H58"/>
    <mergeCell ref="B53:H53"/>
    <mergeCell ref="B54:F54"/>
    <mergeCell ref="B55:F55"/>
    <mergeCell ref="B44:H44"/>
    <mergeCell ref="B45:F45"/>
    <mergeCell ref="B47:F47"/>
    <mergeCell ref="B40:F40"/>
    <mergeCell ref="B41:F41"/>
    <mergeCell ref="B20:F20"/>
    <mergeCell ref="B24:F24"/>
    <mergeCell ref="B25:F25"/>
    <mergeCell ref="B26:F26"/>
    <mergeCell ref="B37:F37"/>
    <mergeCell ref="B32:F32"/>
    <mergeCell ref="B33:F33"/>
    <mergeCell ref="B31:F31"/>
    <mergeCell ref="B29:H29"/>
    <mergeCell ref="B30:F30"/>
    <mergeCell ref="B36:H36"/>
    <mergeCell ref="B63:H63"/>
    <mergeCell ref="B64:F64"/>
    <mergeCell ref="B65:F65"/>
    <mergeCell ref="B2:H4"/>
    <mergeCell ref="B5:H5"/>
    <mergeCell ref="B6:F6"/>
    <mergeCell ref="B7:F7"/>
    <mergeCell ref="B11:F11"/>
    <mergeCell ref="B10:H10"/>
    <mergeCell ref="B16:H16"/>
    <mergeCell ref="B23:H23"/>
    <mergeCell ref="B12:F12"/>
    <mergeCell ref="B13:F13"/>
    <mergeCell ref="B17:F17"/>
    <mergeCell ref="B19:F19"/>
    <mergeCell ref="B18:F1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67"/>
  <sheetViews>
    <sheetView showGridLines="0" view="pageLayout" zoomScaleNormal="100" workbookViewId="0"/>
  </sheetViews>
  <sheetFormatPr defaultColWidth="9.140625" defaultRowHeight="15" x14ac:dyDescent="0.25"/>
  <cols>
    <col min="1" max="1" width="6.140625" style="2" customWidth="1"/>
    <col min="2" max="5" width="9.140625" style="2"/>
    <col min="6" max="6" width="17.42578125" style="2" customWidth="1"/>
    <col min="7" max="7" width="16.85546875" style="2" customWidth="1"/>
    <col min="8" max="8" width="3.28515625" style="2" customWidth="1"/>
    <col min="9" max="9" width="6.7109375" style="2" customWidth="1"/>
    <col min="10" max="16384" width="9.140625" style="2"/>
  </cols>
  <sheetData>
    <row r="1" spans="1:9" ht="14.25" customHeight="1" x14ac:dyDescent="0.25">
      <c r="A1" s="1"/>
      <c r="B1" s="30"/>
      <c r="C1" s="30"/>
      <c r="D1" s="30"/>
      <c r="E1" s="30"/>
      <c r="F1" s="30"/>
      <c r="G1" s="30"/>
      <c r="H1" s="30"/>
      <c r="I1" s="1"/>
    </row>
    <row r="2" spans="1:9" ht="21" customHeight="1" x14ac:dyDescent="0.25">
      <c r="A2" s="1"/>
      <c r="B2" s="126" t="s">
        <v>102</v>
      </c>
      <c r="C2" s="126"/>
      <c r="D2" s="126"/>
      <c r="E2" s="126"/>
      <c r="F2" s="126"/>
      <c r="G2" s="126"/>
      <c r="H2" s="126"/>
      <c r="I2" s="1"/>
    </row>
    <row r="3" spans="1:9" ht="18" customHeight="1" x14ac:dyDescent="0.25">
      <c r="A3" s="1"/>
      <c r="B3" s="126"/>
      <c r="C3" s="126"/>
      <c r="D3" s="126"/>
      <c r="E3" s="126"/>
      <c r="F3" s="126"/>
      <c r="G3" s="126"/>
      <c r="H3" s="126"/>
      <c r="I3" s="1"/>
    </row>
    <row r="4" spans="1:9" ht="14.25" customHeight="1" x14ac:dyDescent="0.25">
      <c r="A4" s="1"/>
      <c r="B4" s="31"/>
      <c r="C4" s="31"/>
      <c r="D4" s="31"/>
      <c r="E4" s="31"/>
      <c r="F4" s="31"/>
      <c r="G4" s="31"/>
      <c r="H4" s="31"/>
      <c r="I4" s="1"/>
    </row>
    <row r="5" spans="1:9" x14ac:dyDescent="0.25">
      <c r="A5" s="1"/>
      <c r="B5" s="132" t="s">
        <v>53</v>
      </c>
      <c r="C5" s="133"/>
      <c r="D5" s="133"/>
      <c r="E5" s="133"/>
      <c r="F5" s="133"/>
      <c r="G5" s="133"/>
      <c r="H5" s="135"/>
      <c r="I5" s="1"/>
    </row>
    <row r="6" spans="1:9" x14ac:dyDescent="0.25">
      <c r="A6" s="1"/>
      <c r="B6" s="136" t="s">
        <v>58</v>
      </c>
      <c r="C6" s="137"/>
      <c r="D6" s="137"/>
      <c r="E6" s="137"/>
      <c r="F6" s="138"/>
      <c r="G6" s="60">
        <v>22588247.473941181</v>
      </c>
      <c r="H6" s="14" t="s">
        <v>3</v>
      </c>
      <c r="I6" s="1"/>
    </row>
    <row r="7" spans="1:9" x14ac:dyDescent="0.25">
      <c r="A7" s="1"/>
      <c r="B7" s="136" t="s">
        <v>54</v>
      </c>
      <c r="C7" s="137"/>
      <c r="D7" s="137"/>
      <c r="E7" s="137"/>
      <c r="F7" s="138"/>
      <c r="G7" s="60">
        <f>G6*'Fane 13. Nøgletal'!C20</f>
        <v>205553.05201286476</v>
      </c>
      <c r="H7" s="14" t="s">
        <v>3</v>
      </c>
      <c r="I7" s="1"/>
    </row>
    <row r="8" spans="1:9" x14ac:dyDescent="0.25">
      <c r="A8" s="1"/>
      <c r="B8" s="71"/>
      <c r="C8" s="72"/>
      <c r="D8" s="72"/>
      <c r="E8" s="72"/>
      <c r="F8" s="72"/>
      <c r="G8" s="61"/>
      <c r="H8" s="20"/>
      <c r="I8" s="1"/>
    </row>
    <row r="9" spans="1:9" x14ac:dyDescent="0.25">
      <c r="A9" s="1"/>
      <c r="B9" s="1"/>
      <c r="C9" s="1"/>
      <c r="D9" s="1"/>
      <c r="E9" s="1"/>
      <c r="F9" s="1"/>
      <c r="G9" s="62"/>
      <c r="H9" s="1"/>
      <c r="I9" s="1"/>
    </row>
    <row r="10" spans="1:9" x14ac:dyDescent="0.25">
      <c r="A10" s="1"/>
      <c r="B10" s="132" t="s">
        <v>59</v>
      </c>
      <c r="C10" s="133"/>
      <c r="D10" s="133"/>
      <c r="E10" s="133"/>
      <c r="F10" s="133"/>
      <c r="G10" s="134"/>
      <c r="H10" s="135"/>
      <c r="I10" s="1"/>
    </row>
    <row r="11" spans="1:9" x14ac:dyDescent="0.25">
      <c r="A11" s="1"/>
      <c r="B11" s="136" t="s">
        <v>60</v>
      </c>
      <c r="C11" s="137"/>
      <c r="D11" s="137"/>
      <c r="E11" s="137"/>
      <c r="F11" s="138"/>
      <c r="G11" s="60">
        <f>(G6-G7)*(1+'Fane 13. Nøgletal'!C9)</f>
        <v>22666954.641086806</v>
      </c>
      <c r="H11" s="14" t="s">
        <v>3</v>
      </c>
      <c r="I11" s="1"/>
    </row>
    <row r="12" spans="1:9" x14ac:dyDescent="0.25">
      <c r="A12" s="1"/>
      <c r="B12" s="139" t="s">
        <v>61</v>
      </c>
      <c r="C12" s="140"/>
      <c r="D12" s="140"/>
      <c r="E12" s="140"/>
      <c r="F12" s="141"/>
      <c r="G12" s="60">
        <v>0</v>
      </c>
      <c r="H12" s="14" t="s">
        <v>3</v>
      </c>
      <c r="I12" s="1"/>
    </row>
    <row r="13" spans="1:9" x14ac:dyDescent="0.25">
      <c r="A13" s="1"/>
      <c r="B13" s="136" t="s">
        <v>62</v>
      </c>
      <c r="C13" s="137"/>
      <c r="D13" s="137"/>
      <c r="E13" s="137"/>
      <c r="F13" s="138"/>
      <c r="G13" s="60">
        <f>G11*'Fane 13. Nøgletal'!C20+G12*'Fane 13. Nøgletal'!C21</f>
        <v>206269.28723388995</v>
      </c>
      <c r="H13" s="14" t="s">
        <v>3</v>
      </c>
      <c r="I13" s="1"/>
    </row>
    <row r="14" spans="1:9" x14ac:dyDescent="0.25">
      <c r="A14" s="1"/>
      <c r="B14" s="71"/>
      <c r="C14" s="72"/>
      <c r="D14" s="72"/>
      <c r="E14" s="72"/>
      <c r="F14" s="72"/>
      <c r="G14" s="61"/>
      <c r="H14" s="20"/>
      <c r="I14" s="1"/>
    </row>
    <row r="15" spans="1:9" x14ac:dyDescent="0.25">
      <c r="A15" s="1"/>
      <c r="B15" s="1"/>
      <c r="C15" s="1"/>
      <c r="D15" s="1"/>
      <c r="E15" s="1"/>
      <c r="F15" s="1"/>
      <c r="G15" s="62"/>
      <c r="H15" s="1"/>
      <c r="I15" s="1"/>
    </row>
    <row r="16" spans="1:9" x14ac:dyDescent="0.25">
      <c r="A16" s="1"/>
      <c r="B16" s="132" t="s">
        <v>63</v>
      </c>
      <c r="C16" s="133"/>
      <c r="D16" s="133"/>
      <c r="E16" s="133"/>
      <c r="F16" s="133"/>
      <c r="G16" s="134"/>
      <c r="H16" s="135"/>
      <c r="I16" s="1"/>
    </row>
    <row r="17" spans="1:9" x14ac:dyDescent="0.25">
      <c r="A17" s="1"/>
      <c r="B17" s="136" t="s">
        <v>64</v>
      </c>
      <c r="C17" s="137"/>
      <c r="D17" s="137"/>
      <c r="E17" s="137"/>
      <c r="F17" s="138"/>
      <c r="G17" s="60">
        <f>(G11+G12-G13)*(1+'Fane 13. Nøgletal'!C11)</f>
        <v>22840270.93633303</v>
      </c>
      <c r="H17" s="14" t="s">
        <v>3</v>
      </c>
      <c r="I17" s="1"/>
    </row>
    <row r="18" spans="1:9" x14ac:dyDescent="0.25">
      <c r="A18" s="1"/>
      <c r="B18" s="136" t="s">
        <v>120</v>
      </c>
      <c r="C18" s="137"/>
      <c r="D18" s="137"/>
      <c r="E18" s="137"/>
      <c r="F18" s="138"/>
      <c r="G18" s="60">
        <v>-399022.31955478404</v>
      </c>
      <c r="H18" s="14" t="s">
        <v>3</v>
      </c>
      <c r="I18" s="1"/>
    </row>
    <row r="19" spans="1:9" x14ac:dyDescent="0.25">
      <c r="A19" s="1"/>
      <c r="B19" s="139" t="s">
        <v>65</v>
      </c>
      <c r="C19" s="140"/>
      <c r="D19" s="140"/>
      <c r="E19" s="140"/>
      <c r="F19" s="141"/>
      <c r="G19" s="60">
        <v>194272.62946508997</v>
      </c>
      <c r="H19" s="14" t="s">
        <v>3</v>
      </c>
      <c r="I19" s="1"/>
    </row>
    <row r="20" spans="1:9" x14ac:dyDescent="0.25">
      <c r="A20" s="1"/>
      <c r="B20" s="136" t="s">
        <v>66</v>
      </c>
      <c r="C20" s="137"/>
      <c r="D20" s="137"/>
      <c r="E20" s="137"/>
      <c r="F20" s="138"/>
      <c r="G20" s="60">
        <f>SUM(G17:G19)*'Fane 13. Nøgletal'!C22</f>
        <v>196929.03484231699</v>
      </c>
      <c r="H20" s="14" t="s">
        <v>3</v>
      </c>
      <c r="I20" s="1"/>
    </row>
    <row r="21" spans="1:9" x14ac:dyDescent="0.25">
      <c r="A21" s="1"/>
      <c r="B21" s="71"/>
      <c r="C21" s="72"/>
      <c r="D21" s="72"/>
      <c r="E21" s="72"/>
      <c r="F21" s="72"/>
      <c r="G21" s="61"/>
      <c r="H21" s="20"/>
      <c r="I21" s="1"/>
    </row>
    <row r="22" spans="1:9" x14ac:dyDescent="0.25">
      <c r="A22" s="1"/>
      <c r="B22" s="1"/>
      <c r="C22" s="1"/>
      <c r="D22" s="1"/>
      <c r="E22" s="1"/>
      <c r="F22" s="1"/>
      <c r="G22" s="62"/>
      <c r="H22" s="1"/>
      <c r="I22" s="1"/>
    </row>
    <row r="23" spans="1:9" x14ac:dyDescent="0.25">
      <c r="A23" s="1"/>
      <c r="B23" s="132" t="s">
        <v>67</v>
      </c>
      <c r="C23" s="133"/>
      <c r="D23" s="133"/>
      <c r="E23" s="133"/>
      <c r="F23" s="133"/>
      <c r="G23" s="134"/>
      <c r="H23" s="135"/>
      <c r="I23" s="1"/>
    </row>
    <row r="24" spans="1:9" x14ac:dyDescent="0.25">
      <c r="A24" s="1"/>
      <c r="B24" s="136" t="s">
        <v>68</v>
      </c>
      <c r="C24" s="137"/>
      <c r="D24" s="137"/>
      <c r="E24" s="137"/>
      <c r="F24" s="138"/>
      <c r="G24" s="60">
        <f>(G17+G18+G19-G20)*(1+'Fane 13. Nøgletal'!C11)</f>
        <v>22817804.419773694</v>
      </c>
      <c r="H24" s="14" t="s">
        <v>3</v>
      </c>
      <c r="I24" s="1"/>
    </row>
    <row r="25" spans="1:9" x14ac:dyDescent="0.25">
      <c r="A25" s="1"/>
      <c r="B25" s="139" t="s">
        <v>69</v>
      </c>
      <c r="C25" s="140"/>
      <c r="D25" s="140"/>
      <c r="E25" s="140"/>
      <c r="F25" s="141"/>
      <c r="G25" s="60">
        <v>0</v>
      </c>
      <c r="H25" s="14" t="s">
        <v>3</v>
      </c>
      <c r="I25" s="1"/>
    </row>
    <row r="26" spans="1:9" x14ac:dyDescent="0.25">
      <c r="A26" s="1"/>
      <c r="B26" s="136" t="s">
        <v>70</v>
      </c>
      <c r="C26" s="137"/>
      <c r="D26" s="137"/>
      <c r="E26" s="137"/>
      <c r="F26" s="138"/>
      <c r="G26" s="60">
        <f>G24*'Fane 13. Nøgletal'!C22+G25*'Fane 13. Nøgletal'!C23</f>
        <v>198514.89845203114</v>
      </c>
      <c r="H26" s="14" t="s">
        <v>3</v>
      </c>
      <c r="I26" s="1"/>
    </row>
    <row r="27" spans="1:9" x14ac:dyDescent="0.25">
      <c r="A27" s="1"/>
      <c r="B27" s="71"/>
      <c r="C27" s="72"/>
      <c r="D27" s="72"/>
      <c r="E27" s="72"/>
      <c r="F27" s="72"/>
      <c r="G27" s="61"/>
      <c r="H27" s="20"/>
      <c r="I27" s="1"/>
    </row>
    <row r="28" spans="1:9" x14ac:dyDescent="0.25">
      <c r="A28" s="1"/>
      <c r="B28" s="1"/>
      <c r="C28" s="1"/>
      <c r="D28" s="1"/>
      <c r="E28" s="1"/>
      <c r="F28" s="1"/>
      <c r="G28" s="62"/>
      <c r="H28" s="1"/>
      <c r="I28" s="1"/>
    </row>
    <row r="29" spans="1:9" x14ac:dyDescent="0.25">
      <c r="A29" s="1"/>
      <c r="B29" s="132" t="s">
        <v>71</v>
      </c>
      <c r="C29" s="133"/>
      <c r="D29" s="133"/>
      <c r="E29" s="133"/>
      <c r="F29" s="133"/>
      <c r="G29" s="134"/>
      <c r="H29" s="135"/>
      <c r="I29" s="1"/>
    </row>
    <row r="30" spans="1:9" x14ac:dyDescent="0.25">
      <c r="A30" s="1"/>
      <c r="B30" s="136" t="s">
        <v>72</v>
      </c>
      <c r="C30" s="137"/>
      <c r="D30" s="137"/>
      <c r="E30" s="137"/>
      <c r="F30" s="138"/>
      <c r="G30" s="60">
        <f>G24*(1-'Fane 13. Nøgletal'!C22)*(1+'Fane 13. Nøgletal'!C11)+G25*(1-'Fane 13. Nøgletal'!C23)*(1+'Fane 13. Nøgletal'!C12)</f>
        <v>23001555.514231995</v>
      </c>
      <c r="H30" s="14" t="s">
        <v>3</v>
      </c>
      <c r="I30" s="1"/>
    </row>
    <row r="31" spans="1:9" x14ac:dyDescent="0.25">
      <c r="A31" s="1"/>
      <c r="B31" s="142" t="s">
        <v>117</v>
      </c>
      <c r="C31" s="143"/>
      <c r="D31" s="143"/>
      <c r="E31" s="143"/>
      <c r="F31" s="144"/>
      <c r="G31" s="60">
        <f>G25*(1-'Fane 13. Nøgletal'!C23)*(1+'Fane 13. Nøgletal'!C12)</f>
        <v>0</v>
      </c>
      <c r="H31" s="14" t="s">
        <v>3</v>
      </c>
      <c r="I31" s="1"/>
    </row>
    <row r="32" spans="1:9" x14ac:dyDescent="0.25">
      <c r="A32" s="1"/>
      <c r="B32" s="136" t="s">
        <v>135</v>
      </c>
      <c r="C32" s="137"/>
      <c r="D32" s="137"/>
      <c r="E32" s="137"/>
      <c r="F32" s="138"/>
      <c r="G32" s="60">
        <v>2631096.7467573597</v>
      </c>
      <c r="H32" s="14" t="s">
        <v>3</v>
      </c>
      <c r="I32" s="1"/>
    </row>
    <row r="33" spans="1:9" x14ac:dyDescent="0.25">
      <c r="A33" s="1"/>
      <c r="B33" s="136" t="s">
        <v>73</v>
      </c>
      <c r="C33" s="137"/>
      <c r="D33" s="137"/>
      <c r="E33" s="137"/>
      <c r="F33" s="138"/>
      <c r="G33" s="60">
        <f>(G30-G31)*'Fane 13. Nøgletal'!C22+G31*'Fane 13. Nøgletal'!C23+G32*'Fane 13. Nøgletal'!C24</f>
        <v>272468.69350964576</v>
      </c>
      <c r="H33" s="14" t="s">
        <v>3</v>
      </c>
      <c r="I33" s="1"/>
    </row>
    <row r="34" spans="1:9" x14ac:dyDescent="0.25">
      <c r="A34" s="1"/>
      <c r="B34" s="71"/>
      <c r="C34" s="72"/>
      <c r="D34" s="72"/>
      <c r="E34" s="72"/>
      <c r="F34" s="72"/>
      <c r="G34" s="61"/>
      <c r="H34" s="20"/>
      <c r="I34" s="1"/>
    </row>
    <row r="35" spans="1:9" x14ac:dyDescent="0.25">
      <c r="A35" s="1"/>
      <c r="B35" s="1"/>
      <c r="C35" s="1"/>
      <c r="D35" s="1"/>
      <c r="E35" s="1"/>
      <c r="F35" s="1"/>
      <c r="G35" s="62"/>
      <c r="H35" s="1"/>
      <c r="I35" s="1"/>
    </row>
    <row r="36" spans="1:9" x14ac:dyDescent="0.25">
      <c r="A36" s="1"/>
      <c r="B36" s="132" t="s">
        <v>99</v>
      </c>
      <c r="C36" s="133"/>
      <c r="D36" s="133"/>
      <c r="E36" s="133"/>
      <c r="F36" s="133"/>
      <c r="G36" s="134"/>
      <c r="H36" s="135"/>
      <c r="I36" s="1"/>
    </row>
    <row r="37" spans="1:9" x14ac:dyDescent="0.25">
      <c r="A37" s="1"/>
      <c r="B37" s="136" t="s">
        <v>76</v>
      </c>
      <c r="C37" s="137"/>
      <c r="D37" s="137"/>
      <c r="E37" s="137"/>
      <c r="F37" s="138"/>
      <c r="G37" s="60">
        <f>(G30-G31)*(1-'Fane 13. Nøgletal'!C22)*(1+'Fane 13. Nøgletal'!C11)+G31*(1-'Fane 13. Nøgletal'!C23)*(1+'Fane 13. Nøgletal'!C12)+G32*(1-'Fane 13. Nøgletal'!C24)*(1+'Fane 13. Nøgletal'!C13)</f>
        <v>25776744.584314875</v>
      </c>
      <c r="H37" s="14" t="s">
        <v>3</v>
      </c>
      <c r="I37" s="1"/>
    </row>
    <row r="38" spans="1:9" x14ac:dyDescent="0.25">
      <c r="A38" s="1"/>
      <c r="B38" s="142" t="s">
        <v>117</v>
      </c>
      <c r="C38" s="143"/>
      <c r="D38" s="143"/>
      <c r="E38" s="143"/>
      <c r="F38" s="144"/>
      <c r="G38" s="60">
        <f>G31*(1-'Fane 13. Nøgletal'!C23)*(1+'Fane 13. Nøgletal'!C12)</f>
        <v>0</v>
      </c>
      <c r="H38" s="14" t="s">
        <v>3</v>
      </c>
      <c r="I38" s="1"/>
    </row>
    <row r="39" spans="1:9" x14ac:dyDescent="0.25">
      <c r="A39" s="1"/>
      <c r="B39" s="142" t="s">
        <v>137</v>
      </c>
      <c r="C39" s="143"/>
      <c r="D39" s="143"/>
      <c r="E39" s="143"/>
      <c r="F39" s="144"/>
      <c r="G39" s="60">
        <v>2589958.2335734349</v>
      </c>
      <c r="H39" s="14" t="s">
        <v>3</v>
      </c>
      <c r="I39" s="1"/>
    </row>
    <row r="40" spans="1:9" x14ac:dyDescent="0.25">
      <c r="A40" s="1"/>
      <c r="B40" s="136" t="s">
        <v>160</v>
      </c>
      <c r="C40" s="137"/>
      <c r="D40" s="137"/>
      <c r="E40" s="137"/>
      <c r="F40" s="138"/>
      <c r="G40" s="60">
        <v>636232.43946806015</v>
      </c>
      <c r="H40" s="14" t="s">
        <v>3</v>
      </c>
      <c r="I40" s="1"/>
    </row>
    <row r="41" spans="1:9" x14ac:dyDescent="0.25">
      <c r="A41" s="1"/>
      <c r="B41" s="136" t="s">
        <v>141</v>
      </c>
      <c r="C41" s="137"/>
      <c r="D41" s="137"/>
      <c r="E41" s="137"/>
      <c r="F41" s="138"/>
      <c r="G41" s="60">
        <f>(G37-SUM(G38:G39))*'Fane 13. Nøgletal'!C22+G38*'Fane 13. Nøgletal'!C23+(G39)*'Fane 13. Nøgletal'!C24+(G40)*'Fane 13. Nøgletal'!C25</f>
        <v>282365.13277884724</v>
      </c>
      <c r="H41" s="14" t="s">
        <v>3</v>
      </c>
      <c r="I41" s="1"/>
    </row>
    <row r="42" spans="1:9" x14ac:dyDescent="0.25">
      <c r="A42" s="1"/>
      <c r="B42" s="71"/>
      <c r="C42" s="72"/>
      <c r="D42" s="72"/>
      <c r="E42" s="72"/>
      <c r="F42" s="72"/>
      <c r="G42" s="61"/>
      <c r="H42" s="20"/>
      <c r="I42" s="1"/>
    </row>
    <row r="43" spans="1:9" x14ac:dyDescent="0.25">
      <c r="A43" s="1"/>
      <c r="B43" s="1"/>
      <c r="C43" s="1"/>
      <c r="D43" s="1"/>
      <c r="E43" s="1"/>
      <c r="F43" s="1"/>
      <c r="G43" s="62"/>
      <c r="H43" s="1"/>
      <c r="I43" s="1"/>
    </row>
    <row r="44" spans="1:9" x14ac:dyDescent="0.25">
      <c r="A44" s="1"/>
      <c r="B44" s="132" t="s">
        <v>209</v>
      </c>
      <c r="C44" s="133"/>
      <c r="D44" s="133"/>
      <c r="E44" s="133"/>
      <c r="F44" s="133"/>
      <c r="G44" s="134"/>
      <c r="H44" s="135"/>
      <c r="I44" s="1"/>
    </row>
    <row r="45" spans="1:9" x14ac:dyDescent="0.25">
      <c r="A45" s="1"/>
      <c r="B45" s="136" t="s">
        <v>75</v>
      </c>
      <c r="C45" s="137"/>
      <c r="D45" s="137"/>
      <c r="E45" s="137"/>
      <c r="F45" s="138"/>
      <c r="G45" s="60">
        <f>(G37+G40-G41)*(1+'Fane 13. Nøgletal'!C15)</f>
        <v>27060861.674323838</v>
      </c>
      <c r="H45" s="14" t="s">
        <v>3</v>
      </c>
      <c r="I45" s="1"/>
    </row>
    <row r="46" spans="1:9" x14ac:dyDescent="0.25">
      <c r="A46" s="1"/>
      <c r="B46" s="76" t="s">
        <v>217</v>
      </c>
      <c r="C46" s="77"/>
      <c r="D46" s="77"/>
      <c r="E46" s="77"/>
      <c r="F46" s="78"/>
      <c r="G46" s="60">
        <f>SUM('Fane 2.1. Økonomisk ramme 2023'!C11,'Fane 2.1. Økonomisk ramme 2023'!C15,-'Fane 12. Bortfald'!E13)*(1+'Fane 13. Nøgletal'!C15)</f>
        <v>1715309.6579208004</v>
      </c>
      <c r="H46" s="14" t="s">
        <v>3</v>
      </c>
      <c r="I46" s="1"/>
    </row>
    <row r="47" spans="1:9" x14ac:dyDescent="0.25">
      <c r="A47" s="1"/>
      <c r="B47" s="136" t="s">
        <v>74</v>
      </c>
      <c r="C47" s="137"/>
      <c r="D47" s="137"/>
      <c r="E47" s="137"/>
      <c r="F47" s="138"/>
      <c r="G47" s="60">
        <f>(G45+G46)*'Fane 13. Nøgletal'!C26</f>
        <v>0</v>
      </c>
      <c r="H47" s="14" t="s">
        <v>3</v>
      </c>
      <c r="I47" s="1"/>
    </row>
    <row r="48" spans="1:9" x14ac:dyDescent="0.25">
      <c r="A48" s="1"/>
      <c r="B48" s="71"/>
      <c r="C48" s="72"/>
      <c r="D48" s="72"/>
      <c r="E48" s="72"/>
      <c r="F48" s="72"/>
      <c r="G48" s="61"/>
      <c r="H48" s="20"/>
      <c r="I48" s="1"/>
    </row>
    <row r="49" spans="1:9" x14ac:dyDescent="0.25">
      <c r="A49" s="1"/>
      <c r="B49" s="1"/>
      <c r="C49" s="1"/>
      <c r="D49" s="1"/>
      <c r="E49" s="1"/>
      <c r="F49" s="1"/>
      <c r="G49" s="62"/>
      <c r="H49" s="1"/>
      <c r="I49" s="1"/>
    </row>
    <row r="50" spans="1:9" x14ac:dyDescent="0.25">
      <c r="A50" s="1"/>
      <c r="B50" s="1"/>
      <c r="C50" s="1"/>
      <c r="D50" s="1"/>
      <c r="E50" s="1"/>
      <c r="F50" s="1"/>
      <c r="G50" s="62"/>
      <c r="H50" s="1"/>
      <c r="I50" s="1"/>
    </row>
    <row r="51" spans="1:9" x14ac:dyDescent="0.25">
      <c r="A51" s="1"/>
      <c r="B51" s="132" t="s">
        <v>210</v>
      </c>
      <c r="C51" s="133"/>
      <c r="D51" s="133"/>
      <c r="E51" s="133"/>
      <c r="F51" s="133"/>
      <c r="G51" s="134"/>
      <c r="H51" s="135"/>
      <c r="I51" s="1"/>
    </row>
    <row r="52" spans="1:9" x14ac:dyDescent="0.25">
      <c r="A52" s="1"/>
      <c r="B52" s="136" t="s">
        <v>138</v>
      </c>
      <c r="C52" s="137"/>
      <c r="D52" s="137"/>
      <c r="E52" s="137"/>
      <c r="F52" s="138"/>
      <c r="G52" s="60">
        <f>(G45+G46-G47)*(1+'Fane 13. Nøgletal'!C15)</f>
        <v>29800603.031672549</v>
      </c>
      <c r="H52" s="14" t="s">
        <v>3</v>
      </c>
      <c r="I52" s="1"/>
    </row>
    <row r="53" spans="1:9" x14ac:dyDescent="0.25">
      <c r="A53" s="1"/>
      <c r="B53" s="136" t="s">
        <v>139</v>
      </c>
      <c r="C53" s="137"/>
      <c r="D53" s="137"/>
      <c r="E53" s="137"/>
      <c r="F53" s="138"/>
      <c r="G53" s="60">
        <f>(G52)*'Fane 13. Nøgletal'!C26</f>
        <v>0</v>
      </c>
      <c r="H53" s="14" t="s">
        <v>3</v>
      </c>
      <c r="I53" s="1"/>
    </row>
    <row r="54" spans="1:9" x14ac:dyDescent="0.25">
      <c r="A54" s="1"/>
      <c r="B54" s="71"/>
      <c r="C54" s="72"/>
      <c r="D54" s="72"/>
      <c r="E54" s="72"/>
      <c r="F54" s="72"/>
      <c r="G54" s="61"/>
      <c r="H54" s="20"/>
      <c r="I54" s="1"/>
    </row>
    <row r="55" spans="1:9" x14ac:dyDescent="0.25">
      <c r="A55" s="1"/>
      <c r="B55" s="1"/>
      <c r="C55" s="1"/>
      <c r="D55" s="1"/>
      <c r="E55" s="1"/>
      <c r="F55" s="1"/>
      <c r="G55" s="62"/>
      <c r="H55" s="1"/>
      <c r="I55" s="1"/>
    </row>
    <row r="56" spans="1:9" x14ac:dyDescent="0.25">
      <c r="A56" s="1"/>
      <c r="B56" s="132" t="s">
        <v>152</v>
      </c>
      <c r="C56" s="133"/>
      <c r="D56" s="133"/>
      <c r="E56" s="133"/>
      <c r="F56" s="133"/>
      <c r="G56" s="134"/>
      <c r="H56" s="135"/>
      <c r="I56" s="1"/>
    </row>
    <row r="57" spans="1:9" x14ac:dyDescent="0.25">
      <c r="A57" s="1"/>
      <c r="B57" s="136" t="s">
        <v>153</v>
      </c>
      <c r="C57" s="137"/>
      <c r="D57" s="137"/>
      <c r="E57" s="137"/>
      <c r="F57" s="138"/>
      <c r="G57" s="60">
        <f>(G52-G53)*(1+'Fane 13. Nøgletal'!C15)</f>
        <v>30861504.499600094</v>
      </c>
      <c r="H57" s="14" t="s">
        <v>3</v>
      </c>
      <c r="I57" s="1"/>
    </row>
    <row r="58" spans="1:9" x14ac:dyDescent="0.25">
      <c r="A58" s="1"/>
      <c r="B58" s="136" t="s">
        <v>154</v>
      </c>
      <c r="C58" s="137"/>
      <c r="D58" s="137"/>
      <c r="E58" s="137"/>
      <c r="F58" s="138"/>
      <c r="G58" s="60">
        <f>(G57)*'Fane 13. Nøgletal'!C26</f>
        <v>0</v>
      </c>
      <c r="H58" s="14" t="s">
        <v>3</v>
      </c>
      <c r="I58" s="1"/>
    </row>
    <row r="59" spans="1:9" x14ac:dyDescent="0.25">
      <c r="A59" s="1"/>
      <c r="B59" s="71"/>
      <c r="C59" s="72"/>
      <c r="D59" s="72"/>
      <c r="E59" s="72"/>
      <c r="F59" s="72"/>
      <c r="G59" s="61"/>
      <c r="H59" s="20"/>
      <c r="I59" s="1"/>
    </row>
    <row r="60" spans="1:9" x14ac:dyDescent="0.25">
      <c r="A60" s="1"/>
      <c r="B60" s="1"/>
      <c r="C60" s="1"/>
      <c r="D60" s="1"/>
      <c r="E60" s="1"/>
      <c r="F60" s="1"/>
      <c r="G60" s="62"/>
      <c r="H60" s="1"/>
      <c r="I60" s="1"/>
    </row>
    <row r="61" spans="1:9" x14ac:dyDescent="0.25">
      <c r="A61" s="1"/>
      <c r="B61" s="132" t="s">
        <v>185</v>
      </c>
      <c r="C61" s="133"/>
      <c r="D61" s="133"/>
      <c r="E61" s="133"/>
      <c r="F61" s="133"/>
      <c r="G61" s="134"/>
      <c r="H61" s="135"/>
      <c r="I61" s="1"/>
    </row>
    <row r="62" spans="1:9" x14ac:dyDescent="0.25">
      <c r="A62" s="1"/>
      <c r="B62" s="136" t="s">
        <v>186</v>
      </c>
      <c r="C62" s="137"/>
      <c r="D62" s="137"/>
      <c r="E62" s="137"/>
      <c r="F62" s="138"/>
      <c r="G62" s="60">
        <f>(G57-G58)*(1+'Fane 13. Nøgletal'!C15)</f>
        <v>31960174.059785858</v>
      </c>
      <c r="H62" s="14" t="s">
        <v>3</v>
      </c>
      <c r="I62" s="1"/>
    </row>
    <row r="63" spans="1:9" x14ac:dyDescent="0.25">
      <c r="A63" s="1"/>
      <c r="B63" s="136" t="s">
        <v>187</v>
      </c>
      <c r="C63" s="137"/>
      <c r="D63" s="137"/>
      <c r="E63" s="137"/>
      <c r="F63" s="138"/>
      <c r="G63" s="60">
        <f>(G62)*'Fane 13. Nøgletal'!C26</f>
        <v>0</v>
      </c>
      <c r="H63" s="14" t="s">
        <v>3</v>
      </c>
      <c r="I63" s="1"/>
    </row>
    <row r="64" spans="1:9" x14ac:dyDescent="0.25">
      <c r="A64" s="1"/>
      <c r="B64" s="71"/>
      <c r="C64" s="72"/>
      <c r="D64" s="72"/>
      <c r="E64" s="72"/>
      <c r="F64" s="72"/>
      <c r="G64" s="72"/>
      <c r="H64" s="20"/>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sheetData>
  <sheetProtection algorithmName="SHA-512" hashValue="thOkYokaAdzb4+p55Yj7+oGbnchK2N7bMzvZ7l1dpSLDqxVaPQgjw/4T7llO3HUyUnvhoNWmjI1VVOZ6wlv3Gw==" saltValue="5FowAVopEtGBsYR0qwh0Mw==" spinCount="100000" sheet="1" objects="1" scenarios="1"/>
  <mergeCells count="40">
    <mergeCell ref="B58:F58"/>
    <mergeCell ref="B57:F57"/>
    <mergeCell ref="B56:H56"/>
    <mergeCell ref="B53:F53"/>
    <mergeCell ref="B25:F25"/>
    <mergeCell ref="B26:F26"/>
    <mergeCell ref="B41:F41"/>
    <mergeCell ref="B44:H44"/>
    <mergeCell ref="B45:F45"/>
    <mergeCell ref="B29:H29"/>
    <mergeCell ref="B30:F30"/>
    <mergeCell ref="B33:F33"/>
    <mergeCell ref="B36:H36"/>
    <mergeCell ref="B38:F38"/>
    <mergeCell ref="B16:H16"/>
    <mergeCell ref="B17:F17"/>
    <mergeCell ref="B18:F18"/>
    <mergeCell ref="B24:F24"/>
    <mergeCell ref="B19:F19"/>
    <mergeCell ref="B7:F7"/>
    <mergeCell ref="B10:H10"/>
    <mergeCell ref="B11:F11"/>
    <mergeCell ref="B12:F12"/>
    <mergeCell ref="B13:F13"/>
    <mergeCell ref="B61:H61"/>
    <mergeCell ref="B62:F62"/>
    <mergeCell ref="B63:F63"/>
    <mergeCell ref="B2:H3"/>
    <mergeCell ref="B32:F32"/>
    <mergeCell ref="B23:H23"/>
    <mergeCell ref="B40:F40"/>
    <mergeCell ref="B52:F52"/>
    <mergeCell ref="B31:F31"/>
    <mergeCell ref="B39:F39"/>
    <mergeCell ref="B37:F37"/>
    <mergeCell ref="B51:H51"/>
    <mergeCell ref="B47:F47"/>
    <mergeCell ref="B20:F20"/>
    <mergeCell ref="B5:H5"/>
    <mergeCell ref="B6:F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7" t="s">
        <v>86</v>
      </c>
      <c r="C3" s="107"/>
      <c r="D3" s="107"/>
      <c r="E3" s="107"/>
      <c r="F3" s="107"/>
      <c r="G3" s="107"/>
      <c r="H3" s="1"/>
    </row>
    <row r="4" spans="1:8" ht="15" customHeight="1" x14ac:dyDescent="0.25">
      <c r="A4" s="1"/>
      <c r="B4" s="107"/>
      <c r="C4" s="107"/>
      <c r="D4" s="107"/>
      <c r="E4" s="107"/>
      <c r="F4" s="107"/>
      <c r="G4" s="10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2" t="s">
        <v>9</v>
      </c>
      <c r="C8" s="133"/>
      <c r="D8" s="133"/>
      <c r="E8" s="133"/>
      <c r="F8" s="133"/>
      <c r="G8" s="135"/>
      <c r="H8" s="1"/>
    </row>
    <row r="9" spans="1:8" x14ac:dyDescent="0.25">
      <c r="A9" s="1"/>
      <c r="B9" s="76" t="s">
        <v>264</v>
      </c>
      <c r="C9" s="77"/>
      <c r="D9" s="77"/>
      <c r="E9" s="77"/>
      <c r="F9" s="78"/>
      <c r="G9" s="85">
        <v>2.066909305061585E-3</v>
      </c>
      <c r="H9" s="1"/>
    </row>
    <row r="10" spans="1:8" x14ac:dyDescent="0.25">
      <c r="A10" s="1"/>
      <c r="B10" s="71"/>
      <c r="C10" s="72"/>
      <c r="D10" s="72"/>
      <c r="E10" s="72"/>
      <c r="F10" s="72"/>
      <c r="G10" s="20"/>
      <c r="H10" s="1"/>
    </row>
    <row r="11" spans="1:8" x14ac:dyDescent="0.25">
      <c r="A11" s="1"/>
      <c r="B11" s="146"/>
      <c r="C11" s="146"/>
      <c r="D11" s="146"/>
      <c r="E11" s="146"/>
      <c r="F11" s="146"/>
      <c r="G11" s="146"/>
      <c r="H11" s="1"/>
    </row>
    <row r="12" spans="1:8" ht="39" customHeight="1" x14ac:dyDescent="0.25">
      <c r="A12" s="18"/>
      <c r="B12" s="145" t="s">
        <v>211</v>
      </c>
      <c r="C12" s="145"/>
      <c r="D12" s="145"/>
      <c r="E12" s="145"/>
      <c r="F12" s="145"/>
      <c r="G12" s="145"/>
      <c r="H12" s="18"/>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jO0vNaEPSs0CUjqKQjZjP6FWu/zboc0SpT9OhoYaXGkcA84rP5ahY4EXZYJFQTTSkZL7bp99AXfWQpuWcrhGrQ==" saltValue="Ls9NHJqHMkQGKon1vHDXsA==" spinCount="100000" sheet="1" objects="1" scenarios="1"/>
  <mergeCells count="4">
    <mergeCell ref="B3:G4"/>
    <mergeCell ref="B12:G12"/>
    <mergeCell ref="B8:G8"/>
    <mergeCell ref="B11:G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2022-12-06T14:21:00Z</dcterms:modified>
</cp:coreProperties>
</file>