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orup Vandværk (V02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16" i="8" l="1"/>
  <c r="E15" i="8"/>
  <c r="E24" i="8" l="1"/>
  <c r="E28" i="8" s="1"/>
  <c r="E30" i="8" s="1"/>
  <c r="C11" i="12" l="1"/>
  <c r="E11" i="12"/>
  <c r="E10" i="11"/>
  <c r="C10" i="11"/>
  <c r="H11" i="9"/>
  <c r="J11" i="9"/>
  <c r="C13" i="7"/>
  <c r="F10" i="9" l="1"/>
  <c r="F11" i="9" s="1"/>
  <c r="E12" i="12"/>
  <c r="C12" i="12"/>
  <c r="E12" i="2" l="1"/>
  <c r="E11" i="11"/>
  <c r="C11" i="11"/>
  <c r="C10" i="10" l="1"/>
  <c r="C14" i="7"/>
  <c r="C16" i="10" l="1"/>
  <c r="C17" i="10" s="1"/>
  <c r="E13" i="5"/>
  <c r="E13" i="4"/>
  <c r="E13" i="3"/>
  <c r="E22" i="6"/>
  <c r="E15" i="6" l="1"/>
  <c r="E16" i="6" s="1"/>
  <c r="E9" i="2" l="1"/>
  <c r="E28" i="6"/>
  <c r="E12" i="13"/>
  <c r="E13" i="13" s="1"/>
  <c r="C12" i="13"/>
  <c r="C13" i="13" s="1"/>
  <c r="E11" i="2" l="1"/>
  <c r="E19" i="2" l="1"/>
  <c r="E20" i="2"/>
  <c r="E21" i="2" l="1"/>
  <c r="E22" i="2" s="1"/>
  <c r="E17" i="2" l="1"/>
  <c r="E10" i="10" l="1"/>
  <c r="E16" i="10" l="1"/>
  <c r="E17"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<sst xmlns="http://schemas.openxmlformats.org/spreadsheetml/2006/main" count="329" uniqueCount="153">
  <si>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</si>
  <si>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</si>
  <si>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</si>
  <si>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</si>
  <si>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</si>
  <si>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</si>
  <si>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</si>
  <si>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</si>
  <si>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</si>
  <si>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</si>
  <si>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</si>
  <si>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</si>
  <si>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</si>
  <si>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</si>
  <si>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</si>
  <si>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</si>
  <si>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</si>
  <si>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</si>
  <si>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</si>
  <si>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</si>
  <si>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</si>
  <si>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</si>
  <si>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</si>
  <si>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</si>
  <si>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</si>
  <si>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</si>
  <si>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</si>
  <si>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</si>
  <si>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</si>
  <si>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</si>
  <si>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</si>
  <si>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</si>
  <si>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</si>
  <si>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</si>
  <si>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</si>
  <si>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</si>
  <si>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</si>
  <si>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</si>
  <si>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</si>
  <si>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</si>
  <si>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</si>
  <si>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</si>
  <si>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</si>
  <si>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</si>
  <si>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</si>
  <si>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</si>
  <si>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</si>
  <si>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</si>
  <si>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</si>
  <si>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</si>
  <si>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</si>
  <si>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</si>
  <si>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</si>
  <si>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</si>
  <si>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</si>
  <si>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</si>
  <si>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</si>
  <si>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</si>
  <si>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</si>
  <si>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</si>
  <si>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</si>
  <si>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</si>
  <si>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</si>
  <si>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</si>
  <si>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</si>
  <si>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</si>
  <si>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</si>
  <si>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</si>
  <si>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</si>
  <si>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</si>
  <si>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</si>
  <si>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</si>
  <si>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</si>
  <si>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</si>
  <si>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</si>
  <si>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</si>
  <si>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</si>
  <si>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</si>
  <si>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</si>
  <si>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</si>
  <si>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</si>
  <si>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</si>
  <si>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</si>
  <si>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</si>
  <si>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</si>
  <si>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</si>
  <si>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</si>
  <si>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</si>
  <si>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</si>
  <si>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</si>
  <si>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</si>
  <si>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</si>
  <si>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</si>
  <si>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</si>
  <si>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</si>
  <si>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</si>
  <si>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</si>
  <si>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</si>
  <si>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</si>
  <si>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</si>
  <si>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</si>
  <si>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</si>
  <si>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</si>
  <si>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</si>
  <si>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</si>
  <si>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</si>
  <si>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</si>
  <si>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</si>
  <si>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</si>
  <si>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</si>
  <si>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</si>
  <si>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</si>
  <si>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</si>
  <si>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</si>
  <si>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</si>
  <si>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</si>
  <si>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</si>
  <si>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</si>
  <si>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</si>
  <si>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</si>
  <si>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</si>
  <si>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</si>
  <si>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</si>
  <si>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</si>
  <si>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</si>
  <si>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</si>
  <si>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</si>
  <si>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</si>
  <si>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</si>
  <si>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</si>
  <si>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</si>
  <si>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</si>
  <si>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</si>
  <si>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</si>
  <si>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</si>
  <si>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</si>
  <si>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</si>
  <si>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</si>
  <si>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</si>
  <si>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</si>
  <si>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</si>
  <si>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</si>
  <si>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</si>
  <si>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</si>
  <si>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</si>
  <si>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</si>
  <si>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</si>
  <si>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</si>
  <si>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</si>
  <si>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</si>
  <si>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7</t>
  </si>
  <si>
    <t>Fane 5: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</si>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</sst>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105</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78</v>
      </c>
      <c r="E13" s="77"/>
      <c r="F13" s="77"/>
      <c r="G13" s="78"/>
      <c r="H13" s="1"/>
      <c r="I13" s="1"/>
    </row>
    <row r="14" spans="1:9" x14ac:dyDescent="0.25">
      <c r="A14" s="1"/>
      <c r="B14" s="1"/>
      <c r="C14" s="6" t="s">
        <v>14</v>
      </c>
      <c r="D14" s="76" t="s">
        <v>110</v>
      </c>
      <c r="E14" s="77"/>
      <c r="F14" s="77"/>
      <c r="G14" s="78"/>
      <c r="H14" s="1"/>
      <c r="I14" s="1"/>
    </row>
    <row r="15" spans="1:9" x14ac:dyDescent="0.25">
      <c r="A15" s="1"/>
      <c r="B15" s="1"/>
      <c r="C15" s="6" t="s">
        <v>28</v>
      </c>
      <c r="D15" s="76" t="s">
        <v>64</v>
      </c>
      <c r="E15" s="77"/>
      <c r="F15" s="77"/>
      <c r="G15" s="78"/>
      <c r="H15" s="1"/>
      <c r="I15" s="1"/>
    </row>
    <row r="16" spans="1:9" x14ac:dyDescent="0.25">
      <c r="A16" s="1"/>
      <c r="B16" s="1"/>
      <c r="C16" s="6" t="s">
        <v>29</v>
      </c>
      <c r="D16" s="76" t="s">
        <v>79</v>
      </c>
      <c r="E16" s="77"/>
      <c r="F16" s="77"/>
      <c r="G16" s="78"/>
      <c r="H16" s="1"/>
      <c r="I16" s="1"/>
    </row>
    <row r="17" spans="1:9" x14ac:dyDescent="0.25">
      <c r="A17" s="1"/>
      <c r="B17" s="1"/>
      <c r="C17" s="6" t="s">
        <v>49</v>
      </c>
      <c r="D17" s="76" t="s">
        <v>80</v>
      </c>
      <c r="E17" s="77"/>
      <c r="F17" s="77"/>
      <c r="G17" s="78"/>
      <c r="H17" s="1"/>
      <c r="I17" s="1"/>
    </row>
    <row r="18" spans="1:9" x14ac:dyDescent="0.25">
      <c r="A18" s="1"/>
      <c r="B18" s="1"/>
      <c r="C18" s="6" t="s">
        <v>7</v>
      </c>
      <c r="D18" s="88" t="s">
        <v>11</v>
      </c>
      <c r="E18" s="89"/>
      <c r="F18" s="89"/>
      <c r="G18" s="90"/>
      <c r="H18" s="1"/>
      <c r="I18" s="1"/>
    </row>
    <row r="19" spans="1:9" x14ac:dyDescent="0.25">
      <c r="A19" s="1"/>
      <c r="B19" s="1"/>
      <c r="C19" s="6" t="s">
        <v>8</v>
      </c>
      <c r="D19" s="80" t="s">
        <v>81</v>
      </c>
      <c r="E19" s="81"/>
      <c r="F19" s="81"/>
      <c r="G19" s="82"/>
      <c r="H19" s="1"/>
      <c r="I19" s="1"/>
    </row>
    <row r="20" spans="1:9" x14ac:dyDescent="0.25">
      <c r="A20" s="1"/>
      <c r="B20" s="1"/>
      <c r="C20" s="6" t="s">
        <v>46</v>
      </c>
      <c r="D20" s="80" t="s">
        <v>113</v>
      </c>
      <c r="E20" s="81"/>
      <c r="F20" s="81"/>
      <c r="G20" s="82"/>
      <c r="H20" s="1"/>
      <c r="I20" s="1"/>
    </row>
    <row r="21" spans="1:9" x14ac:dyDescent="0.25">
      <c r="A21" s="1"/>
      <c r="B21" s="1"/>
      <c r="C21" s="6" t="s">
        <v>150</v>
      </c>
      <c r="D21" s="80" t="s">
        <v>108</v>
      </c>
      <c r="E21" s="81"/>
      <c r="F21" s="81"/>
      <c r="G21" s="82"/>
      <c r="H21" s="1"/>
      <c r="I21" s="1"/>
    </row>
    <row r="22" spans="1:9" x14ac:dyDescent="0.25">
      <c r="A22" s="1"/>
      <c r="B22" s="1"/>
      <c r="C22" s="6" t="s">
        <v>120</v>
      </c>
      <c r="D22" s="80" t="s">
        <v>35</v>
      </c>
      <c r="E22" s="81"/>
      <c r="F22" s="81"/>
      <c r="G22" s="82"/>
      <c r="H22" s="1"/>
      <c r="I22" s="1"/>
    </row>
    <row r="23" spans="1:9" x14ac:dyDescent="0.25">
      <c r="A23" s="1"/>
      <c r="B23" s="1"/>
      <c r="C23" s="6" t="s">
        <v>121</v>
      </c>
      <c r="D23" s="80" t="s">
        <v>36</v>
      </c>
      <c r="E23" s="81"/>
      <c r="F23" s="81"/>
      <c r="G23" s="82"/>
      <c r="H23" s="1"/>
      <c r="I23" s="1"/>
    </row>
    <row r="24" spans="1:9" x14ac:dyDescent="0.25">
      <c r="A24" s="1"/>
      <c r="B24" s="1"/>
      <c r="C24" s="6" t="s">
        <v>9</v>
      </c>
      <c r="D24" s="80" t="s">
        <v>53</v>
      </c>
      <c r="E24" s="81"/>
      <c r="F24" s="81"/>
      <c r="G24" s="82"/>
      <c r="H24" s="1"/>
      <c r="I24" s="1"/>
    </row>
    <row r="25" spans="1:9" x14ac:dyDescent="0.25">
      <c r="A25" s="1"/>
      <c r="B25" s="1"/>
      <c r="C25" s="6" t="s">
        <v>41</v>
      </c>
      <c r="D25" s="80" t="s">
        <v>30</v>
      </c>
      <c r="E25" s="81"/>
      <c r="F25" s="81"/>
      <c r="G25" s="82"/>
      <c r="H25" s="1"/>
      <c r="I25" s="1"/>
    </row>
    <row r="26" spans="1:9" x14ac:dyDescent="0.25">
      <c r="A26" s="1"/>
      <c r="B26" s="1"/>
      <c r="C26" s="6" t="s">
        <v>122</v>
      </c>
      <c r="D26" s="85" t="s">
        <v>47</v>
      </c>
      <c r="E26" s="86"/>
      <c r="F26" s="86"/>
      <c r="G26" s="8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isOWwWZqPkHf+t9vS+Tgz7m1c0klo6gUXhJiijaHA0feY7EhfBXEu4tBIGuv1bTIYox0cw99+ISokxvgMDv4sA==" saltValue="MZOHxE5mvKvTVYa0flX7V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9" t="s">
        <v>0</v>
      </c>
      <c r="C9" s="16" t="s">
        <v>1</v>
      </c>
      <c r="D9" s="128" t="s">
        <v>111</v>
      </c>
      <c r="E9" s="129"/>
      <c r="F9" s="128" t="s">
        <v>2</v>
      </c>
      <c r="G9" s="129"/>
      <c r="H9" s="128" t="s">
        <v>112</v>
      </c>
      <c r="I9" s="129"/>
      <c r="J9" s="128" t="s">
        <v>23</v>
      </c>
      <c r="K9" s="129"/>
      <c r="L9" s="1"/>
    </row>
    <row r="10" spans="1:12" x14ac:dyDescent="0.25">
      <c r="A10" s="1"/>
      <c r="B10" s="57" t="s">
        <v>134</v>
      </c>
      <c r="C10" s="30">
        <v>0</v>
      </c>
      <c r="D10" s="8">
        <v>0</v>
      </c>
      <c r="E10" s="12" t="s">
        <v>3</v>
      </c>
      <c r="F10" s="8">
        <f>IFERROR(D10/C10,0)</f>
        <v>0</v>
      </c>
      <c r="G10" s="12" t="s">
        <v>3</v>
      </c>
      <c r="H10" s="8">
        <v>0</v>
      </c>
      <c r="I10" s="12" t="s">
        <v>3</v>
      </c>
      <c r="J10" s="8">
        <v>0</v>
      </c>
      <c r="K10" s="12" t="s">
        <v>3</v>
      </c>
      <c r="L10" s="1"/>
    </row>
    <row r="11" spans="1:12" x14ac:dyDescent="0.25">
      <c r="A11" s="1"/>
      <c r="B11" s="65" t="s">
        <v>102</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I7W8Y0TmaJ+gIxn6RQUEVQKbtPJ8iISsRXUQ/mFxamYsLRPHpWpfjh4IWC4EjieV2L9gOnjMaG0bgidsHpzkEA==" saltValue="7qRNvHBG3wKsnYMEiaBCT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3" t="s">
        <v>15</v>
      </c>
      <c r="C9" s="63" t="s">
        <v>10</v>
      </c>
      <c r="D9" s="64"/>
      <c r="E9" s="63" t="s">
        <v>24</v>
      </c>
      <c r="F9" s="73"/>
      <c r="G9" s="1"/>
    </row>
    <row r="10" spans="1:7" x14ac:dyDescent="0.25">
      <c r="A10" s="1"/>
      <c r="B10" s="20" t="s">
        <v>135</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4" t="s">
        <v>67</v>
      </c>
      <c r="C16" s="10">
        <f>SUM(C10:C15)</f>
        <v>0</v>
      </c>
      <c r="D16" s="11" t="s">
        <v>3</v>
      </c>
      <c r="E16" s="10">
        <f>SUM(E10:E15)</f>
        <v>0</v>
      </c>
      <c r="F16" s="11" t="s">
        <v>3</v>
      </c>
      <c r="G16" s="1"/>
    </row>
    <row r="17" spans="1:7" x14ac:dyDescent="0.25">
      <c r="A17" s="1"/>
      <c r="B17" s="74" t="s">
        <v>98</v>
      </c>
      <c r="C17" s="10">
        <f>C16*(1+'Fane 11. Nøgletal'!C15)</f>
        <v>0</v>
      </c>
      <c r="D17" s="11" t="s">
        <v>3</v>
      </c>
      <c r="E17" s="10">
        <f>E16*(1+'Fane 11. Nøgletal'!C15)</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sheetData>
  <sheetProtection algorithmName="SHA-512" hashValue="oQm1uAsgqLISKUQrKBy3cBlpbHipFBBeJPJ+4rD5ipBSQWi+1X4PbSh2R1tEo9Er8rLPy6Vm2mhsAlXmkjje3w==" saltValue="kEwYn/jBY7nvJ7B9eZeO3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3" t="s">
        <v>15</v>
      </c>
      <c r="C8" s="63" t="s">
        <v>10</v>
      </c>
      <c r="D8" s="64"/>
      <c r="E8" s="63" t="s">
        <v>24</v>
      </c>
      <c r="F8" s="73"/>
      <c r="G8" s="1"/>
    </row>
    <row r="9" spans="1:7" x14ac:dyDescent="0.25">
      <c r="A9" s="1"/>
      <c r="B9" s="20" t="s">
        <v>152</v>
      </c>
      <c r="C9" s="19"/>
      <c r="D9" s="12" t="s">
        <v>3</v>
      </c>
      <c r="E9" s="19"/>
      <c r="F9" s="12" t="s">
        <v>3</v>
      </c>
      <c r="G9" s="1"/>
    </row>
    <row r="10" spans="1:7" x14ac:dyDescent="0.25">
      <c r="A10" s="1"/>
      <c r="B10" s="74" t="s">
        <v>107</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k/8OPoAG9+gOC0ZCBIuRSYK9zNeZEZR8fonGqFMSvB0wap/tz15wbCw+BfzX46KqcUmnKE0UX3pRC/T9QJ0WHA==" saltValue="goij5/hd8yL3zdEIE9z7K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136</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wxmjCB7CxF8C2SbVwXWL3Zt5eRdCHWHRflHSXbrNF52XBooLQajxwLiOip1Z8GRFa3ELX+KF5Sq2TrduWGFk7A==" saltValue="QbiRIPuHUYU2TmguGBFz5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137</v>
      </c>
      <c r="C11" s="8">
        <v>0</v>
      </c>
      <c r="D11" s="12" t="s">
        <v>3</v>
      </c>
      <c r="E11" s="8">
        <v>0</v>
      </c>
      <c r="F11" s="12" t="s">
        <v>3</v>
      </c>
      <c r="G11" s="1"/>
    </row>
    <row r="12" spans="1:7" x14ac:dyDescent="0.25">
      <c r="A12" s="1"/>
      <c r="B12" s="74" t="s">
        <v>104</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JDDed31ht1+I8uOOu8FnDnTXrtOAT+h/QfjWSEbfjDsPOMs8NXCgrm7pkdtV6dQE76f/L0XS/vUohlxnmR0Wkg==" saltValue="q1YrM/7DLJqcVi3fGk4F9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25.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cxTEt0H56+PmGUrZsrxY1lEoLrAyRdi1WsC5OQs2qFLyVNJ+YC2rT5hCgXldsmY+9TdQxh1Oro9s4bPoWlOQw==" saltValue="tLXzz1NVCODEI8gY9szgd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12</v>
      </c>
      <c r="C8" s="58"/>
      <c r="D8" s="58"/>
      <c r="E8" s="58"/>
      <c r="F8" s="58"/>
      <c r="G8" s="1"/>
    </row>
    <row r="9" spans="1:7" x14ac:dyDescent="0.25">
      <c r="A9" s="1"/>
      <c r="B9" s="55" t="s">
        <v>55</v>
      </c>
      <c r="C9" s="55"/>
      <c r="D9" s="55"/>
      <c r="E9" s="7">
        <f>'Fane 3. Omkostninger i ØR2022'!E16</f>
        <v>3628834.2329109213</v>
      </c>
      <c r="F9" s="55" t="s">
        <v>3</v>
      </c>
      <c r="G9" s="1"/>
    </row>
    <row r="10" spans="1:7" ht="17.25" customHeight="1" x14ac:dyDescent="0.25">
      <c r="A10" s="1"/>
      <c r="B10" s="24" t="s">
        <v>50</v>
      </c>
      <c r="C10" s="55"/>
      <c r="D10" s="55"/>
      <c r="E10" s="7">
        <f>'Fane 8.1. Varige tillæg'!C17+'Fane 8.1. Varige tillæg'!E17</f>
        <v>0</v>
      </c>
      <c r="F10" s="55" t="s">
        <v>3</v>
      </c>
      <c r="G10" s="1"/>
    </row>
    <row r="11" spans="1:7" ht="17.25" customHeight="1" x14ac:dyDescent="0.25">
      <c r="A11" s="1"/>
      <c r="B11" s="24" t="s">
        <v>52</v>
      </c>
      <c r="C11" s="55"/>
      <c r="D11" s="55"/>
      <c r="E11" s="8">
        <f>-('Fane 10. Bortfald'!C13+'Fane 10. Bortfald'!E13)</f>
        <v>0</v>
      </c>
      <c r="F11" s="55" t="s">
        <v>3</v>
      </c>
      <c r="G11" s="1"/>
    </row>
    <row r="12" spans="1:7" ht="17.25" customHeight="1" x14ac:dyDescent="0.25">
      <c r="A12" s="1"/>
      <c r="B12" s="24" t="s">
        <v>54</v>
      </c>
      <c r="C12" s="55"/>
      <c r="D12" s="55"/>
      <c r="E12" s="8">
        <f>'Fane 9. Tilknyttet virksomhed'!C12+'Fane 9. Tilknyttet virksomhed'!E12</f>
        <v>0</v>
      </c>
      <c r="F12" s="55" t="s">
        <v>3</v>
      </c>
      <c r="G12" s="1"/>
    </row>
    <row r="13" spans="1:7" ht="17.25" customHeight="1" x14ac:dyDescent="0.25">
      <c r="A13" s="1"/>
      <c r="B13" s="24" t="s">
        <v>17</v>
      </c>
      <c r="C13" s="55"/>
      <c r="D13" s="55"/>
      <c r="E13" s="8">
        <f>SUM(E9:E12)*'Fane 11. Nøgletal'!C15</f>
        <v>129186.4986916288</v>
      </c>
      <c r="F13" s="55" t="s">
        <v>3</v>
      </c>
      <c r="G13" s="1"/>
    </row>
    <row r="14" spans="1:7" ht="17.25" customHeight="1" x14ac:dyDescent="0.25">
      <c r="A14" s="1"/>
      <c r="B14" s="24" t="s">
        <v>44</v>
      </c>
      <c r="C14" s="55"/>
      <c r="D14" s="55"/>
      <c r="E14" s="8">
        <f>-SUM(E9,E10:E13)*'Fane 11. Nøgletal'!C20</f>
        <v>-63886.352437243353</v>
      </c>
      <c r="F14" s="55" t="s">
        <v>3</v>
      </c>
      <c r="G14" s="1"/>
    </row>
    <row r="15" spans="1:7" ht="15" customHeight="1" x14ac:dyDescent="0.25">
      <c r="A15" s="1"/>
      <c r="B15" s="68" t="s">
        <v>19</v>
      </c>
      <c r="C15" s="29"/>
      <c r="D15" s="29"/>
      <c r="E15" s="9">
        <f>SUM(E9,E10:E14)</f>
        <v>3694134.3791653067</v>
      </c>
      <c r="F15" s="59" t="s">
        <v>3</v>
      </c>
      <c r="G15" s="1"/>
    </row>
    <row r="16" spans="1:7" ht="15" customHeight="1" x14ac:dyDescent="0.25">
      <c r="A16" s="1"/>
      <c r="B16" s="58" t="s">
        <v>11</v>
      </c>
      <c r="C16" s="58"/>
      <c r="D16" s="58"/>
      <c r="E16" s="58"/>
      <c r="F16" s="58"/>
      <c r="G16" s="1"/>
    </row>
    <row r="17" spans="1:7" ht="15" customHeight="1" x14ac:dyDescent="0.25">
      <c r="A17" s="1"/>
      <c r="B17" s="59" t="s">
        <v>11</v>
      </c>
      <c r="C17" s="59"/>
      <c r="D17" s="59"/>
      <c r="E17" s="9">
        <f>'Fane 4. Ikke-påvirkelige omk.'!C14</f>
        <v>1949827.1679993602</v>
      </c>
      <c r="F17" s="59" t="s">
        <v>3</v>
      </c>
      <c r="G17" s="1"/>
    </row>
    <row r="18" spans="1:7" ht="15" customHeight="1" x14ac:dyDescent="0.25">
      <c r="A18" s="1"/>
      <c r="B18" s="58" t="s">
        <v>36</v>
      </c>
      <c r="C18" s="58"/>
      <c r="D18" s="58"/>
      <c r="E18" s="58"/>
      <c r="F18" s="58"/>
      <c r="G18" s="1"/>
    </row>
    <row r="19" spans="1:7" ht="15" customHeight="1" x14ac:dyDescent="0.25">
      <c r="A19" s="1"/>
      <c r="B19" s="24" t="s">
        <v>33</v>
      </c>
      <c r="C19" s="55"/>
      <c r="D19" s="55"/>
      <c r="E19" s="8">
        <f>'Fane 8.2. Engangstillæg'!C11</f>
        <v>0</v>
      </c>
      <c r="F19" s="55" t="s">
        <v>3</v>
      </c>
      <c r="G19" s="1"/>
    </row>
    <row r="20" spans="1:7" x14ac:dyDescent="0.25">
      <c r="A20" s="1"/>
      <c r="B20" s="24" t="s">
        <v>34</v>
      </c>
      <c r="C20" s="55"/>
      <c r="D20" s="55"/>
      <c r="E20" s="8">
        <f>'Fane 8.2. Engangstillæg'!E11</f>
        <v>0</v>
      </c>
      <c r="F20" s="55" t="s">
        <v>3</v>
      </c>
      <c r="G20" s="1"/>
    </row>
    <row r="21" spans="1:7" x14ac:dyDescent="0.25">
      <c r="A21" s="1"/>
      <c r="B21" s="24" t="s">
        <v>106</v>
      </c>
      <c r="C21" s="55"/>
      <c r="D21" s="55"/>
      <c r="E21" s="8">
        <f>-SUM(E19:E20)*'Fane 11. Nøgletal'!C20</f>
        <v>0</v>
      </c>
      <c r="F21" s="55" t="s">
        <v>3</v>
      </c>
      <c r="G21" s="1"/>
    </row>
    <row r="22" spans="1:7" ht="15" customHeight="1" x14ac:dyDescent="0.25">
      <c r="A22" s="1"/>
      <c r="B22" s="68" t="s">
        <v>37</v>
      </c>
      <c r="C22" s="29"/>
      <c r="D22" s="29"/>
      <c r="E22" s="9">
        <f>SUM(E19:E21)</f>
        <v>0</v>
      </c>
      <c r="F22" s="59" t="s">
        <v>3</v>
      </c>
      <c r="G22" s="1"/>
    </row>
    <row r="23" spans="1:7" x14ac:dyDescent="0.25">
      <c r="A23" s="1"/>
      <c r="B23" s="58" t="s">
        <v>62</v>
      </c>
      <c r="C23" s="58"/>
      <c r="D23" s="58"/>
      <c r="E23" s="58"/>
      <c r="F23" s="58"/>
      <c r="G23" s="1"/>
    </row>
    <row r="24" spans="1:7" x14ac:dyDescent="0.25">
      <c r="A24" s="1"/>
      <c r="B24" s="68" t="s">
        <v>63</v>
      </c>
      <c r="C24" s="32"/>
      <c r="D24" s="32"/>
      <c r="E24" s="9">
        <f>'Fane 5. Kontrol af ØR2021'!E30</f>
        <v>-382617.67250857642</v>
      </c>
      <c r="F24" s="59" t="s">
        <v>3</v>
      </c>
      <c r="G24" s="1"/>
    </row>
    <row r="25" spans="1:7" x14ac:dyDescent="0.25">
      <c r="A25" s="1"/>
      <c r="B25" s="58" t="s">
        <v>75</v>
      </c>
      <c r="C25" s="58"/>
      <c r="D25" s="58"/>
      <c r="E25" s="58"/>
      <c r="F25" s="58"/>
      <c r="G25" s="1"/>
    </row>
    <row r="26" spans="1:7" x14ac:dyDescent="0.25">
      <c r="A26" s="1"/>
      <c r="B26" s="59" t="s">
        <v>76</v>
      </c>
      <c r="C26" s="59"/>
      <c r="D26" s="59"/>
      <c r="E26" s="9">
        <f>'Fane 6. Skattesagen'!G12</f>
        <v>0</v>
      </c>
      <c r="F26" s="59" t="s">
        <v>3</v>
      </c>
      <c r="G26" s="1"/>
    </row>
    <row r="27" spans="1:7" x14ac:dyDescent="0.25">
      <c r="A27" s="1"/>
      <c r="B27" s="58" t="s">
        <v>39</v>
      </c>
      <c r="C27" s="58"/>
      <c r="D27" s="58"/>
      <c r="E27" s="10">
        <f>SUM(E15:E17:E22:E24:E26)</f>
        <v>5261343.8746560905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isZTrS6L6drIkHcqmNkWrp0jUVlZeRpD+TuEmYOqGODtdQlKqPLK2t/j77IIRDVdGBEijN4VuE0NdqulDrzHtQ==" saltValue="UPNCtC5tzB937hj5vunQ0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56</v>
      </c>
      <c r="C8" s="55"/>
      <c r="D8" s="55"/>
      <c r="E8" s="7">
        <f>'Fane 2.1. Økonomisk ramme 2023'!E15</f>
        <v>3694134.3791653067</v>
      </c>
      <c r="F8" s="55" t="s">
        <v>3</v>
      </c>
      <c r="G8" s="1"/>
    </row>
    <row r="9" spans="1:7" ht="15" customHeight="1" x14ac:dyDescent="0.25">
      <c r="A9" s="1"/>
      <c r="B9" s="56" t="s">
        <v>17</v>
      </c>
      <c r="C9" s="55"/>
      <c r="D9" s="55"/>
      <c r="E9" s="8">
        <f>SUM(E8:E8)*'Fane 11. Nøgletal'!C15</f>
        <v>131511.18389828491</v>
      </c>
      <c r="F9" s="55" t="s">
        <v>3</v>
      </c>
      <c r="G9" s="1"/>
    </row>
    <row r="10" spans="1:7" ht="15" customHeight="1" x14ac:dyDescent="0.25">
      <c r="A10" s="1"/>
      <c r="B10" s="56" t="s">
        <v>44</v>
      </c>
      <c r="C10" s="55"/>
      <c r="D10" s="55"/>
      <c r="E10" s="8">
        <f>-SUM(E8:E9)*'Fane 11. Nøgletal'!C20</f>
        <v>-65035.974572081061</v>
      </c>
      <c r="F10" s="55" t="s">
        <v>3</v>
      </c>
      <c r="G10" s="1"/>
    </row>
    <row r="11" spans="1:7" ht="15" customHeight="1" x14ac:dyDescent="0.25">
      <c r="A11" s="1"/>
      <c r="B11" s="29" t="s">
        <v>19</v>
      </c>
      <c r="C11" s="29"/>
      <c r="D11" s="29"/>
      <c r="E11" s="9">
        <f>SUM(E8:E10)</f>
        <v>3760609.5884915106</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f>
        <v>2019241.0151801377</v>
      </c>
      <c r="F13" s="59" t="s">
        <v>3</v>
      </c>
      <c r="G13" s="1"/>
    </row>
    <row r="14" spans="1:7" x14ac:dyDescent="0.25">
      <c r="A14" s="1"/>
      <c r="B14" s="58" t="s">
        <v>62</v>
      </c>
      <c r="C14" s="58"/>
      <c r="D14" s="58"/>
      <c r="E14" s="58"/>
      <c r="F14" s="58"/>
      <c r="G14" s="1"/>
    </row>
    <row r="15" spans="1:7" x14ac:dyDescent="0.25">
      <c r="A15" s="1"/>
      <c r="B15" s="59" t="s">
        <v>77</v>
      </c>
      <c r="C15" s="33"/>
      <c r="D15" s="33"/>
      <c r="E15" s="9">
        <f>'Fane 5. Kontrol af ØR2021'!E30</f>
        <v>-382617.67250857642</v>
      </c>
      <c r="F15" s="59" t="s">
        <v>3</v>
      </c>
      <c r="G15" s="1"/>
    </row>
    <row r="16" spans="1:7" x14ac:dyDescent="0.25">
      <c r="A16" s="1"/>
      <c r="B16" s="58" t="s">
        <v>75</v>
      </c>
      <c r="C16" s="58"/>
      <c r="D16" s="58"/>
      <c r="E16" s="58"/>
      <c r="F16" s="58"/>
      <c r="G16" s="1"/>
    </row>
    <row r="17" spans="1:7" x14ac:dyDescent="0.25">
      <c r="A17" s="1"/>
      <c r="B17" s="59" t="s">
        <v>76</v>
      </c>
      <c r="C17" s="59"/>
      <c r="D17" s="59"/>
      <c r="E17" s="9">
        <f>'Fane 6. Skattesagen'!G13</f>
        <v>0</v>
      </c>
      <c r="F17" s="59" t="s">
        <v>3</v>
      </c>
      <c r="G17" s="1"/>
    </row>
    <row r="18" spans="1:7" x14ac:dyDescent="0.25">
      <c r="A18" s="1"/>
      <c r="B18" s="58" t="s">
        <v>57</v>
      </c>
      <c r="C18" s="58"/>
      <c r="D18" s="58"/>
      <c r="E18" s="10">
        <f>SUM(E11,E13,E15,E17)</f>
        <v>5397232.9311630726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KPBu0zcwdNjTmX9du7V8moGYlMjEz0dNbPhhjIMmUvDeBSS+kOw33cteuIcrEEmKExxUvc2TGIqw4MK82ZL0Jw==" saltValue="afgG4yHDThVQ7lr+JbHsJ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65</v>
      </c>
      <c r="C8" s="55"/>
      <c r="D8" s="55"/>
      <c r="E8" s="7">
        <f>'Fane 2.2. Økonomisk ramme 2024'!E11</f>
        <v>3760609.5884915106</v>
      </c>
      <c r="F8" s="55" t="s">
        <v>3</v>
      </c>
      <c r="G8" s="1"/>
    </row>
    <row r="9" spans="1:7" ht="15" customHeight="1" x14ac:dyDescent="0.25">
      <c r="A9" s="1"/>
      <c r="B9" s="56" t="s">
        <v>17</v>
      </c>
      <c r="C9" s="55"/>
      <c r="D9" s="55"/>
      <c r="E9" s="8">
        <f>SUM(E8:E8)*'Fane 11. Nøgletal'!C15</f>
        <v>133877.70135029778</v>
      </c>
      <c r="F9" s="55" t="s">
        <v>3</v>
      </c>
      <c r="G9" s="1"/>
    </row>
    <row r="10" spans="1:7" ht="15" customHeight="1" x14ac:dyDescent="0.25">
      <c r="A10" s="1"/>
      <c r="B10" s="56" t="s">
        <v>44</v>
      </c>
      <c r="C10" s="55"/>
      <c r="D10" s="55"/>
      <c r="E10" s="8">
        <f>-SUM(E8:E9)*'Fane 11. Nøgletal'!C20</f>
        <v>-66206.283927310753</v>
      </c>
      <c r="F10" s="55" t="s">
        <v>3</v>
      </c>
      <c r="G10" s="1"/>
    </row>
    <row r="11" spans="1:7" x14ac:dyDescent="0.25">
      <c r="A11" s="1"/>
      <c r="B11" s="29" t="s">
        <v>19</v>
      </c>
      <c r="C11" s="29"/>
      <c r="D11" s="29"/>
      <c r="E11" s="9">
        <f>SUM(E8:E10)</f>
        <v>3828281.0059144977</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Nøgletal'!C15)^2</f>
        <v>2091125.9953205506</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Skattesagen'!G14</f>
        <v>0</v>
      </c>
      <c r="F17" s="59" t="s">
        <v>3</v>
      </c>
      <c r="G17" s="1"/>
    </row>
    <row r="18" spans="1:7" x14ac:dyDescent="0.25">
      <c r="A18" s="1"/>
      <c r="B18" s="58" t="s">
        <v>66</v>
      </c>
      <c r="C18" s="58"/>
      <c r="D18" s="58"/>
      <c r="E18" s="10">
        <f>SUM(E11,E13,E15,E17)</f>
        <v>5919407.0012350483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iS9pDMqPmVbQocZBJdAWkaP2AN/BY20hfvhCOPxMXPjujzJUdkePX5d/H+ynjLZ8XdTowbLgKrvAMkraprHh1w==" saltValue="zY5CdRKrYOwVg2YovJKZq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86</v>
      </c>
      <c r="C8" s="55"/>
      <c r="D8" s="55"/>
      <c r="E8" s="7">
        <f>'Fane 2.3. Økonomisk ramme 2025'!E11</f>
        <v>3828281.0059144977</v>
      </c>
      <c r="F8" s="55" t="s">
        <v>3</v>
      </c>
      <c r="G8" s="1"/>
    </row>
    <row r="9" spans="1:7" ht="15" customHeight="1" x14ac:dyDescent="0.25">
      <c r="A9" s="1"/>
      <c r="B9" s="56" t="s">
        <v>17</v>
      </c>
      <c r="C9" s="55"/>
      <c r="D9" s="55"/>
      <c r="E9" s="8">
        <f>SUM(E8:E8)*'Fane 11. Nøgletal'!C15</f>
        <v>136286.80381055613</v>
      </c>
      <c r="F9" s="55" t="s">
        <v>3</v>
      </c>
      <c r="G9" s="1"/>
    </row>
    <row r="10" spans="1:7" ht="15" customHeight="1" x14ac:dyDescent="0.25">
      <c r="A10" s="1"/>
      <c r="B10" s="56" t="s">
        <v>44</v>
      </c>
      <c r="C10" s="55"/>
      <c r="D10" s="55"/>
      <c r="E10" s="8">
        <f>-SUM(E8:E9)*'Fane 11. Nøgletal'!C20</f>
        <v>-67397.652765325911</v>
      </c>
      <c r="F10" s="55" t="s">
        <v>3</v>
      </c>
      <c r="G10" s="1"/>
    </row>
    <row r="11" spans="1:7" x14ac:dyDescent="0.25">
      <c r="A11" s="1"/>
      <c r="B11" s="29" t="s">
        <v>19</v>
      </c>
      <c r="C11" s="29"/>
      <c r="D11" s="29"/>
      <c r="E11" s="9">
        <f>SUM(E8:E10)</f>
        <v>3897170.1569597279</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Nøgletal'!C15)^3</f>
        <v>2165570.0807539625</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Skattesagen'!G15</f>
        <v>0</v>
      </c>
      <c r="F17" s="59" t="s">
        <v>3</v>
      </c>
      <c r="G17" s="1"/>
    </row>
    <row r="18" spans="1:7" x14ac:dyDescent="0.25">
      <c r="A18" s="1"/>
      <c r="B18" s="58" t="s">
        <v>87</v>
      </c>
      <c r="C18" s="58"/>
      <c r="D18" s="58"/>
      <c r="E18" s="10">
        <f>SUM(E11,E13,E15,E17)</f>
        <v>6062740.2377136908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iNjWgHWRIM/m8a0A6I6GLU4iLbZVnHeNYCCEqz0sJ0/h5txYJIGUEHkskg01tRLHKDgxYQb7xOjbNPRiMmqxA==" saltValue="um7igKX/spui9LzS+ZL5r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88</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89</v>
      </c>
      <c r="C8" s="58"/>
      <c r="D8" s="58"/>
      <c r="E8" s="58"/>
      <c r="F8" s="58"/>
      <c r="G8" s="1"/>
    </row>
    <row r="9" spans="1:7" x14ac:dyDescent="0.25">
      <c r="A9" s="1"/>
      <c r="B9" s="108" t="s">
        <v>22</v>
      </c>
      <c r="C9" s="108"/>
      <c r="D9" s="108"/>
      <c r="E9" s="7">
        <v>3647096.7049512942</v>
      </c>
      <c r="F9" s="55" t="s">
        <v>3</v>
      </c>
      <c r="G9" s="1"/>
    </row>
    <row r="10" spans="1:7" x14ac:dyDescent="0.25">
      <c r="A10" s="1"/>
      <c r="B10" s="109" t="s">
        <v>103</v>
      </c>
      <c r="C10" s="110"/>
      <c r="D10" s="111"/>
      <c r="E10" s="7">
        <v>0</v>
      </c>
      <c r="F10" s="55" t="s">
        <v>3</v>
      </c>
      <c r="G10" s="1"/>
    </row>
    <row r="11" spans="1:7" x14ac:dyDescent="0.25">
      <c r="A11" s="1"/>
      <c r="B11" s="94" t="s">
        <v>50</v>
      </c>
      <c r="C11" s="94"/>
      <c r="D11" s="94"/>
      <c r="E11" s="7">
        <v>0</v>
      </c>
      <c r="F11" s="55" t="s">
        <v>3</v>
      </c>
      <c r="G11" s="1"/>
    </row>
    <row r="12" spans="1:7" x14ac:dyDescent="0.25">
      <c r="A12" s="1"/>
      <c r="B12" s="94" t="s">
        <v>54</v>
      </c>
      <c r="C12" s="94"/>
      <c r="D12" s="94"/>
      <c r="E12" s="7">
        <v>0</v>
      </c>
      <c r="F12" s="55" t="s">
        <v>3</v>
      </c>
      <c r="G12" s="1"/>
    </row>
    <row r="13" spans="1:7" x14ac:dyDescent="0.25">
      <c r="A13" s="1"/>
      <c r="B13" s="94" t="s">
        <v>51</v>
      </c>
      <c r="C13" s="94"/>
      <c r="D13" s="94"/>
      <c r="E13" s="8">
        <v>0</v>
      </c>
      <c r="F13" s="55" t="s">
        <v>3</v>
      </c>
      <c r="G13" s="1"/>
    </row>
    <row r="14" spans="1:7" x14ac:dyDescent="0.25">
      <c r="A14" s="1"/>
      <c r="B14" s="94" t="s">
        <v>17</v>
      </c>
      <c r="C14" s="94"/>
      <c r="D14" s="94"/>
      <c r="E14" s="8">
        <f>E9*'Fane 11. Nøgletal'!C13+SUM(E11:E13)*'Fane 11. Nøgletal'!C14</f>
        <v>44494.579800405794</v>
      </c>
      <c r="F14" s="55" t="s">
        <v>3</v>
      </c>
      <c r="G14" s="1"/>
    </row>
    <row r="15" spans="1:7" x14ac:dyDescent="0.25">
      <c r="A15" s="1"/>
      <c r="B15" s="94" t="s">
        <v>44</v>
      </c>
      <c r="C15" s="94"/>
      <c r="D15" s="94"/>
      <c r="E15" s="8">
        <f>-SUM(E9:E14)*'Fane 11. Nøgletal'!C20</f>
        <v>-62757.051840778906</v>
      </c>
      <c r="F15" s="55" t="s">
        <v>3</v>
      </c>
      <c r="G15" s="1"/>
    </row>
    <row r="16" spans="1:7" x14ac:dyDescent="0.25">
      <c r="A16" s="1"/>
      <c r="B16" s="95" t="s">
        <v>19</v>
      </c>
      <c r="C16" s="95"/>
      <c r="D16" s="95"/>
      <c r="E16" s="34">
        <f>SUM(E9:E15)</f>
        <v>3628834.2329109213</v>
      </c>
      <c r="F16" s="35" t="s">
        <v>3</v>
      </c>
      <c r="G16" s="1"/>
    </row>
    <row r="17" spans="1:7" x14ac:dyDescent="0.25">
      <c r="A17" s="1"/>
      <c r="B17" s="96" t="s">
        <v>11</v>
      </c>
      <c r="C17" s="96"/>
      <c r="D17" s="96"/>
      <c r="E17" s="58"/>
      <c r="F17" s="58"/>
      <c r="G17" s="1"/>
    </row>
    <row r="18" spans="1:7" x14ac:dyDescent="0.25">
      <c r="A18" s="1"/>
      <c r="B18" s="97" t="s">
        <v>11</v>
      </c>
      <c r="C18" s="97"/>
      <c r="D18" s="97"/>
      <c r="E18" s="9">
        <v>1849730.0524679802</v>
      </c>
      <c r="F18" s="59" t="s">
        <v>3</v>
      </c>
      <c r="G18" s="1"/>
    </row>
    <row r="19" spans="1:7" ht="15.4" customHeight="1" x14ac:dyDescent="0.25">
      <c r="A19" s="1"/>
      <c r="B19" s="58" t="s">
        <v>36</v>
      </c>
      <c r="C19" s="58"/>
      <c r="D19" s="58"/>
      <c r="E19" s="58"/>
      <c r="F19" s="58"/>
      <c r="G19" s="1"/>
    </row>
    <row r="20" spans="1:7" ht="15.75" customHeight="1" x14ac:dyDescent="0.25">
      <c r="A20" s="1"/>
      <c r="B20" s="98" t="s">
        <v>33</v>
      </c>
      <c r="C20" s="99"/>
      <c r="D20" s="100"/>
      <c r="E20" s="28">
        <v>0</v>
      </c>
      <c r="F20" s="27" t="s">
        <v>3</v>
      </c>
      <c r="G20" s="1"/>
    </row>
    <row r="21" spans="1:7" x14ac:dyDescent="0.25">
      <c r="A21" s="1"/>
      <c r="B21" s="98" t="s">
        <v>34</v>
      </c>
      <c r="C21" s="99"/>
      <c r="D21" s="100"/>
      <c r="E21" s="51">
        <v>0</v>
      </c>
      <c r="F21" s="27" t="s">
        <v>3</v>
      </c>
      <c r="G21" s="1"/>
    </row>
    <row r="22" spans="1:7" x14ac:dyDescent="0.25">
      <c r="A22" s="1"/>
      <c r="B22" s="101" t="s">
        <v>37</v>
      </c>
      <c r="C22" s="102"/>
      <c r="D22" s="103"/>
      <c r="E22" s="9">
        <f>SUM(E20:E21)</f>
        <v>0</v>
      </c>
      <c r="F22" s="9" t="s">
        <v>3</v>
      </c>
      <c r="G22" s="1"/>
    </row>
    <row r="23" spans="1:7" ht="15.75" customHeight="1" x14ac:dyDescent="0.25">
      <c r="A23" s="1"/>
      <c r="B23" s="58" t="s">
        <v>62</v>
      </c>
      <c r="C23" s="58"/>
      <c r="D23" s="58"/>
      <c r="E23" s="58"/>
      <c r="F23" s="58"/>
      <c r="G23" s="1"/>
    </row>
    <row r="24" spans="1:7" x14ac:dyDescent="0.25">
      <c r="A24" s="1"/>
      <c r="B24" s="68" t="s">
        <v>27</v>
      </c>
      <c r="C24" s="29"/>
      <c r="D24" s="29"/>
      <c r="E24" s="9">
        <v>-391970.64455348719</v>
      </c>
      <c r="F24" s="59" t="s">
        <v>3</v>
      </c>
      <c r="G24" s="1"/>
    </row>
    <row r="25" spans="1:7" x14ac:dyDescent="0.25">
      <c r="A25" s="1"/>
      <c r="B25" s="68" t="s">
        <v>63</v>
      </c>
      <c r="C25" s="29"/>
      <c r="D25" s="29"/>
      <c r="E25" s="9">
        <v>-206090.81666057883</v>
      </c>
      <c r="F25" s="59" t="s">
        <v>3</v>
      </c>
      <c r="G25" s="1"/>
    </row>
    <row r="26" spans="1:7" x14ac:dyDescent="0.25">
      <c r="A26" s="1"/>
      <c r="B26" s="58" t="s">
        <v>75</v>
      </c>
      <c r="C26" s="58"/>
      <c r="D26" s="58"/>
      <c r="E26" s="58"/>
      <c r="F26" s="58"/>
      <c r="G26" s="1"/>
    </row>
    <row r="27" spans="1:7" x14ac:dyDescent="0.25">
      <c r="A27" s="1"/>
      <c r="B27" s="104" t="s">
        <v>76</v>
      </c>
      <c r="C27" s="105"/>
      <c r="D27" s="106"/>
      <c r="E27" s="9">
        <f>'Fane 6. Skattesagen'!G11</f>
        <v>0</v>
      </c>
      <c r="F27" s="59" t="s">
        <v>3</v>
      </c>
      <c r="G27" s="1"/>
    </row>
    <row r="28" spans="1:7" ht="15" customHeight="1" x14ac:dyDescent="0.25">
      <c r="A28" s="1"/>
      <c r="B28" s="36" t="s">
        <v>146</v>
      </c>
      <c r="C28" s="36"/>
      <c r="D28" s="36"/>
      <c r="E28" s="37">
        <f>E16+E18+E22+E24+E25+E27</f>
        <v>4880502.8241648357</v>
      </c>
      <c r="F28" s="38" t="s">
        <v>3</v>
      </c>
      <c r="G28" s="1"/>
    </row>
    <row r="29" spans="1:7" ht="27" customHeight="1" x14ac:dyDescent="0.25">
      <c r="A29" s="1"/>
      <c r="B29" s="93" t="s">
        <v>90</v>
      </c>
      <c r="C29" s="93"/>
      <c r="D29" s="93"/>
      <c r="E29" s="93"/>
      <c r="F29" s="93"/>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pyRC24J8F7aZ8mXe+a+Cn1RucJw03CZxgQVpEiWvX5AaTga1jxfHyrViaB6NlxoftjR8Aef7IFCJkhFUKnDl2g==" saltValue="6PspfVOzx7nPHgm4ItKoJ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9" t="s">
        <v>109</v>
      </c>
      <c r="D9" s="59"/>
      <c r="E9" s="1"/>
      <c r="F9" s="1"/>
    </row>
    <row r="10" spans="1:6" x14ac:dyDescent="0.25">
      <c r="A10" s="1"/>
      <c r="B10" s="23" t="s">
        <v>127</v>
      </c>
      <c r="C10" s="8">
        <v>1809023</v>
      </c>
      <c r="D10" s="12" t="s">
        <v>3</v>
      </c>
      <c r="E10" s="1"/>
      <c r="F10" s="1"/>
    </row>
    <row r="11" spans="1:6" x14ac:dyDescent="0.25">
      <c r="A11" s="1"/>
      <c r="B11" s="23" t="s">
        <v>128</v>
      </c>
      <c r="C11" s="8">
        <v>8291</v>
      </c>
      <c r="D11" s="12" t="s">
        <v>3</v>
      </c>
      <c r="E11" s="1"/>
      <c r="F11" s="1"/>
    </row>
    <row r="12" spans="1:6" x14ac:dyDescent="0.25">
      <c r="A12" s="1"/>
      <c r="B12" s="23" t="s">
        <v>129</v>
      </c>
      <c r="C12" s="8">
        <v>762</v>
      </c>
      <c r="D12" s="12" t="s">
        <v>3</v>
      </c>
      <c r="E12" s="1"/>
      <c r="F12" s="1"/>
    </row>
    <row r="13" spans="1:6" x14ac:dyDescent="0.25">
      <c r="A13" s="1"/>
      <c r="B13" s="74" t="s">
        <v>92</v>
      </c>
      <c r="C13" s="10">
        <f>SUM(C10:C12)</f>
        <v>1818076</v>
      </c>
      <c r="D13" s="11" t="s">
        <v>3</v>
      </c>
      <c r="E13" s="1"/>
      <c r="F13" s="1"/>
    </row>
    <row r="14" spans="1:6" x14ac:dyDescent="0.25">
      <c r="A14" s="1"/>
      <c r="B14" s="74" t="s">
        <v>93</v>
      </c>
      <c r="C14" s="10">
        <f>C13*(1+'Fane 11. Nøgletal'!C15)^2</f>
        <v>1949827.1679993602</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l90zUxFN7Rx8duQrhHfzR4S3uLRBSqMPmPfSJAbF7qrVcwDcl7QVYqV30d1N/xOJasQNIiSh6bboN1jaDdaZ5A==" saltValue="7fzGYT0a2FYz+5AI0J4Rv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151</v>
      </c>
      <c r="C3" s="107"/>
      <c r="D3" s="107"/>
      <c r="E3" s="107"/>
      <c r="F3" s="107"/>
      <c r="G3" s="1"/>
    </row>
    <row r="4" spans="1:7" ht="15" customHeight="1" x14ac:dyDescent="0.25">
      <c r="A4" s="1"/>
      <c r="B4" s="107"/>
      <c r="C4" s="107"/>
      <c r="D4" s="107"/>
      <c r="E4" s="107"/>
      <c r="F4" s="107"/>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-265769.99853580631</v>
      </c>
      <c r="F9" s="12" t="s">
        <v>3</v>
      </c>
      <c r="G9" s="1"/>
    </row>
    <row r="10" spans="1:7" x14ac:dyDescent="0.25">
      <c r="A10" s="1"/>
      <c r="B10" s="119" t="s">
        <v>130</v>
      </c>
      <c r="C10" s="120"/>
      <c r="D10" s="121"/>
      <c r="E10" s="8">
        <v>-265769.99853580631</v>
      </c>
      <c r="F10" s="12" t="s">
        <v>3</v>
      </c>
      <c r="G10" s="1"/>
    </row>
    <row r="11" spans="1:7" x14ac:dyDescent="0.25">
      <c r="A11" s="1"/>
      <c r="B11" s="74"/>
      <c r="C11" s="22"/>
      <c r="D11" s="22"/>
      <c r="E11" s="22"/>
      <c r="F11" s="75"/>
      <c r="G11" s="1"/>
    </row>
    <row r="12" spans="1:7" ht="68.25" customHeight="1" x14ac:dyDescent="0.25">
      <c r="A12" s="1"/>
      <c r="B12" s="125" t="s">
        <v>147</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f>-66442.4996339516*2</f>
        <v>-132884.99926790319</v>
      </c>
      <c r="F15" s="12" t="s">
        <v>3</v>
      </c>
      <c r="G15" s="1"/>
    </row>
    <row r="16" spans="1:7" x14ac:dyDescent="0.25">
      <c r="A16" s="1"/>
      <c r="B16" s="119" t="s">
        <v>131</v>
      </c>
      <c r="C16" s="120"/>
      <c r="D16" s="121"/>
      <c r="E16" s="8">
        <f>-66442.4996339516*2</f>
        <v>-132884.99926790319</v>
      </c>
      <c r="F16" s="12" t="s">
        <v>3</v>
      </c>
      <c r="G16" s="1"/>
    </row>
    <row r="17" spans="1:7" x14ac:dyDescent="0.25">
      <c r="A17" s="1"/>
      <c r="B17" s="74"/>
      <c r="C17" s="22"/>
      <c r="D17" s="22"/>
      <c r="E17" s="22"/>
      <c r="F17" s="75"/>
      <c r="G17" s="1"/>
    </row>
    <row r="18" spans="1:7" ht="31.5" customHeight="1" x14ac:dyDescent="0.25">
      <c r="A18" s="1"/>
      <c r="B18" s="125" t="s">
        <v>148</v>
      </c>
      <c r="C18" s="126"/>
      <c r="D18" s="126"/>
      <c r="E18" s="126"/>
      <c r="F18" s="127"/>
      <c r="G18" s="1"/>
    </row>
    <row r="19" spans="1:7" ht="28.5" customHeight="1" x14ac:dyDescent="0.25">
      <c r="A19" s="1"/>
      <c r="B19" s="1"/>
      <c r="C19" s="1"/>
      <c r="D19" s="1"/>
      <c r="E19" s="1"/>
      <c r="F19" s="1"/>
      <c r="G19" s="1"/>
    </row>
    <row r="20" spans="1:7" ht="28.5" customHeight="1" x14ac:dyDescent="0.25">
      <c r="A20" s="1"/>
      <c r="B20" s="65" t="s">
        <v>96</v>
      </c>
      <c r="C20" s="66"/>
      <c r="D20" s="66"/>
      <c r="E20" s="66"/>
      <c r="F20" s="67"/>
      <c r="G20" s="1"/>
    </row>
    <row r="21" spans="1:7" x14ac:dyDescent="0.25">
      <c r="A21" s="1"/>
      <c r="B21" s="69" t="s">
        <v>97</v>
      </c>
      <c r="C21" s="70"/>
      <c r="D21" s="71"/>
      <c r="E21" s="8">
        <v>4728740.6535186535</v>
      </c>
      <c r="F21" s="12" t="s">
        <v>3</v>
      </c>
      <c r="G21" s="1"/>
    </row>
    <row r="22" spans="1:7" x14ac:dyDescent="0.25">
      <c r="A22" s="1"/>
      <c r="B22" s="69" t="s">
        <v>132</v>
      </c>
      <c r="C22" s="70"/>
      <c r="D22" s="71"/>
      <c r="E22" s="8">
        <v>5228206</v>
      </c>
      <c r="F22" s="12" t="s">
        <v>3</v>
      </c>
      <c r="G22" s="1"/>
    </row>
    <row r="23" spans="1:7" x14ac:dyDescent="0.25">
      <c r="A23" s="1"/>
      <c r="B23" s="69" t="s">
        <v>26</v>
      </c>
      <c r="C23" s="70"/>
      <c r="D23" s="71"/>
      <c r="E23" s="8">
        <v>0</v>
      </c>
      <c r="F23" s="12" t="s">
        <v>3</v>
      </c>
      <c r="G23" s="1"/>
    </row>
    <row r="24" spans="1:7" x14ac:dyDescent="0.25">
      <c r="A24" s="1"/>
      <c r="B24" s="60" t="s">
        <v>149</v>
      </c>
      <c r="C24" s="61"/>
      <c r="D24" s="62"/>
      <c r="E24" s="52">
        <f>E21-(E22-E23)</f>
        <v>-499465.34648134653</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133</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-765235.34501715284</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-382617.67250857642</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F1/Ad/7X9w8NqFH1aHhGnaP0lYGJiKMiiCMt7O/WcRFW935LeETF6GtgzSKGJgThfe8g2C6dQExJ9k8fiUPoCQ==" saltValue="S27vJIS8WOjuMpsCPqvI4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126</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123</v>
      </c>
      <c r="C8" s="113"/>
      <c r="D8" s="113"/>
      <c r="E8" s="113"/>
      <c r="F8" s="113"/>
      <c r="G8" s="113"/>
      <c r="H8" s="114"/>
      <c r="I8" s="1"/>
    </row>
    <row r="9" spans="1:9" ht="15" customHeight="1" x14ac:dyDescent="0.25">
      <c r="A9" s="1"/>
      <c r="B9" s="104" t="s">
        <v>124</v>
      </c>
      <c r="C9" s="105"/>
      <c r="D9" s="105"/>
      <c r="E9" s="105"/>
      <c r="F9" s="105"/>
      <c r="G9" s="105"/>
      <c r="H9" s="106"/>
      <c r="I9" s="1"/>
    </row>
    <row r="10" spans="1:9" x14ac:dyDescent="0.25">
      <c r="A10" s="1"/>
      <c r="B10" s="109" t="s">
        <v>138</v>
      </c>
      <c r="C10" s="110"/>
      <c r="D10" s="110"/>
      <c r="E10" s="110"/>
      <c r="F10" s="111"/>
      <c r="G10" s="53">
        <v>0</v>
      </c>
      <c r="H10" s="8" t="s">
        <v>3</v>
      </c>
      <c r="I10" s="1"/>
    </row>
    <row r="11" spans="1:9" x14ac:dyDescent="0.25">
      <c r="A11" s="1"/>
      <c r="B11" s="109" t="s">
        <v>139</v>
      </c>
      <c r="C11" s="110"/>
      <c r="D11" s="110"/>
      <c r="E11" s="110"/>
      <c r="F11" s="111"/>
      <c r="G11" s="53">
        <v>0</v>
      </c>
      <c r="H11" s="8" t="s">
        <v>3</v>
      </c>
      <c r="I11" s="1"/>
    </row>
    <row r="12" spans="1:9" x14ac:dyDescent="0.25">
      <c r="A12" s="1"/>
      <c r="B12" s="109" t="s">
        <v>140</v>
      </c>
      <c r="C12" s="110"/>
      <c r="D12" s="110"/>
      <c r="E12" s="110"/>
      <c r="F12" s="111"/>
      <c r="G12" s="8">
        <v>0</v>
      </c>
      <c r="H12" s="8" t="s">
        <v>3</v>
      </c>
      <c r="I12" s="1"/>
    </row>
    <row r="13" spans="1:9" x14ac:dyDescent="0.25">
      <c r="A13" s="1"/>
      <c r="B13" s="109" t="s">
        <v>141</v>
      </c>
      <c r="C13" s="110"/>
      <c r="D13" s="110"/>
      <c r="E13" s="110"/>
      <c r="F13" s="111"/>
      <c r="G13" s="8">
        <v>0</v>
      </c>
      <c r="H13" s="8" t="s">
        <v>3</v>
      </c>
      <c r="I13" s="1"/>
    </row>
    <row r="14" spans="1:9" x14ac:dyDescent="0.25">
      <c r="A14" s="1"/>
      <c r="B14" s="109" t="s">
        <v>142</v>
      </c>
      <c r="C14" s="110"/>
      <c r="D14" s="110"/>
      <c r="E14" s="110"/>
      <c r="F14" s="111"/>
      <c r="G14" s="8">
        <v>0</v>
      </c>
      <c r="H14" s="8" t="s">
        <v>3</v>
      </c>
      <c r="I14" s="1"/>
    </row>
    <row r="15" spans="1:9" x14ac:dyDescent="0.25">
      <c r="A15" s="1"/>
      <c r="B15" s="109" t="s">
        <v>143</v>
      </c>
      <c r="C15" s="110"/>
      <c r="D15" s="110"/>
      <c r="E15" s="110"/>
      <c r="F15" s="111"/>
      <c r="G15" s="8">
        <v>0</v>
      </c>
      <c r="H15" s="8" t="s">
        <v>3</v>
      </c>
      <c r="I15" s="1"/>
    </row>
    <row r="16" spans="1:9" x14ac:dyDescent="0.25">
      <c r="A16" s="1"/>
      <c r="B16" s="109" t="s">
        <v>144</v>
      </c>
      <c r="C16" s="110"/>
      <c r="D16" s="110"/>
      <c r="E16" s="110"/>
      <c r="F16" s="111"/>
      <c r="G16" s="8">
        <v>0</v>
      </c>
      <c r="H16" s="8" t="s">
        <v>3</v>
      </c>
      <c r="I16" s="1"/>
    </row>
    <row r="17" spans="1:9" x14ac:dyDescent="0.25">
      <c r="A17" s="1"/>
      <c r="B17" s="109" t="s">
        <v>145</v>
      </c>
      <c r="C17" s="110"/>
      <c r="D17" s="110"/>
      <c r="E17" s="110"/>
      <c r="F17" s="111"/>
      <c r="G17" s="8">
        <v>0</v>
      </c>
      <c r="H17" s="8" t="s">
        <v>3</v>
      </c>
      <c r="I17" s="1"/>
    </row>
    <row r="18" spans="1:9" x14ac:dyDescent="0.25">
      <c r="A18" s="1"/>
      <c r="B18" s="112" t="s">
        <v>125</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NNK7W7Ri83iStIjkCfTRY1epQh5pmbakVMFU3XLRDsEXO9SrJZVPOVMeWAkzXz/wkaIjbOMZPzEIIXi66ssjMQ==" saltValue="TncUXMEd//soDNqHoIvsB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2022-08-18T07:39:23Z</dcterms:modified>
</cp:coreProperties>
</file>