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Thisted Renseanlæg AS (S094)\ØR2023\"/>
    </mc:Choice>
  </mc:AlternateContent>
  <bookViews>
    <workbookView xWindow="3120" yWindow="990" windowWidth="12750" windowHeight="4620" tabRatio="872" firstSheet="13" activeTab="19"/>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23" l="1"/>
  <c r="C20" i="22"/>
  <c r="C20" i="15"/>
  <c r="E28" i="32"/>
  <c r="C32" i="2" s="1"/>
  <c r="C12" i="19"/>
  <c r="E17" i="27" l="1"/>
  <c r="E16" i="27"/>
  <c r="E34" i="27" l="1"/>
  <c r="C22" i="23"/>
  <c r="C22" i="22"/>
  <c r="C22" i="15"/>
  <c r="C36" i="2"/>
  <c r="G18" i="41" l="1"/>
  <c r="E28" i="27" l="1"/>
  <c r="C11" i="29" l="1"/>
  <c r="E11" i="29"/>
  <c r="E11" i="39"/>
  <c r="C11" i="39"/>
  <c r="J11" i="11"/>
  <c r="H11" i="11"/>
  <c r="E29" i="20" l="1"/>
  <c r="E23" i="20"/>
  <c r="E17" i="20"/>
  <c r="E11" i="20"/>
  <c r="F10" i="11" l="1"/>
  <c r="F11" i="11" s="1"/>
  <c r="E12" i="29" l="1"/>
  <c r="C12" i="29"/>
  <c r="C12" i="21" l="1"/>
  <c r="C13" i="21" s="1"/>
  <c r="C12" i="2" l="1"/>
  <c r="C15" i="2" l="1"/>
  <c r="C14" i="2"/>
  <c r="G6" i="36" l="1"/>
  <c r="C12" i="39" l="1"/>
  <c r="E12" i="39" l="1"/>
  <c r="C26" i="2" l="1"/>
  <c r="C28" i="2" s="1"/>
  <c r="C27" i="2" l="1"/>
  <c r="C29" i="2" s="1"/>
  <c r="C30" i="2" l="1"/>
  <c r="C13" i="19" l="1"/>
  <c r="E24" i="20"/>
  <c r="E25" i="20" s="1"/>
  <c r="C18" i="22" s="1"/>
  <c r="C16" i="23" l="1"/>
  <c r="C16" i="22"/>
  <c r="C22" i="2"/>
  <c r="E30" i="20" l="1"/>
  <c r="E31" i="20" s="1"/>
  <c r="C18" i="23" s="1"/>
  <c r="E16" i="40" l="1"/>
  <c r="E12" i="40" l="1"/>
  <c r="G7" i="30" l="1"/>
  <c r="E18" i="20" l="1"/>
  <c r="E19" i="20" s="1"/>
  <c r="C18" i="15" s="1"/>
  <c r="E12" i="20"/>
  <c r="E13" i="20" l="1"/>
  <c r="C24" i="2" s="1"/>
  <c r="E17" i="40"/>
  <c r="C34" i="2" s="1"/>
  <c r="E12" i="21" l="1"/>
  <c r="E13" i="21" s="1"/>
  <c r="C13" i="2"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8" i="27" s="1"/>
  <c r="E13" i="37"/>
  <c r="C11" i="2" l="1"/>
  <c r="G42" i="36" s="1"/>
  <c r="G43" i="36" s="1"/>
  <c r="G53" i="36" l="1"/>
  <c r="G54" i="36" l="1"/>
  <c r="G58" i="36" s="1"/>
  <c r="G43" i="30"/>
  <c r="G45" i="30" s="1"/>
  <c r="E20" i="27"/>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<sst xmlns="http://schemas.openxmlformats.org/spreadsheetml/2006/main" count="603" uniqueCount="287">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</sst>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0" fontId="8" fillId="0" borderId="3" xfId="4"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4" t="s">
        <v>4</v>
      </c>
      <c r="E6" s="104"/>
      <c r="F6" s="104"/>
      <c r="G6" s="104"/>
      <c r="H6" s="3"/>
      <c r="I6" s="1"/>
    </row>
    <row r="7" spans="1:9" ht="15" customHeight="1" x14ac:dyDescent="0.25">
      <c r="A7" s="1"/>
      <c r="B7" s="1"/>
      <c r="C7" s="3"/>
      <c r="D7" s="104"/>
      <c r="E7" s="104"/>
      <c r="F7" s="104"/>
      <c r="G7" s="104"/>
      <c r="H7" s="3"/>
      <c r="I7" s="1"/>
    </row>
    <row r="8" spans="1:9" ht="15.75" x14ac:dyDescent="0.25">
      <c r="A8" s="1"/>
      <c r="B8" s="1"/>
      <c r="C8" s="4"/>
      <c r="D8" s="112" t="s">
        <v>225</v>
      </c>
      <c r="E8" s="112"/>
      <c r="F8" s="112"/>
      <c r="G8" s="112"/>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1" t="s">
        <v>5</v>
      </c>
      <c r="E11" s="111"/>
      <c r="F11" s="111"/>
      <c r="G11" s="111"/>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1" t="s">
        <v>235</v>
      </c>
      <c r="E14" s="102"/>
      <c r="F14" s="102"/>
      <c r="G14" s="103"/>
      <c r="H14" s="5"/>
      <c r="I14" s="1"/>
    </row>
    <row r="15" spans="1:9" x14ac:dyDescent="0.25">
      <c r="A15" s="1"/>
      <c r="B15" s="1"/>
      <c r="C15" s="6" t="s">
        <v>34</v>
      </c>
      <c r="D15" s="101" t="s">
        <v>170</v>
      </c>
      <c r="E15" s="102"/>
      <c r="F15" s="102"/>
      <c r="G15" s="103"/>
      <c r="H15" s="5"/>
      <c r="I15" s="1"/>
    </row>
    <row r="16" spans="1:9" x14ac:dyDescent="0.25">
      <c r="A16" s="1"/>
      <c r="B16" s="1"/>
      <c r="C16" s="6" t="s">
        <v>35</v>
      </c>
      <c r="D16" s="101" t="s">
        <v>182</v>
      </c>
      <c r="E16" s="102"/>
      <c r="F16" s="102"/>
      <c r="G16" s="103"/>
      <c r="H16" s="5"/>
      <c r="I16" s="1"/>
    </row>
    <row r="17" spans="1:9" x14ac:dyDescent="0.25">
      <c r="A17" s="1"/>
      <c r="B17" s="1"/>
      <c r="C17" s="6" t="s">
        <v>119</v>
      </c>
      <c r="D17" s="101" t="s">
        <v>183</v>
      </c>
      <c r="E17" s="102"/>
      <c r="F17" s="102"/>
      <c r="G17" s="103"/>
      <c r="H17" s="5"/>
      <c r="I17" s="1"/>
    </row>
    <row r="18" spans="1:9" x14ac:dyDescent="0.25">
      <c r="A18" s="1"/>
      <c r="B18" s="1"/>
      <c r="C18" s="6" t="s">
        <v>106</v>
      </c>
      <c r="D18" s="113" t="s">
        <v>95</v>
      </c>
      <c r="E18" s="114"/>
      <c r="F18" s="114"/>
      <c r="G18" s="115"/>
      <c r="H18" s="5"/>
      <c r="I18" s="1"/>
    </row>
    <row r="19" spans="1:9" x14ac:dyDescent="0.25">
      <c r="A19" s="1"/>
      <c r="B19" s="1"/>
      <c r="C19" s="6" t="s">
        <v>107</v>
      </c>
      <c r="D19" s="113" t="s">
        <v>96</v>
      </c>
      <c r="E19" s="114"/>
      <c r="F19" s="114"/>
      <c r="G19" s="115"/>
      <c r="H19" s="5"/>
      <c r="I19" s="1"/>
    </row>
    <row r="20" spans="1:9" x14ac:dyDescent="0.25">
      <c r="A20" s="1"/>
      <c r="B20" s="1"/>
      <c r="C20" s="6" t="s">
        <v>7</v>
      </c>
      <c r="D20" s="113" t="s">
        <v>10</v>
      </c>
      <c r="E20" s="114"/>
      <c r="F20" s="114"/>
      <c r="G20" s="115"/>
      <c r="H20" s="5"/>
      <c r="I20" s="1"/>
    </row>
    <row r="21" spans="1:9" x14ac:dyDescent="0.25">
      <c r="A21" s="1"/>
      <c r="B21" s="1"/>
      <c r="C21" s="6" t="s">
        <v>108</v>
      </c>
      <c r="D21" s="105" t="s">
        <v>12</v>
      </c>
      <c r="E21" s="106"/>
      <c r="F21" s="106"/>
      <c r="G21" s="107"/>
      <c r="H21" s="5"/>
      <c r="I21" s="1"/>
    </row>
    <row r="22" spans="1:9" x14ac:dyDescent="0.25">
      <c r="A22" s="1"/>
      <c r="B22" s="1"/>
      <c r="C22" s="6" t="s">
        <v>83</v>
      </c>
      <c r="D22" s="108" t="s">
        <v>184</v>
      </c>
      <c r="E22" s="109"/>
      <c r="F22" s="109"/>
      <c r="G22" s="110"/>
      <c r="H22" s="5"/>
      <c r="I22" s="1"/>
    </row>
    <row r="23" spans="1:9" x14ac:dyDescent="0.25">
      <c r="A23" s="1"/>
      <c r="B23" s="1"/>
      <c r="C23" s="6" t="s">
        <v>8</v>
      </c>
      <c r="D23" s="108" t="s">
        <v>253</v>
      </c>
      <c r="E23" s="109"/>
      <c r="F23" s="109"/>
      <c r="G23" s="110"/>
      <c r="H23" s="5"/>
      <c r="I23" s="1"/>
    </row>
    <row r="24" spans="1:9" x14ac:dyDescent="0.25">
      <c r="A24" s="1"/>
      <c r="B24" s="1"/>
      <c r="C24" s="6" t="s">
        <v>9</v>
      </c>
      <c r="D24" s="108" t="s">
        <v>185</v>
      </c>
      <c r="E24" s="109"/>
      <c r="F24" s="109"/>
      <c r="G24" s="110"/>
      <c r="H24" s="5"/>
      <c r="I24" s="1"/>
    </row>
    <row r="25" spans="1:9" x14ac:dyDescent="0.25">
      <c r="A25" s="1"/>
      <c r="B25" s="1"/>
      <c r="C25" s="6" t="s">
        <v>246</v>
      </c>
      <c r="D25" s="108" t="s">
        <v>237</v>
      </c>
      <c r="E25" s="109"/>
      <c r="F25" s="109"/>
      <c r="G25" s="110"/>
      <c r="H25" s="1"/>
      <c r="I25" s="1"/>
    </row>
    <row r="26" spans="1:9" x14ac:dyDescent="0.25">
      <c r="A26" s="1"/>
      <c r="B26" s="1"/>
      <c r="C26" s="6" t="s">
        <v>247</v>
      </c>
      <c r="D26" s="108" t="s">
        <v>84</v>
      </c>
      <c r="E26" s="109"/>
      <c r="F26" s="109"/>
      <c r="G26" s="110"/>
      <c r="H26" s="1"/>
      <c r="I26" s="1"/>
    </row>
    <row r="27" spans="1:9" x14ac:dyDescent="0.25">
      <c r="A27" s="1"/>
      <c r="B27" s="1"/>
      <c r="C27" s="6" t="s">
        <v>248</v>
      </c>
      <c r="D27" s="108" t="s">
        <v>85</v>
      </c>
      <c r="E27" s="109"/>
      <c r="F27" s="109"/>
      <c r="G27" s="110"/>
      <c r="H27" s="1"/>
      <c r="I27" s="1"/>
    </row>
    <row r="28" spans="1:9" x14ac:dyDescent="0.25">
      <c r="A28" s="1"/>
      <c r="B28" s="1"/>
      <c r="C28" s="6" t="s">
        <v>15</v>
      </c>
      <c r="D28" s="108" t="s">
        <v>86</v>
      </c>
      <c r="E28" s="109"/>
      <c r="F28" s="109"/>
      <c r="G28" s="110"/>
      <c r="H28" s="1"/>
      <c r="I28" s="1"/>
    </row>
    <row r="29" spans="1:9" x14ac:dyDescent="0.25">
      <c r="A29" s="1"/>
      <c r="B29" s="1"/>
      <c r="C29" s="6" t="s">
        <v>37</v>
      </c>
      <c r="D29" s="108" t="s">
        <v>134</v>
      </c>
      <c r="E29" s="109"/>
      <c r="F29" s="109"/>
      <c r="G29" s="110"/>
      <c r="H29" s="1"/>
      <c r="I29" s="1"/>
    </row>
    <row r="30" spans="1:9" x14ac:dyDescent="0.25">
      <c r="A30" s="1"/>
      <c r="B30" s="1"/>
      <c r="C30" s="6" t="s">
        <v>38</v>
      </c>
      <c r="D30" s="108" t="s">
        <v>36</v>
      </c>
      <c r="E30" s="109"/>
      <c r="F30" s="109"/>
      <c r="G30" s="110"/>
      <c r="H30" s="1"/>
      <c r="I30" s="1"/>
    </row>
    <row r="31" spans="1:9" x14ac:dyDescent="0.25">
      <c r="A31" s="1"/>
      <c r="B31" s="1"/>
      <c r="C31" s="6" t="s">
        <v>249</v>
      </c>
      <c r="D31" s="119" t="s">
        <v>105</v>
      </c>
      <c r="E31" s="120"/>
      <c r="F31" s="120"/>
      <c r="G31" s="12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SiGC8/5Kt7EbL+/IpB/XDBG1KR/gV2yStei1801VR4YpMNXwpDiqhEhsmlX0J4iF5qnHEsVGZCRvFshoym9O5w==" saltValue="0HdHk8pOAb56nGiKsZyQL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topLeftCell="A5"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2" t="s">
        <v>111</v>
      </c>
      <c r="C3" s="122"/>
      <c r="D3" s="122"/>
      <c r="E3" s="1"/>
      <c r="F3" s="1"/>
    </row>
    <row r="4" spans="1:6" ht="15" customHeight="1" x14ac:dyDescent="0.25">
      <c r="A4" s="1"/>
      <c r="B4" s="122"/>
      <c r="C4" s="122"/>
      <c r="D4" s="12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199</v>
      </c>
      <c r="C8" s="131"/>
      <c r="D8" s="132"/>
      <c r="E8" s="1"/>
      <c r="F8" s="1"/>
    </row>
    <row r="9" spans="1:6" ht="15" customHeight="1" x14ac:dyDescent="0.25">
      <c r="A9" s="1"/>
      <c r="B9" s="26" t="s">
        <v>32</v>
      </c>
      <c r="C9" s="58" t="s">
        <v>240</v>
      </c>
      <c r="D9" s="11"/>
      <c r="E9" s="1"/>
      <c r="F9" s="1"/>
    </row>
    <row r="10" spans="1:6" x14ac:dyDescent="0.25">
      <c r="A10" s="1"/>
      <c r="B10" s="93" t="s">
        <v>265</v>
      </c>
      <c r="C10" s="9">
        <v>1837989</v>
      </c>
      <c r="D10" s="14" t="s">
        <v>3</v>
      </c>
      <c r="E10" s="1"/>
      <c r="F10" s="1"/>
    </row>
    <row r="11" spans="1:6" x14ac:dyDescent="0.25">
      <c r="A11" s="1"/>
      <c r="B11" s="93" t="s">
        <v>266</v>
      </c>
      <c r="C11" s="9">
        <v>122446</v>
      </c>
      <c r="D11" s="14" t="s">
        <v>3</v>
      </c>
      <c r="E11" s="1"/>
      <c r="F11" s="1"/>
    </row>
    <row r="12" spans="1:6" x14ac:dyDescent="0.25">
      <c r="A12" s="1"/>
      <c r="B12" s="32" t="s">
        <v>200</v>
      </c>
      <c r="C12" s="12">
        <f>SUM(C10:C11)</f>
        <v>1960435</v>
      </c>
      <c r="D12" s="13" t="s">
        <v>3</v>
      </c>
      <c r="E12" s="1"/>
      <c r="F12" s="1"/>
    </row>
    <row r="13" spans="1:6" x14ac:dyDescent="0.25">
      <c r="A13" s="1"/>
      <c r="B13" s="32" t="s">
        <v>201</v>
      </c>
      <c r="C13" s="12">
        <f>C12*(1+'Fane 15. Nøgletal'!C15)^2</f>
        <v>2102502.5489016003</v>
      </c>
      <c r="D13" s="13" t="s">
        <v>3</v>
      </c>
      <c r="E13" s="1"/>
      <c r="F13" s="1"/>
    </row>
    <row r="14" spans="1:6" x14ac:dyDescent="0.25">
      <c r="A14" s="1"/>
      <c r="B14" s="16"/>
      <c r="C14" s="15"/>
      <c r="D14" s="15"/>
      <c r="E14" s="1"/>
      <c r="F14" s="1"/>
    </row>
    <row r="15" spans="1:6" x14ac:dyDescent="0.25">
      <c r="A15" s="1"/>
      <c r="B15" s="16"/>
      <c r="C15" s="15"/>
      <c r="D15" s="15"/>
      <c r="E15" s="1"/>
      <c r="F15" s="1"/>
    </row>
    <row r="16" spans="1:6" x14ac:dyDescent="0.25">
      <c r="A16" s="1"/>
      <c r="B16" s="130" t="s">
        <v>117</v>
      </c>
      <c r="C16" s="131"/>
      <c r="D16" s="132"/>
      <c r="E16" s="1"/>
      <c r="F16" s="1"/>
    </row>
    <row r="17" spans="1:6" x14ac:dyDescent="0.25">
      <c r="A17" s="1"/>
      <c r="B17" s="93" t="s">
        <v>99</v>
      </c>
      <c r="C17" s="9">
        <v>0</v>
      </c>
      <c r="D17" s="14" t="s">
        <v>3</v>
      </c>
      <c r="E17" s="1"/>
      <c r="F17" s="1"/>
    </row>
    <row r="18" spans="1:6" x14ac:dyDescent="0.25">
      <c r="A18" s="1"/>
      <c r="B18" s="93" t="s">
        <v>129</v>
      </c>
      <c r="C18" s="9">
        <v>0</v>
      </c>
      <c r="D18" s="14" t="s">
        <v>3</v>
      </c>
      <c r="E18" s="1"/>
      <c r="F18" s="1"/>
    </row>
    <row r="19" spans="1:6" x14ac:dyDescent="0.25">
      <c r="A19" s="1"/>
      <c r="B19" s="93" t="s">
        <v>155</v>
      </c>
      <c r="C19" s="9">
        <v>0</v>
      </c>
      <c r="D19" s="14" t="s">
        <v>3</v>
      </c>
      <c r="E19" s="1"/>
      <c r="F19" s="1"/>
    </row>
    <row r="20" spans="1:6" x14ac:dyDescent="0.25">
      <c r="A20" s="1"/>
      <c r="B20" s="33" t="s">
        <v>202</v>
      </c>
      <c r="C20" s="9">
        <v>0</v>
      </c>
      <c r="D20" s="40" t="s">
        <v>3</v>
      </c>
      <c r="E20" s="1"/>
      <c r="F20" s="1"/>
    </row>
    <row r="21" spans="1:6" x14ac:dyDescent="0.25">
      <c r="A21" s="1"/>
      <c r="B21" s="130"/>
      <c r="C21" s="131"/>
      <c r="D21" s="132"/>
      <c r="E21" s="1"/>
      <c r="F21" s="1"/>
    </row>
    <row r="22" spans="1:6" x14ac:dyDescent="0.25">
      <c r="A22" s="1"/>
      <c r="B22" s="1"/>
      <c r="C22" s="1"/>
      <c r="D22" s="1"/>
      <c r="E22" s="1"/>
      <c r="F22" s="1"/>
    </row>
    <row r="23" spans="1:6" x14ac:dyDescent="0.25">
      <c r="A23" s="1"/>
      <c r="B23" s="1"/>
      <c r="C23" s="1"/>
      <c r="D23" s="1"/>
      <c r="E23" s="1"/>
      <c r="F23" s="1"/>
    </row>
    <row r="24" spans="1:6" x14ac:dyDescent="0.25">
      <c r="A24" s="1"/>
      <c r="B24" s="130" t="s">
        <v>98</v>
      </c>
      <c r="C24" s="131"/>
      <c r="D24" s="132"/>
      <c r="E24" s="1"/>
      <c r="F24" s="1"/>
    </row>
    <row r="25" spans="1:6" x14ac:dyDescent="0.25">
      <c r="A25" s="1"/>
      <c r="B25" s="93" t="s">
        <v>99</v>
      </c>
      <c r="C25" s="9">
        <v>0</v>
      </c>
      <c r="D25" s="14" t="s">
        <v>3</v>
      </c>
      <c r="E25" s="1"/>
      <c r="F25" s="1"/>
    </row>
    <row r="26" spans="1:6" x14ac:dyDescent="0.25">
      <c r="A26" s="1"/>
      <c r="B26" s="93" t="s">
        <v>129</v>
      </c>
      <c r="C26" s="9">
        <v>0</v>
      </c>
      <c r="D26" s="14" t="s">
        <v>3</v>
      </c>
      <c r="E26" s="1"/>
      <c r="F26" s="1"/>
    </row>
    <row r="27" spans="1:6" x14ac:dyDescent="0.25">
      <c r="A27" s="1"/>
      <c r="B27" s="93" t="s">
        <v>155</v>
      </c>
      <c r="C27" s="9">
        <v>0</v>
      </c>
      <c r="D27" s="14" t="s">
        <v>3</v>
      </c>
      <c r="E27" s="1"/>
      <c r="F27" s="1"/>
    </row>
    <row r="28" spans="1:6" x14ac:dyDescent="0.25">
      <c r="A28" s="1"/>
      <c r="B28" s="33" t="s">
        <v>202</v>
      </c>
      <c r="C28" s="9">
        <v>0</v>
      </c>
      <c r="D28" s="40" t="s">
        <v>3</v>
      </c>
      <c r="E28" s="1"/>
      <c r="F28" s="1"/>
    </row>
    <row r="29" spans="1:6" x14ac:dyDescent="0.25">
      <c r="A29" s="1"/>
      <c r="B29" s="130"/>
      <c r="C29" s="131"/>
      <c r="D29" s="132"/>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49"/>
      <c r="B46" s="49"/>
      <c r="C46" s="49"/>
      <c r="D46" s="49"/>
      <c r="E46" s="49"/>
      <c r="F46" s="49"/>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sheetData>
  <sheetProtection algorithmName="SHA-512" hashValue="21Dbv7tJbyctd+1BPpIFAynnGF/B5YCPejm+XIdz98oJe3WI4F26WaB3AmKhojFYbrnmmLLzA1GA8VAugYVKLw==" saltValue="jsMetWWLDH3v8Lz1LFlj7w==" spinCount="100000" sheet="1" objects="1" scenarios="1"/>
  <mergeCells count="6">
    <mergeCell ref="B29:D29"/>
    <mergeCell ref="B3:D4"/>
    <mergeCell ref="B8:D8"/>
    <mergeCell ref="B16:D16"/>
    <mergeCell ref="B24:D24"/>
    <mergeCell ref="B21:D21"/>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8" t="s">
        <v>203</v>
      </c>
      <c r="C3" s="138"/>
      <c r="D3" s="138"/>
      <c r="E3" s="138"/>
      <c r="F3" s="138"/>
      <c r="G3" s="1"/>
    </row>
    <row r="4" spans="1:7" ht="15" customHeight="1" x14ac:dyDescent="0.25">
      <c r="A4" s="1"/>
      <c r="B4" s="138"/>
      <c r="C4" s="138"/>
      <c r="D4" s="138"/>
      <c r="E4" s="138"/>
      <c r="F4" s="138"/>
      <c r="G4" s="1"/>
    </row>
    <row r="5" spans="1:7" ht="15" customHeight="1" x14ac:dyDescent="0.25">
      <c r="A5" s="1"/>
      <c r="B5" s="89"/>
      <c r="C5" s="89"/>
      <c r="D5" s="89"/>
      <c r="E5" s="89"/>
      <c r="F5" s="89"/>
      <c r="G5" s="1"/>
    </row>
    <row r="6" spans="1:7" ht="15" customHeight="1" x14ac:dyDescent="0.25">
      <c r="A6" s="1"/>
      <c r="B6" s="89"/>
      <c r="C6" s="89"/>
      <c r="D6" s="89"/>
      <c r="E6" s="89"/>
      <c r="F6" s="89"/>
      <c r="G6" s="1"/>
    </row>
    <row r="7" spans="1:7" x14ac:dyDescent="0.25">
      <c r="A7" s="1"/>
      <c r="B7" s="1"/>
      <c r="C7" s="1"/>
      <c r="D7" s="1"/>
      <c r="E7" s="1"/>
      <c r="F7" s="1"/>
      <c r="G7" s="1"/>
    </row>
    <row r="8" spans="1:7" x14ac:dyDescent="0.25">
      <c r="A8" s="1"/>
      <c r="B8" s="130" t="s">
        <v>178</v>
      </c>
      <c r="C8" s="131"/>
      <c r="D8" s="131"/>
      <c r="E8" s="131"/>
      <c r="F8" s="132"/>
      <c r="G8" s="1"/>
    </row>
    <row r="9" spans="1:7" x14ac:dyDescent="0.25">
      <c r="A9" s="1"/>
      <c r="B9" s="140" t="s">
        <v>204</v>
      </c>
      <c r="C9" s="141"/>
      <c r="D9" s="142"/>
      <c r="E9" s="9">
        <v>5431991.3542318791</v>
      </c>
      <c r="F9" s="14" t="s">
        <v>3</v>
      </c>
      <c r="G9" s="1"/>
    </row>
    <row r="10" spans="1:7" x14ac:dyDescent="0.25">
      <c r="A10" s="1"/>
      <c r="B10" s="140" t="s">
        <v>263</v>
      </c>
      <c r="C10" s="141"/>
      <c r="D10" s="142"/>
      <c r="E10" s="9">
        <v>5431991.3542318791</v>
      </c>
      <c r="F10" s="14" t="s">
        <v>3</v>
      </c>
      <c r="G10" s="1"/>
    </row>
    <row r="11" spans="1:7" x14ac:dyDescent="0.25">
      <c r="A11" s="1"/>
      <c r="B11" s="32"/>
      <c r="C11" s="27"/>
      <c r="D11" s="27"/>
      <c r="E11" s="27"/>
      <c r="F11" s="19"/>
      <c r="G11" s="1"/>
    </row>
    <row r="12" spans="1:7" ht="78.75" customHeight="1" x14ac:dyDescent="0.25">
      <c r="A12" s="1"/>
      <c r="B12" s="133" t="s">
        <v>285</v>
      </c>
      <c r="C12" s="134"/>
      <c r="D12" s="134"/>
      <c r="E12" s="134"/>
      <c r="F12" s="135"/>
      <c r="G12" s="1"/>
    </row>
    <row r="13" spans="1:7" ht="27" customHeight="1" x14ac:dyDescent="0.25">
      <c r="A13" s="1"/>
      <c r="B13" s="1"/>
      <c r="C13" s="1"/>
      <c r="D13" s="1"/>
      <c r="E13" s="1"/>
      <c r="F13" s="1"/>
      <c r="G13" s="1"/>
    </row>
    <row r="14" spans="1:7" ht="28.5" customHeight="1" x14ac:dyDescent="0.25">
      <c r="A14" s="1"/>
      <c r="B14" s="130" t="s">
        <v>179</v>
      </c>
      <c r="C14" s="131"/>
      <c r="D14" s="131"/>
      <c r="E14" s="131"/>
      <c r="F14" s="132"/>
      <c r="G14" s="1"/>
    </row>
    <row r="15" spans="1:7" x14ac:dyDescent="0.25">
      <c r="A15" s="1"/>
      <c r="B15" s="140" t="s">
        <v>280</v>
      </c>
      <c r="C15" s="141"/>
      <c r="D15" s="142"/>
      <c r="E15" s="9">
        <v>0</v>
      </c>
      <c r="F15" s="14" t="s">
        <v>3</v>
      </c>
      <c r="G15" s="1"/>
    </row>
    <row r="16" spans="1:7" x14ac:dyDescent="0.25">
      <c r="A16" s="1"/>
      <c r="B16" s="140" t="s">
        <v>281</v>
      </c>
      <c r="C16" s="141"/>
      <c r="D16" s="142"/>
      <c r="E16" s="9">
        <v>0</v>
      </c>
      <c r="F16" s="14" t="s">
        <v>3</v>
      </c>
      <c r="G16" s="1"/>
    </row>
    <row r="17" spans="1:7" x14ac:dyDescent="0.25">
      <c r="A17" s="1"/>
      <c r="B17" s="32"/>
      <c r="C17" s="27"/>
      <c r="D17" s="27"/>
      <c r="E17" s="27"/>
      <c r="F17" s="19"/>
      <c r="G17" s="1"/>
    </row>
    <row r="18" spans="1:7" ht="31.5" customHeight="1" x14ac:dyDescent="0.25">
      <c r="A18" s="1"/>
      <c r="B18" s="133" t="s">
        <v>286</v>
      </c>
      <c r="C18" s="134"/>
      <c r="D18" s="134"/>
      <c r="E18" s="134"/>
      <c r="F18" s="135"/>
      <c r="G18" s="1"/>
    </row>
    <row r="19" spans="1:7" ht="28.5" customHeight="1" x14ac:dyDescent="0.25">
      <c r="A19" s="1"/>
      <c r="B19" s="1"/>
      <c r="C19" s="1"/>
      <c r="D19" s="1"/>
      <c r="E19" s="1"/>
      <c r="F19" s="1"/>
      <c r="G19" s="1"/>
    </row>
    <row r="20" spans="1:7" ht="28.5" customHeight="1" x14ac:dyDescent="0.25">
      <c r="A20" s="1"/>
      <c r="B20" s="84" t="s">
        <v>205</v>
      </c>
      <c r="C20" s="85"/>
      <c r="D20" s="85"/>
      <c r="E20" s="85"/>
      <c r="F20" s="86"/>
      <c r="G20" s="1"/>
    </row>
    <row r="21" spans="1:7" x14ac:dyDescent="0.25">
      <c r="A21" s="1"/>
      <c r="B21" s="90" t="s">
        <v>206</v>
      </c>
      <c r="C21" s="91"/>
      <c r="D21" s="92"/>
      <c r="E21" s="9">
        <v>38378305.704382271</v>
      </c>
      <c r="F21" s="14" t="s">
        <v>3</v>
      </c>
      <c r="G21" s="1"/>
    </row>
    <row r="22" spans="1:7" x14ac:dyDescent="0.25">
      <c r="A22" s="1"/>
      <c r="B22" s="90" t="s">
        <v>207</v>
      </c>
      <c r="C22" s="91"/>
      <c r="D22" s="92"/>
      <c r="E22" s="9">
        <v>33849460</v>
      </c>
      <c r="F22" s="14" t="s">
        <v>3</v>
      </c>
      <c r="G22" s="1"/>
    </row>
    <row r="23" spans="1:7" x14ac:dyDescent="0.25">
      <c r="A23" s="1"/>
      <c r="B23" s="90" t="s">
        <v>33</v>
      </c>
      <c r="C23" s="91"/>
      <c r="D23" s="92"/>
      <c r="E23" s="9">
        <v>0</v>
      </c>
      <c r="F23" s="14" t="s">
        <v>3</v>
      </c>
      <c r="G23" s="1"/>
    </row>
    <row r="24" spans="1:7" x14ac:dyDescent="0.25">
      <c r="A24" s="1"/>
      <c r="B24" s="87" t="s">
        <v>267</v>
      </c>
      <c r="C24" s="88"/>
      <c r="D24" s="95"/>
      <c r="E24" s="70">
        <f>E21-(E22-E23)</f>
        <v>4528845.7043822706</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0" t="s">
        <v>282</v>
      </c>
      <c r="C27" s="131"/>
      <c r="D27" s="131"/>
      <c r="E27" s="131"/>
      <c r="F27" s="132"/>
      <c r="G27" s="1"/>
    </row>
    <row r="28" spans="1:7" x14ac:dyDescent="0.25">
      <c r="A28" s="1"/>
      <c r="B28" s="136" t="s">
        <v>283</v>
      </c>
      <c r="C28" s="137"/>
      <c r="D28" s="161"/>
      <c r="E28" s="71">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0"/>
      <c r="C29" s="131"/>
      <c r="D29" s="131"/>
      <c r="E29" s="131"/>
      <c r="F29" s="132"/>
      <c r="G29" s="1"/>
    </row>
    <row r="30" spans="1:7" x14ac:dyDescent="0.25">
      <c r="A30" s="1"/>
      <c r="B30" s="1"/>
      <c r="C30" s="1"/>
      <c r="D30" s="1"/>
      <c r="E30" s="1"/>
      <c r="F30" s="1"/>
      <c r="G30" s="1"/>
    </row>
    <row r="31" spans="1:7" ht="28.5" customHeight="1" x14ac:dyDescent="0.25">
      <c r="A31" s="1"/>
      <c r="B31" s="130" t="s">
        <v>264</v>
      </c>
      <c r="C31" s="131"/>
      <c r="D31" s="131"/>
      <c r="E31" s="131"/>
      <c r="F31" s="132"/>
      <c r="G31" s="1"/>
    </row>
    <row r="32" spans="1:7" x14ac:dyDescent="0.25">
      <c r="A32" s="1"/>
      <c r="B32" s="154" t="s">
        <v>143</v>
      </c>
      <c r="C32" s="155"/>
      <c r="D32" s="156"/>
      <c r="E32" s="72">
        <f>IF(AND(E9&gt;0,(E9+E24)&gt;0),0,IF(AND(E9&gt;0,(E9+E24)&lt;0),(E9+E24),IF(AND(E9&lt;0,E24&lt;0),E24,0)))</f>
        <v>0</v>
      </c>
      <c r="F32" s="14" t="s">
        <v>3</v>
      </c>
      <c r="G32" s="1"/>
    </row>
    <row r="33" spans="1:7" x14ac:dyDescent="0.25">
      <c r="A33" s="1"/>
      <c r="B33" s="154" t="s">
        <v>102</v>
      </c>
      <c r="C33" s="155"/>
      <c r="D33" s="156"/>
      <c r="E33" s="9">
        <v>4</v>
      </c>
      <c r="F33" s="14" t="s">
        <v>20</v>
      </c>
      <c r="G33" s="1"/>
    </row>
    <row r="34" spans="1:7" x14ac:dyDescent="0.25">
      <c r="A34" s="1"/>
      <c r="B34" s="157" t="s">
        <v>144</v>
      </c>
      <c r="C34" s="157"/>
      <c r="D34" s="157"/>
      <c r="E34" s="71">
        <f>E32/E33</f>
        <v>0</v>
      </c>
      <c r="F34" s="17" t="s">
        <v>3</v>
      </c>
      <c r="G34" s="1"/>
    </row>
    <row r="35" spans="1:7" x14ac:dyDescent="0.25">
      <c r="A35" s="1"/>
      <c r="B35" s="158"/>
      <c r="C35" s="159"/>
      <c r="D35" s="159"/>
      <c r="E35" s="159"/>
      <c r="F35" s="1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algorithmName="SHA-512" hashValue="P339LGsfeJCczpUysxRDk5aykqKLfFC62BqkUL9F1ozjPpxdzIfyXpPLo2qflK6isLZhFy4q5rJ6ojiOEZH2Bw==" saltValue="Ocs8Z8e73g4ggsAqplZY7w=="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topLeftCell="A5"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2" t="s">
        <v>250</v>
      </c>
      <c r="C3" s="122"/>
      <c r="D3" s="122"/>
      <c r="E3" s="122"/>
      <c r="F3" s="122"/>
      <c r="G3" s="122"/>
      <c r="H3" s="122"/>
      <c r="I3" s="1"/>
    </row>
    <row r="4" spans="1:9" ht="15" customHeight="1" x14ac:dyDescent="0.25">
      <c r="A4" s="1"/>
      <c r="B4" s="122"/>
      <c r="C4" s="122"/>
      <c r="D4" s="122"/>
      <c r="E4" s="122"/>
      <c r="F4" s="122"/>
      <c r="G4" s="122"/>
      <c r="H4" s="12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262</v>
      </c>
      <c r="C8" s="131"/>
      <c r="D8" s="131"/>
      <c r="E8" s="131"/>
      <c r="F8" s="131"/>
      <c r="G8" s="131"/>
      <c r="H8" s="132"/>
      <c r="I8" s="1"/>
    </row>
    <row r="9" spans="1:9" ht="15" customHeight="1" x14ac:dyDescent="0.25">
      <c r="A9" s="1"/>
      <c r="B9" s="127" t="s">
        <v>251</v>
      </c>
      <c r="C9" s="128"/>
      <c r="D9" s="128"/>
      <c r="E9" s="128"/>
      <c r="F9" s="128"/>
      <c r="G9" s="128"/>
      <c r="H9" s="129"/>
      <c r="I9" s="1"/>
    </row>
    <row r="10" spans="1:9" x14ac:dyDescent="0.25">
      <c r="A10" s="1"/>
      <c r="B10" s="162" t="s">
        <v>272</v>
      </c>
      <c r="C10" s="163"/>
      <c r="D10" s="163"/>
      <c r="E10" s="163"/>
      <c r="F10" s="164"/>
      <c r="G10" s="9">
        <v>0</v>
      </c>
      <c r="H10" s="9" t="s">
        <v>3</v>
      </c>
      <c r="I10" s="1"/>
    </row>
    <row r="11" spans="1:9" x14ac:dyDescent="0.25">
      <c r="A11" s="1"/>
      <c r="B11" s="162" t="s">
        <v>273</v>
      </c>
      <c r="C11" s="163"/>
      <c r="D11" s="163"/>
      <c r="E11" s="163"/>
      <c r="F11" s="164"/>
      <c r="G11" s="9">
        <v>0</v>
      </c>
      <c r="H11" s="9" t="s">
        <v>3</v>
      </c>
      <c r="I11" s="1"/>
    </row>
    <row r="12" spans="1:9" x14ac:dyDescent="0.25">
      <c r="A12" s="1"/>
      <c r="B12" s="162" t="s">
        <v>274</v>
      </c>
      <c r="C12" s="163"/>
      <c r="D12" s="163"/>
      <c r="E12" s="163"/>
      <c r="F12" s="164"/>
      <c r="G12" s="9">
        <v>0</v>
      </c>
      <c r="H12" s="9" t="s">
        <v>3</v>
      </c>
      <c r="I12" s="1"/>
    </row>
    <row r="13" spans="1:9" x14ac:dyDescent="0.25">
      <c r="A13" s="1"/>
      <c r="B13" s="162" t="s">
        <v>275</v>
      </c>
      <c r="C13" s="163"/>
      <c r="D13" s="163"/>
      <c r="E13" s="163"/>
      <c r="F13" s="164"/>
      <c r="G13" s="9">
        <v>0</v>
      </c>
      <c r="H13" s="9" t="s">
        <v>3</v>
      </c>
      <c r="I13" s="1"/>
    </row>
    <row r="14" spans="1:9" x14ac:dyDescent="0.25">
      <c r="A14" s="1"/>
      <c r="B14" s="162" t="s">
        <v>276</v>
      </c>
      <c r="C14" s="163"/>
      <c r="D14" s="163"/>
      <c r="E14" s="163"/>
      <c r="F14" s="164"/>
      <c r="G14" s="9">
        <v>0</v>
      </c>
      <c r="H14" s="9" t="s">
        <v>3</v>
      </c>
      <c r="I14" s="1"/>
    </row>
    <row r="15" spans="1:9" x14ac:dyDescent="0.25">
      <c r="A15" s="1"/>
      <c r="B15" s="162" t="s">
        <v>277</v>
      </c>
      <c r="C15" s="163"/>
      <c r="D15" s="163"/>
      <c r="E15" s="163"/>
      <c r="F15" s="164"/>
      <c r="G15" s="9">
        <v>0</v>
      </c>
      <c r="H15" s="9" t="s">
        <v>3</v>
      </c>
      <c r="I15" s="1"/>
    </row>
    <row r="16" spans="1:9" x14ac:dyDescent="0.25">
      <c r="A16" s="1"/>
      <c r="B16" s="162" t="s">
        <v>278</v>
      </c>
      <c r="C16" s="163"/>
      <c r="D16" s="163"/>
      <c r="E16" s="163"/>
      <c r="F16" s="164"/>
      <c r="G16" s="9">
        <v>0</v>
      </c>
      <c r="H16" s="9" t="s">
        <v>3</v>
      </c>
      <c r="I16" s="1"/>
    </row>
    <row r="17" spans="1:9" x14ac:dyDescent="0.25">
      <c r="A17" s="1"/>
      <c r="B17" s="162" t="s">
        <v>279</v>
      </c>
      <c r="C17" s="163"/>
      <c r="D17" s="163"/>
      <c r="E17" s="163"/>
      <c r="F17" s="164"/>
      <c r="G17" s="9">
        <v>0</v>
      </c>
      <c r="H17" s="9" t="s">
        <v>3</v>
      </c>
      <c r="I17" s="1"/>
    </row>
    <row r="18" spans="1:9" x14ac:dyDescent="0.25">
      <c r="A18" s="1"/>
      <c r="B18" s="130" t="s">
        <v>252</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o5gv8f4z6xZqsPMndnewQmibjReIiSjMK/fNUkE/YsYfeVv0gKBiJ4I1htsj8A8QuJpUhsV6y52CNmGrAkuvcQ==" saltValue="TdWHtsfgqVOiwJ9LfeQ7EA=="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topLeftCell="A5"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8" t="s">
        <v>254</v>
      </c>
      <c r="C3" s="138"/>
      <c r="D3" s="138"/>
      <c r="E3" s="138"/>
      <c r="F3" s="138"/>
      <c r="G3" s="1"/>
    </row>
    <row r="4" spans="1:7" ht="15" customHeight="1" x14ac:dyDescent="0.25">
      <c r="A4" s="1"/>
      <c r="B4" s="138"/>
      <c r="C4" s="138"/>
      <c r="D4" s="138"/>
      <c r="E4" s="138"/>
      <c r="F4" s="13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0" t="s">
        <v>208</v>
      </c>
      <c r="C9" s="131"/>
      <c r="D9" s="131"/>
      <c r="E9" s="131"/>
      <c r="F9" s="132"/>
      <c r="G9" s="1"/>
    </row>
    <row r="10" spans="1:7" x14ac:dyDescent="0.25">
      <c r="A10" s="1"/>
      <c r="B10" s="133" t="s">
        <v>100</v>
      </c>
      <c r="C10" s="134"/>
      <c r="D10" s="135"/>
      <c r="E10" s="7">
        <v>0</v>
      </c>
      <c r="F10" s="8" t="s">
        <v>3</v>
      </c>
      <c r="G10" s="1"/>
    </row>
    <row r="11" spans="1:7" x14ac:dyDescent="0.25">
      <c r="A11" s="1"/>
      <c r="B11" s="140" t="s">
        <v>209</v>
      </c>
      <c r="C11" s="141"/>
      <c r="D11" s="142"/>
      <c r="E11" s="7">
        <v>0</v>
      </c>
      <c r="F11" s="8" t="s">
        <v>3</v>
      </c>
      <c r="G11" s="1"/>
    </row>
    <row r="12" spans="1:7" x14ac:dyDescent="0.25">
      <c r="A12" s="1"/>
      <c r="B12" s="136" t="s">
        <v>101</v>
      </c>
      <c r="C12" s="137"/>
      <c r="D12" s="161"/>
      <c r="E12" s="10">
        <f>E11-E10</f>
        <v>0</v>
      </c>
      <c r="F12" s="11" t="s">
        <v>3</v>
      </c>
      <c r="G12" s="1"/>
    </row>
    <row r="13" spans="1:7" x14ac:dyDescent="0.25">
      <c r="A13" s="1"/>
      <c r="B13" s="130" t="s">
        <v>94</v>
      </c>
      <c r="C13" s="131"/>
      <c r="D13" s="131"/>
      <c r="E13" s="131"/>
      <c r="F13" s="132"/>
      <c r="G13" s="1"/>
    </row>
    <row r="14" spans="1:7" x14ac:dyDescent="0.25">
      <c r="A14" s="1"/>
      <c r="B14" s="140" t="s">
        <v>210</v>
      </c>
      <c r="C14" s="141"/>
      <c r="D14" s="142"/>
      <c r="E14" s="9">
        <v>0</v>
      </c>
      <c r="F14" s="8" t="s">
        <v>3</v>
      </c>
      <c r="G14" s="1"/>
    </row>
    <row r="15" spans="1:7" x14ac:dyDescent="0.25">
      <c r="A15" s="1"/>
      <c r="B15" s="133" t="s">
        <v>211</v>
      </c>
      <c r="C15" s="134"/>
      <c r="D15" s="135"/>
      <c r="E15" s="9">
        <v>0</v>
      </c>
      <c r="F15" s="8" t="s">
        <v>3</v>
      </c>
      <c r="G15" s="1"/>
    </row>
    <row r="16" spans="1:7" x14ac:dyDescent="0.25">
      <c r="A16" s="1"/>
      <c r="B16" s="136" t="s">
        <v>101</v>
      </c>
      <c r="C16" s="137"/>
      <c r="D16" s="161"/>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bGOcBJShvzItqbiVGpLOATfbQ9/QEa4nuCzjtW2TR/AxHxg31oLJtc8tx2oWIvDOjRoqeMopD5Uo3AA3/Gnw==" saltValue="72yyDrGUw3DbgU8tGx4cj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2" t="s">
        <v>255</v>
      </c>
      <c r="C3" s="122"/>
      <c r="D3" s="122"/>
      <c r="E3" s="122"/>
      <c r="F3" s="122"/>
      <c r="G3" s="122"/>
      <c r="H3" s="122"/>
      <c r="I3" s="122"/>
      <c r="J3" s="122"/>
      <c r="K3" s="122"/>
      <c r="L3" s="1"/>
    </row>
    <row r="4" spans="1:12" ht="15" customHeight="1" x14ac:dyDescent="0.25">
      <c r="A4" s="1"/>
      <c r="B4" s="122"/>
      <c r="C4" s="122"/>
      <c r="D4" s="122"/>
      <c r="E4" s="122"/>
      <c r="F4" s="122"/>
      <c r="G4" s="122"/>
      <c r="H4" s="122"/>
      <c r="I4" s="122"/>
      <c r="J4" s="122"/>
      <c r="K4" s="12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219</v>
      </c>
      <c r="C8" s="131"/>
      <c r="D8" s="131"/>
      <c r="E8" s="131"/>
      <c r="F8" s="131"/>
      <c r="G8" s="131"/>
      <c r="H8" s="131"/>
      <c r="I8" s="131"/>
      <c r="J8" s="131"/>
      <c r="K8" s="132"/>
      <c r="L8" s="1"/>
    </row>
    <row r="9" spans="1:12" ht="39.75" customHeight="1" x14ac:dyDescent="0.25">
      <c r="A9" s="1"/>
      <c r="B9" s="18" t="s">
        <v>0</v>
      </c>
      <c r="C9" s="18" t="s">
        <v>1</v>
      </c>
      <c r="D9" s="165" t="s">
        <v>245</v>
      </c>
      <c r="E9" s="166"/>
      <c r="F9" s="165" t="s">
        <v>2</v>
      </c>
      <c r="G9" s="166"/>
      <c r="H9" s="165" t="s">
        <v>244</v>
      </c>
      <c r="I9" s="166"/>
      <c r="J9" s="165" t="s">
        <v>30</v>
      </c>
      <c r="K9" s="166"/>
      <c r="L9" s="1"/>
    </row>
    <row r="10" spans="1:12" x14ac:dyDescent="0.25">
      <c r="A10" s="1"/>
      <c r="B10" s="96" t="s">
        <v>270</v>
      </c>
      <c r="C10" s="41">
        <v>0</v>
      </c>
      <c r="D10" s="9">
        <v>0</v>
      </c>
      <c r="E10" s="14" t="s">
        <v>3</v>
      </c>
      <c r="F10" s="9">
        <f>IFERROR(D10/C10,0)</f>
        <v>0</v>
      </c>
      <c r="G10" s="14" t="s">
        <v>3</v>
      </c>
      <c r="H10" s="44">
        <v>0</v>
      </c>
      <c r="I10" s="14" t="s">
        <v>3</v>
      </c>
      <c r="J10" s="44">
        <v>0</v>
      </c>
      <c r="K10" s="14" t="s">
        <v>3</v>
      </c>
      <c r="L10" s="1"/>
    </row>
    <row r="11" spans="1:12" x14ac:dyDescent="0.25">
      <c r="A11" s="1"/>
      <c r="B11" s="84" t="s">
        <v>220</v>
      </c>
      <c r="C11" s="85"/>
      <c r="D11" s="86"/>
      <c r="E11" s="86"/>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1iLXTBk3AvoEMR5Dylasn+BFDJLtaHdEJFOq6iJ56ualGGeKKt9PlCB39Sw76WtO/MthMf3+6LVvxDA2WyhWqQ==" saltValue="mfmKkq+qnQq86WWvn3qZG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topLeftCell="A25"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2" t="s">
        <v>17</v>
      </c>
      <c r="C9" s="82" t="s">
        <v>11</v>
      </c>
      <c r="D9" s="83"/>
      <c r="E9" s="82"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268</v>
      </c>
      <c r="C11" s="21">
        <v>0</v>
      </c>
      <c r="D11" s="14" t="s">
        <v>3</v>
      </c>
      <c r="E11" s="9">
        <v>0</v>
      </c>
      <c r="F11" s="14" t="s">
        <v>3</v>
      </c>
      <c r="G11" s="1"/>
    </row>
    <row r="12" spans="1:7" x14ac:dyDescent="0.25">
      <c r="A12" s="1"/>
      <c r="B12" s="32" t="s">
        <v>156</v>
      </c>
      <c r="C12" s="12">
        <f>SUM(C10:C11)</f>
        <v>0</v>
      </c>
      <c r="D12" s="13" t="s">
        <v>3</v>
      </c>
      <c r="E12" s="12">
        <f>SUM(E10:E11)</f>
        <v>0</v>
      </c>
      <c r="F12" s="13" t="s">
        <v>3</v>
      </c>
      <c r="G12" s="1"/>
    </row>
    <row r="13" spans="1:7" x14ac:dyDescent="0.25">
      <c r="A13" s="1"/>
      <c r="B13" s="32" t="s">
        <v>213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hv9yYaNQqzsLhF72OV6r6dtlW6RFKOvsgTv3HytthJu2BMujMZdZQRIDp3OwaI1ObUlZfg1KuaDW5139wbC/g==" saltValue="1aEEMJ8P4ytGBmTmPeXt6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topLeftCell="A33"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257</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97</v>
      </c>
      <c r="C8" s="131"/>
      <c r="D8" s="131"/>
      <c r="E8" s="131"/>
      <c r="F8" s="132"/>
      <c r="G8" s="1"/>
    </row>
    <row r="9" spans="1:7" x14ac:dyDescent="0.25">
      <c r="A9" s="1"/>
      <c r="B9" s="82" t="s">
        <v>17</v>
      </c>
      <c r="C9" s="82" t="s">
        <v>11</v>
      </c>
      <c r="D9" s="83"/>
      <c r="E9" s="82" t="s">
        <v>31</v>
      </c>
      <c r="F9" s="31"/>
      <c r="G9" s="1"/>
    </row>
    <row r="10" spans="1:7" x14ac:dyDescent="0.25">
      <c r="A10" s="1"/>
      <c r="B10" s="23" t="s">
        <v>269</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7"/>
      <c r="C14" s="167"/>
      <c r="D14" s="167"/>
      <c r="E14" s="167"/>
      <c r="F14" s="167"/>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7"/>
      <c r="C21" s="167"/>
      <c r="D21" s="167"/>
      <c r="E21" s="167"/>
      <c r="F21" s="167"/>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7"/>
      <c r="C28" s="167"/>
      <c r="D28" s="167"/>
      <c r="E28" s="167"/>
      <c r="F28" s="167"/>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GJFH1JstBJHGHvmAUiMS+4o+1W+ofYdoUIoMMA/OaMIQ+z+NOV8v5lsGgs0akcqR1NBHf53IKOIgbZbSGq7N7Q==" saltValue="cFiD84OTW2RCX6br3KovZ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8" t="s">
        <v>258</v>
      </c>
      <c r="C3" s="138"/>
      <c r="D3" s="138"/>
      <c r="E3" s="138"/>
      <c r="F3" s="138"/>
      <c r="G3" s="1"/>
    </row>
    <row r="4" spans="1:7" ht="15" customHeight="1" x14ac:dyDescent="0.25">
      <c r="A4" s="1"/>
      <c r="B4" s="138"/>
      <c r="C4" s="138"/>
      <c r="D4" s="138"/>
      <c r="E4" s="138"/>
      <c r="F4" s="138"/>
      <c r="G4" s="1"/>
    </row>
    <row r="5" spans="1:7" x14ac:dyDescent="0.25">
      <c r="A5" s="1"/>
      <c r="B5" s="138"/>
      <c r="C5" s="138"/>
      <c r="D5" s="138"/>
      <c r="E5" s="138"/>
      <c r="F5" s="13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0" t="s">
        <v>91</v>
      </c>
      <c r="C9" s="131"/>
      <c r="D9" s="131"/>
      <c r="E9" s="131"/>
      <c r="F9" s="132"/>
      <c r="G9" s="1"/>
    </row>
    <row r="10" spans="1:7" x14ac:dyDescent="0.25">
      <c r="A10" s="1"/>
      <c r="B10" s="162" t="s">
        <v>224</v>
      </c>
      <c r="C10" s="163"/>
      <c r="D10" s="164"/>
      <c r="E10" s="9">
        <v>0</v>
      </c>
      <c r="F10" s="14" t="s">
        <v>3</v>
      </c>
      <c r="G10" s="1"/>
    </row>
    <row r="11" spans="1:7" x14ac:dyDescent="0.25">
      <c r="A11" s="1"/>
      <c r="B11" s="124" t="s">
        <v>10</v>
      </c>
      <c r="C11" s="125"/>
      <c r="D11" s="126"/>
      <c r="E11" s="9">
        <f>-E10*'Fane 5. Individuelt eff. krav'!G9</f>
        <v>0</v>
      </c>
      <c r="F11" s="14" t="s">
        <v>3</v>
      </c>
      <c r="G11" s="1"/>
    </row>
    <row r="12" spans="1:7" x14ac:dyDescent="0.25">
      <c r="A12" s="1"/>
      <c r="B12" s="124" t="s">
        <v>24</v>
      </c>
      <c r="C12" s="125"/>
      <c r="D12" s="126"/>
      <c r="E12" s="9">
        <f>-E10*'Fane 15. Nøgletal'!C31</f>
        <v>0</v>
      </c>
      <c r="F12" s="14" t="s">
        <v>3</v>
      </c>
      <c r="G12" s="1"/>
    </row>
    <row r="13" spans="1:7" x14ac:dyDescent="0.25">
      <c r="A13" s="1"/>
      <c r="B13" s="130" t="s">
        <v>92</v>
      </c>
      <c r="C13" s="131"/>
      <c r="D13" s="132"/>
      <c r="E13" s="12">
        <f>SUM(E10:E12)*(1+'Fane 15. Nøgletal'!C15)^2</f>
        <v>0</v>
      </c>
      <c r="F13" s="13" t="s">
        <v>3</v>
      </c>
      <c r="G13" s="1"/>
    </row>
    <row r="14" spans="1:7" x14ac:dyDescent="0.25">
      <c r="A14" s="1"/>
      <c r="B14" s="1"/>
      <c r="C14" s="1"/>
      <c r="D14" s="1"/>
      <c r="E14" s="1"/>
      <c r="F14" s="1"/>
      <c r="G14" s="1"/>
    </row>
    <row r="15" spans="1:7" ht="15" customHeight="1" x14ac:dyDescent="0.25">
      <c r="A15" s="1"/>
      <c r="B15" s="130" t="s">
        <v>130</v>
      </c>
      <c r="C15" s="131"/>
      <c r="D15" s="131"/>
      <c r="E15" s="131"/>
      <c r="F15" s="132"/>
      <c r="G15" s="1"/>
    </row>
    <row r="16" spans="1:7" x14ac:dyDescent="0.25">
      <c r="A16" s="1"/>
      <c r="B16" s="162" t="s">
        <v>224</v>
      </c>
      <c r="C16" s="163"/>
      <c r="D16" s="164"/>
      <c r="E16" s="9">
        <v>0</v>
      </c>
      <c r="F16" s="14" t="s">
        <v>3</v>
      </c>
      <c r="G16" s="1"/>
    </row>
    <row r="17" spans="1:7" x14ac:dyDescent="0.25">
      <c r="A17" s="1"/>
      <c r="B17" s="124" t="s">
        <v>10</v>
      </c>
      <c r="C17" s="125"/>
      <c r="D17" s="126"/>
      <c r="E17" s="9">
        <f>-E16*'Fane 5. Individuelt eff. krav'!G9</f>
        <v>0</v>
      </c>
      <c r="F17" s="14" t="s">
        <v>3</v>
      </c>
      <c r="G17" s="1"/>
    </row>
    <row r="18" spans="1:7" x14ac:dyDescent="0.25">
      <c r="A18" s="1"/>
      <c r="B18" s="124" t="s">
        <v>24</v>
      </c>
      <c r="C18" s="125"/>
      <c r="D18" s="126"/>
      <c r="E18" s="9">
        <f>-E16*'Fane 15. Nøgletal'!C31</f>
        <v>0</v>
      </c>
      <c r="F18" s="14" t="s">
        <v>3</v>
      </c>
      <c r="G18" s="1"/>
    </row>
    <row r="19" spans="1:7" x14ac:dyDescent="0.25">
      <c r="A19" s="1"/>
      <c r="B19" s="130" t="s">
        <v>131</v>
      </c>
      <c r="C19" s="131"/>
      <c r="D19" s="132"/>
      <c r="E19" s="12">
        <f>SUM(E16:E18)*(1+'Fane 15. Nøgletal'!C15)^3</f>
        <v>0</v>
      </c>
      <c r="F19" s="13" t="s">
        <v>3</v>
      </c>
      <c r="G19" s="1"/>
    </row>
    <row r="20" spans="1:7" x14ac:dyDescent="0.25">
      <c r="A20" s="1"/>
      <c r="B20" s="1"/>
      <c r="C20" s="1"/>
      <c r="D20" s="1"/>
      <c r="E20" s="1"/>
      <c r="F20" s="1"/>
      <c r="G20" s="1"/>
    </row>
    <row r="21" spans="1:7" ht="15" customHeight="1" x14ac:dyDescent="0.25">
      <c r="A21" s="1"/>
      <c r="B21" s="130" t="s">
        <v>157</v>
      </c>
      <c r="C21" s="131"/>
      <c r="D21" s="131"/>
      <c r="E21" s="131"/>
      <c r="F21" s="132"/>
      <c r="G21" s="1"/>
    </row>
    <row r="22" spans="1:7" x14ac:dyDescent="0.25">
      <c r="A22" s="1"/>
      <c r="B22" s="162" t="s">
        <v>224</v>
      </c>
      <c r="C22" s="163"/>
      <c r="D22" s="164"/>
      <c r="E22" s="9">
        <v>0</v>
      </c>
      <c r="F22" s="14" t="s">
        <v>3</v>
      </c>
      <c r="G22" s="1"/>
    </row>
    <row r="23" spans="1:7" x14ac:dyDescent="0.25">
      <c r="A23" s="1"/>
      <c r="B23" s="124" t="s">
        <v>10</v>
      </c>
      <c r="C23" s="125"/>
      <c r="D23" s="126"/>
      <c r="E23" s="9">
        <f>-E22*'Fane 5. Individuelt eff. krav'!G9</f>
        <v>0</v>
      </c>
      <c r="F23" s="14" t="s">
        <v>3</v>
      </c>
      <c r="G23" s="1"/>
    </row>
    <row r="24" spans="1:7" x14ac:dyDescent="0.25">
      <c r="A24" s="1"/>
      <c r="B24" s="124" t="s">
        <v>24</v>
      </c>
      <c r="C24" s="125"/>
      <c r="D24" s="126"/>
      <c r="E24" s="9">
        <f>-E22*'Fane 15. Nøgletal'!C31</f>
        <v>0</v>
      </c>
      <c r="F24" s="14" t="s">
        <v>3</v>
      </c>
      <c r="G24" s="1"/>
    </row>
    <row r="25" spans="1:7" x14ac:dyDescent="0.25">
      <c r="A25" s="1"/>
      <c r="B25" s="130" t="s">
        <v>158</v>
      </c>
      <c r="C25" s="131"/>
      <c r="D25" s="132"/>
      <c r="E25" s="12">
        <f>SUM(E22:E24)*(1+'Fane 15. Nøgletal'!C15)^4</f>
        <v>0</v>
      </c>
      <c r="F25" s="13" t="s">
        <v>3</v>
      </c>
      <c r="G25" s="1"/>
    </row>
    <row r="26" spans="1:7" x14ac:dyDescent="0.25">
      <c r="A26" s="1"/>
      <c r="B26" s="1"/>
      <c r="C26" s="1"/>
      <c r="D26" s="1"/>
      <c r="E26" s="1"/>
      <c r="F26" s="1"/>
      <c r="G26" s="1"/>
    </row>
    <row r="27" spans="1:7" ht="15" customHeight="1" x14ac:dyDescent="0.25">
      <c r="A27" s="1"/>
      <c r="B27" s="130" t="s">
        <v>214</v>
      </c>
      <c r="C27" s="131"/>
      <c r="D27" s="131"/>
      <c r="E27" s="131"/>
      <c r="F27" s="132"/>
      <c r="G27" s="1"/>
    </row>
    <row r="28" spans="1:7" ht="14.25" customHeight="1" x14ac:dyDescent="0.25">
      <c r="A28" s="1"/>
      <c r="B28" s="162" t="s">
        <v>224</v>
      </c>
      <c r="C28" s="163"/>
      <c r="D28" s="164"/>
      <c r="E28" s="9">
        <v>0</v>
      </c>
      <c r="F28" s="14" t="s">
        <v>3</v>
      </c>
      <c r="G28" s="1"/>
    </row>
    <row r="29" spans="1:7" x14ac:dyDescent="0.25">
      <c r="A29" s="1"/>
      <c r="B29" s="124" t="s">
        <v>10</v>
      </c>
      <c r="C29" s="125"/>
      <c r="D29" s="126"/>
      <c r="E29" s="9">
        <f>-E28*'Fane 5. Individuelt eff. krav'!G9</f>
        <v>0</v>
      </c>
      <c r="F29" s="14" t="s">
        <v>3</v>
      </c>
      <c r="G29" s="1"/>
    </row>
    <row r="30" spans="1:7" x14ac:dyDescent="0.25">
      <c r="A30" s="1"/>
      <c r="B30" s="124" t="s">
        <v>24</v>
      </c>
      <c r="C30" s="125"/>
      <c r="D30" s="126"/>
      <c r="E30" s="9">
        <f>-E28*'Fane 15. Nøgletal'!C31</f>
        <v>0</v>
      </c>
      <c r="F30" s="14" t="s">
        <v>3</v>
      </c>
      <c r="G30" s="1"/>
    </row>
    <row r="31" spans="1:7" x14ac:dyDescent="0.25">
      <c r="A31" s="1"/>
      <c r="B31" s="130" t="s">
        <v>215</v>
      </c>
      <c r="C31" s="131"/>
      <c r="D31" s="132"/>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aj6EZrCrPe5RGlEAaUPUinYbBq0qbEbb5M538Jogf7qNEaOUHgFR6Fjtb+ViKFbogldml9njz/eJsRWub6IdA==" saltValue="uTqhNWkTxfzQO9VgAya37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3" style="2" customWidth="1"/>
    <col min="2" max="2" width="40.28515625" style="2" customWidth="1"/>
    <col min="3" max="3" width="15.5703125" style="2" customWidth="1"/>
    <col min="4" max="4" width="3.28515625" style="2" customWidth="1"/>
    <col min="5" max="5" width="17.140625" style="2" customWidth="1"/>
    <col min="6" max="6" width="3.28515625" style="2" customWidth="1"/>
    <col min="7" max="7" width="3"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8" t="s">
        <v>259</v>
      </c>
      <c r="C3" s="138"/>
      <c r="D3" s="138"/>
      <c r="E3" s="138"/>
      <c r="F3" s="138"/>
      <c r="G3" s="1"/>
    </row>
    <row r="4" spans="1:7" ht="25.5" customHeight="1" x14ac:dyDescent="0.25">
      <c r="A4" s="1"/>
      <c r="B4" s="138"/>
      <c r="C4" s="138"/>
      <c r="D4" s="138"/>
      <c r="E4" s="138"/>
      <c r="F4" s="13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132</v>
      </c>
      <c r="C8" s="131"/>
      <c r="D8" s="131"/>
      <c r="E8" s="131"/>
      <c r="F8" s="132"/>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urfezIqSD2VCs9j2UJ6NbQOwWHlPJUY9xIoswLHiGT1eWrwZJhHOUReFdoxFy9h5CUhqBO0ES37TlzSTn3G7Jw==" saltValue="9kjHv+R/BXYTxLCnlRxZx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topLeftCell="A29"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8" t="s">
        <v>260</v>
      </c>
      <c r="C3" s="138"/>
      <c r="D3" s="138"/>
      <c r="E3" s="138"/>
      <c r="F3" s="138"/>
      <c r="G3" s="1"/>
    </row>
    <row r="4" spans="1:7" ht="25.5" customHeight="1" x14ac:dyDescent="0.25">
      <c r="A4" s="1"/>
      <c r="B4" s="138"/>
      <c r="C4" s="138"/>
      <c r="D4" s="138"/>
      <c r="E4" s="138"/>
      <c r="F4" s="13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0" t="s">
        <v>93</v>
      </c>
      <c r="C9" s="131"/>
      <c r="D9" s="131"/>
      <c r="E9" s="131"/>
      <c r="F9" s="132"/>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7"/>
      <c r="C15" s="167"/>
      <c r="D15" s="167"/>
      <c r="E15" s="167"/>
      <c r="F15" s="167"/>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7"/>
      <c r="C21" s="167"/>
      <c r="D21" s="167"/>
      <c r="E21" s="167"/>
      <c r="F21" s="167"/>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7"/>
      <c r="C27" s="167"/>
      <c r="D27" s="167"/>
      <c r="E27" s="167"/>
      <c r="F27" s="167"/>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ojICQj5JlQ2P49ldVWdK6LYHG4GmHuQoOAypUPHlx2d1VaxVDK+xK7obeu3xwHVMoFrhldlYJr8tPWk8s/4iTQ==" saltValue="3SBkKe7DVtWrg/2J5cZSG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topLeftCell="A5"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2" t="s">
        <v>181</v>
      </c>
      <c r="C3" s="122"/>
      <c r="D3" s="122"/>
      <c r="E3" s="1"/>
    </row>
    <row r="4" spans="1:5" ht="15" customHeight="1" x14ac:dyDescent="0.25">
      <c r="A4" s="1"/>
      <c r="B4" s="122"/>
      <c r="C4" s="122"/>
      <c r="D4" s="12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35154988.307854287</v>
      </c>
      <c r="D9" s="8" t="s">
        <v>3</v>
      </c>
      <c r="E9" s="1"/>
    </row>
    <row r="10" spans="1:5" ht="17.25" customHeight="1" x14ac:dyDescent="0.25">
      <c r="A10" s="1"/>
      <c r="B10" s="81" t="s">
        <v>39</v>
      </c>
      <c r="C10" s="7">
        <f>'Fane 11.1. Varige tillæg'!C13</f>
        <v>0</v>
      </c>
      <c r="D10" s="8" t="s">
        <v>3</v>
      </c>
      <c r="E10" s="1"/>
    </row>
    <row r="11" spans="1:5" ht="17.25" customHeight="1" x14ac:dyDescent="0.25">
      <c r="A11" s="1"/>
      <c r="B11" s="81" t="s">
        <v>40</v>
      </c>
      <c r="C11" s="9">
        <f>'Fane 11.1. Varige tillæg'!E13</f>
        <v>0</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4">
        <f>SUM(C9)*'Fane 15. Nøgletal'!C14+SUM(C10:C15)*'Fane 15. Nøgletal'!C15</f>
        <v>116011.46141591914</v>
      </c>
      <c r="D16" s="8" t="s">
        <v>3</v>
      </c>
      <c r="E16" s="1"/>
    </row>
    <row r="17" spans="1:5" ht="17.25" customHeight="1" x14ac:dyDescent="0.25">
      <c r="A17" s="1"/>
      <c r="B17" s="81" t="s">
        <v>10</v>
      </c>
      <c r="C17" s="44">
        <f>-SUM(C9,C10:C16)*'Fane 5. Individuelt eff. krav'!G9</f>
        <v>-329652.66014101217</v>
      </c>
      <c r="D17" s="8" t="s">
        <v>3</v>
      </c>
      <c r="E17" s="1"/>
    </row>
    <row r="18" spans="1:5" ht="17.25" customHeight="1" x14ac:dyDescent="0.25">
      <c r="A18" s="1"/>
      <c r="B18" s="81" t="s">
        <v>24</v>
      </c>
      <c r="C18" s="44">
        <f>-'Fane 4.1. Gen. krav - drift'!G45</f>
        <v>-429424.92039082712</v>
      </c>
      <c r="D18" s="8" t="s">
        <v>3</v>
      </c>
      <c r="E18" s="1"/>
    </row>
    <row r="19" spans="1:5" ht="17.25" customHeight="1" x14ac:dyDescent="0.25">
      <c r="A19" s="1"/>
      <c r="B19" s="81" t="s">
        <v>25</v>
      </c>
      <c r="C19" s="44">
        <f>-'Fane 4.2. Gen. krav - anlæg'!G43</f>
        <v>-236106.62456177812</v>
      </c>
      <c r="D19" s="8" t="s">
        <v>3</v>
      </c>
      <c r="E19" s="48"/>
    </row>
    <row r="20" spans="1:5" ht="17.25" customHeight="1" x14ac:dyDescent="0.25">
      <c r="A20" s="1"/>
      <c r="B20" s="87" t="s">
        <v>21</v>
      </c>
      <c r="C20" s="10">
        <f>SUM(C9:C19)</f>
        <v>34275815.564176582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omk.'!C13+'Fane 6. Ikke-påvirkelige omk.'!C17+'Fane 6. Ikke-påvirkelige omk.'!C25</f>
        <v>2102502.5489016003</v>
      </c>
      <c r="D22" s="11" t="s">
        <v>3</v>
      </c>
      <c r="E22" s="1"/>
    </row>
    <row r="23" spans="1:5" ht="15" customHeight="1" x14ac:dyDescent="0.25">
      <c r="A23" s="1"/>
      <c r="B23" s="32" t="s">
        <v>86</v>
      </c>
      <c r="C23" s="27"/>
      <c r="D23" s="19"/>
      <c r="E23" s="1"/>
    </row>
    <row r="24" spans="1:5" ht="15" customHeight="1" x14ac:dyDescent="0.25">
      <c r="A24" s="1"/>
      <c r="B24" s="87"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1" t="s">
        <v>231</v>
      </c>
      <c r="C26" s="73">
        <f>'Fane 11.2. Engangstillæg'!C12</f>
        <v>0</v>
      </c>
      <c r="D26" s="8" t="s">
        <v>3</v>
      </c>
      <c r="E26" s="1"/>
    </row>
    <row r="27" spans="1:5" ht="15" customHeight="1" x14ac:dyDescent="0.25">
      <c r="A27" s="1"/>
      <c r="B27" s="81" t="s">
        <v>82</v>
      </c>
      <c r="C27" s="73">
        <f>'Fane 11.2. Engangstillæg'!E12</f>
        <v>0</v>
      </c>
      <c r="D27" s="8" t="s">
        <v>3</v>
      </c>
      <c r="E27" s="1"/>
    </row>
    <row r="28" spans="1:5" ht="15" customHeight="1" x14ac:dyDescent="0.25">
      <c r="A28" s="1"/>
      <c r="B28" s="81" t="s">
        <v>238</v>
      </c>
      <c r="C28" s="73">
        <f>-C26*('Fane 15. Nøgletal'!C31+'Fane 5. Individuelt eff. krav'!G9)</f>
        <v>0</v>
      </c>
      <c r="D28" s="8" t="s">
        <v>3</v>
      </c>
      <c r="E28" s="1"/>
    </row>
    <row r="29" spans="1:5" ht="15" customHeight="1" x14ac:dyDescent="0.25">
      <c r="A29" s="1"/>
      <c r="B29" s="81" t="s">
        <v>239</v>
      </c>
      <c r="C29" s="73">
        <f>-C27*('Fane 15. Nøgletal'!C26+'Fane 5. Individuelt eff. krav'!G9)</f>
        <v>0</v>
      </c>
      <c r="D29" s="8" t="s">
        <v>3</v>
      </c>
      <c r="E29" s="1"/>
    </row>
    <row r="30" spans="1:5" ht="15" customHeight="1" x14ac:dyDescent="0.25">
      <c r="A30" s="1"/>
      <c r="B30" s="94"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4" t="s">
        <v>176</v>
      </c>
      <c r="C36" s="10">
        <f>'Fane 8. Skattesagen'!G12</f>
        <v>0</v>
      </c>
      <c r="D36" s="11" t="s">
        <v>3</v>
      </c>
      <c r="E36" s="1"/>
    </row>
    <row r="37" spans="1:5" x14ac:dyDescent="0.25">
      <c r="A37" s="1"/>
      <c r="B37" s="32" t="s">
        <v>90</v>
      </c>
      <c r="C37" s="57">
        <f>SUM(C34,C32,C24,C30,C22,C20,C36)</f>
        <v>36378318.113078184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c6cnAbHsncWP1RsLjLCBUstEmZ3AoxMRsWV5VxnxdM4SrMPfx87/wK0U6CAbysVPT4TD0NehAOBMemVQsvHHDA==" saltValue="u/hmt2QLzwqPFg2u3buii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tabSelected="1"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8" t="s">
        <v>261</v>
      </c>
      <c r="C3" s="138"/>
      <c r="D3" s="1"/>
    </row>
    <row r="4" spans="1:4" ht="25.5" customHeight="1" x14ac:dyDescent="0.25">
      <c r="A4" s="1"/>
      <c r="B4" s="138"/>
      <c r="C4" s="13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3" t="s">
        <v>112</v>
      </c>
      <c r="C9" s="24">
        <v>1.2699999999999999E-2</v>
      </c>
      <c r="D9" s="1"/>
    </row>
    <row r="10" spans="1:4" x14ac:dyDescent="0.25">
      <c r="A10" s="1"/>
      <c r="B10" s="93" t="s">
        <v>113</v>
      </c>
      <c r="C10" s="24">
        <v>1.7500000000000002E-2</v>
      </c>
      <c r="D10" s="1"/>
    </row>
    <row r="11" spans="1:4" x14ac:dyDescent="0.25">
      <c r="A11" s="1"/>
      <c r="B11" s="93"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3" t="s">
        <v>171</v>
      </c>
      <c r="C14" s="42">
        <v>3.3E-3</v>
      </c>
      <c r="D14" s="1"/>
    </row>
    <row r="15" spans="1:4" x14ac:dyDescent="0.25">
      <c r="A15" s="1"/>
      <c r="B15" s="33" t="s">
        <v>223</v>
      </c>
      <c r="C15" s="34">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3" t="s">
        <v>114</v>
      </c>
      <c r="C20" s="22">
        <v>9.1000000000000004E-3</v>
      </c>
      <c r="D20" s="1"/>
    </row>
    <row r="21" spans="1:4" x14ac:dyDescent="0.25">
      <c r="A21" s="1"/>
      <c r="B21" s="93" t="s">
        <v>145</v>
      </c>
      <c r="C21" s="22">
        <v>1.77E-2</v>
      </c>
      <c r="D21" s="1"/>
    </row>
    <row r="22" spans="1:4" x14ac:dyDescent="0.25">
      <c r="A22" s="1"/>
      <c r="B22" s="93" t="s">
        <v>146</v>
      </c>
      <c r="C22" s="22">
        <v>8.6999999999999994E-3</v>
      </c>
      <c r="D22" s="1"/>
    </row>
    <row r="23" spans="1:4" x14ac:dyDescent="0.25">
      <c r="A23" s="1"/>
      <c r="B23" s="93" t="s">
        <v>115</v>
      </c>
      <c r="C23" s="35">
        <v>2.8400000000000002E-2</v>
      </c>
      <c r="D23" s="1"/>
    </row>
    <row r="24" spans="1:4" x14ac:dyDescent="0.25">
      <c r="A24" s="1"/>
      <c r="B24" s="93" t="s">
        <v>147</v>
      </c>
      <c r="C24" s="35">
        <v>2.75E-2</v>
      </c>
      <c r="D24" s="1"/>
    </row>
    <row r="25" spans="1:4" x14ac:dyDescent="0.25">
      <c r="A25" s="1"/>
      <c r="B25" s="93" t="s">
        <v>148</v>
      </c>
      <c r="C25" s="35">
        <v>1.4800000000000001E-2</v>
      </c>
      <c r="D25" s="1"/>
    </row>
    <row r="26" spans="1:4" x14ac:dyDescent="0.25">
      <c r="A26" s="1"/>
      <c r="B26" s="33" t="s">
        <v>216</v>
      </c>
      <c r="C26" s="79">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3"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6xAj5LxF2YtdAbFz5pUZWLcHf1Q2z6hSRZArlz2UJunU3+g9xkBIbxX5yVdmokLZPAN9SlcjGw9K0Cx7qCVxw==" saltValue="0el3IKUmtjNfQqwGRXcMZ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2" t="s">
        <v>186</v>
      </c>
      <c r="C3" s="122"/>
      <c r="D3" s="122"/>
      <c r="E3" s="1"/>
    </row>
    <row r="4" spans="1:5" ht="15" customHeight="1" x14ac:dyDescent="0.25">
      <c r="A4" s="1"/>
      <c r="B4" s="122"/>
      <c r="C4" s="122"/>
      <c r="D4" s="122"/>
      <c r="E4" s="1"/>
    </row>
    <row r="5" spans="1:5" x14ac:dyDescent="0.25">
      <c r="A5" s="1"/>
      <c r="B5" s="123" t="s">
        <v>22</v>
      </c>
      <c r="C5" s="123"/>
      <c r="D5" s="123"/>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34275815.564176582</v>
      </c>
      <c r="D9" s="8" t="s">
        <v>3</v>
      </c>
      <c r="E9" s="1"/>
    </row>
    <row r="10" spans="1:5" ht="15" customHeight="1" x14ac:dyDescent="0.25">
      <c r="A10" s="1"/>
      <c r="B10" s="25" t="s">
        <v>19</v>
      </c>
      <c r="C10" s="7">
        <f>SUM(C9:C9)*'Fane 15. Nøgletal'!C15</f>
        <v>1220219.0340846863</v>
      </c>
      <c r="D10" s="8" t="s">
        <v>3</v>
      </c>
      <c r="E10" s="1"/>
    </row>
    <row r="11" spans="1:5" ht="15" customHeight="1" x14ac:dyDescent="0.25">
      <c r="A11" s="1"/>
      <c r="B11" s="25" t="s">
        <v>10</v>
      </c>
      <c r="C11" s="9">
        <f>-SUM(C9:C10)*'Fane 5. Individuelt eff. krav'!G9</f>
        <v>-331755.89879278163</v>
      </c>
      <c r="D11" s="8" t="s">
        <v>3</v>
      </c>
      <c r="E11" s="1"/>
    </row>
    <row r="12" spans="1:5" ht="15" customHeight="1" x14ac:dyDescent="0.25">
      <c r="A12" s="1"/>
      <c r="B12" s="25" t="s">
        <v>24</v>
      </c>
      <c r="C12" s="9">
        <f>-'Fane 4.1. Gen. krav - drift'!G53</f>
        <v>-435818.19860560581</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34728460.500862882</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Nøgletal'!C15)+'Fane 6. Ikke-påvirkelige omk.'!C18+'Fane 6. Ikke-påvirkelige omk.'!C26</f>
        <v>2177351.6396424975</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4" t="s">
        <v>176</v>
      </c>
      <c r="C22" s="10">
        <f>'Fane 8. Skattesagen'!G13</f>
        <v>0</v>
      </c>
      <c r="D22" s="11" t="s">
        <v>3</v>
      </c>
      <c r="E22" s="1"/>
    </row>
    <row r="23" spans="1:5" x14ac:dyDescent="0.25">
      <c r="A23" s="1"/>
      <c r="B23" s="32" t="s">
        <v>128</v>
      </c>
      <c r="C23" s="12">
        <f>SUM(C14,C16,C18,C20,C22)</f>
        <v>36905812.140505381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WPekBBAFV9CPPjAgTAxfH0PoionKomG2Uuc9xhK6oXYn7Q7rTYjr8itvrBCoUs/I3SCm39ZgbJww0kIZWkh8Pg==" saltValue="mLb4n7j+0cwaQ6njn+i/P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2" t="s">
        <v>187</v>
      </c>
      <c r="C3" s="122"/>
      <c r="D3" s="122"/>
      <c r="E3" s="1"/>
    </row>
    <row r="4" spans="1:5" ht="15" customHeight="1" x14ac:dyDescent="0.25">
      <c r="A4" s="1"/>
      <c r="B4" s="122"/>
      <c r="C4" s="122"/>
      <c r="D4" s="122"/>
      <c r="E4" s="1"/>
    </row>
    <row r="5" spans="1:5" x14ac:dyDescent="0.25">
      <c r="A5" s="1"/>
      <c r="B5" s="123" t="s">
        <v>22</v>
      </c>
      <c r="C5" s="123"/>
      <c r="D5" s="123"/>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34728460.500862882</v>
      </c>
      <c r="D9" s="8" t="s">
        <v>3</v>
      </c>
      <c r="E9" s="1"/>
    </row>
    <row r="10" spans="1:5" ht="15" customHeight="1" x14ac:dyDescent="0.25">
      <c r="A10" s="1"/>
      <c r="B10" s="25" t="s">
        <v>19</v>
      </c>
      <c r="C10" s="7">
        <f>SUM(C9:C9)*'Fane 15. Nøgletal'!C15</f>
        <v>1236333.1938307185</v>
      </c>
      <c r="D10" s="8" t="s">
        <v>3</v>
      </c>
      <c r="E10" s="1"/>
    </row>
    <row r="11" spans="1:5" ht="15" customHeight="1" x14ac:dyDescent="0.25">
      <c r="A11" s="1"/>
      <c r="B11" s="25" t="s">
        <v>10</v>
      </c>
      <c r="C11" s="9">
        <f>-SUM(C9:C10)*'Fane 5. Individuelt eff. krav'!G9</f>
        <v>-336137.05283193785</v>
      </c>
      <c r="D11" s="8" t="s">
        <v>3</v>
      </c>
      <c r="E11" s="1"/>
    </row>
    <row r="12" spans="1:5" ht="15" customHeight="1" x14ac:dyDescent="0.25">
      <c r="A12" s="1"/>
      <c r="B12" s="25" t="s">
        <v>24</v>
      </c>
      <c r="C12" s="9">
        <f>-'Fane 4.1. Gen. krav - drift'!G58</f>
        <v>-442306.65994644613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35186349.981915213</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Nøgletal'!C15)^2+'Fane 6. Ikke-påvirkelige omk.'!C19+'Fane 6. Ikke-påvirkelige omk.'!C27</f>
        <v>2254865.3580137705</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4" t="s">
        <v>176</v>
      </c>
      <c r="C22" s="10">
        <f>'Fane 8. Skattesagen'!G14</f>
        <v>0</v>
      </c>
      <c r="D22" s="11" t="s">
        <v>3</v>
      </c>
      <c r="E22" s="1"/>
    </row>
    <row r="23" spans="1:5" x14ac:dyDescent="0.25">
      <c r="A23" s="1"/>
      <c r="B23" s="32" t="s">
        <v>149</v>
      </c>
      <c r="C23" s="12">
        <f>SUM(C14,C16,C18,C20,C22)</f>
        <v>37441215.339928985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s+byXp53QkyD4Y2rGjARGhdeu61vDKmIQ/ePUAWL0XyLMOIH6K/dFOjPpFraCoph4OynWfPjTYeQTZywfBx2zg==" saltValue="zg9BtYIzdVbXy1x9Aq+qA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topLeftCell="A5"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2" t="s">
        <v>188</v>
      </c>
      <c r="C3" s="122"/>
      <c r="D3" s="122"/>
      <c r="E3" s="1"/>
    </row>
    <row r="4" spans="1:5" ht="15" customHeight="1" x14ac:dyDescent="0.25">
      <c r="A4" s="1"/>
      <c r="B4" s="122"/>
      <c r="C4" s="122"/>
      <c r="D4" s="122"/>
      <c r="E4" s="1"/>
    </row>
    <row r="5" spans="1:5" x14ac:dyDescent="0.25">
      <c r="A5" s="1"/>
      <c r="B5" s="123" t="s">
        <v>22</v>
      </c>
      <c r="C5" s="123"/>
      <c r="D5" s="123"/>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35186349.981915213</v>
      </c>
      <c r="D9" s="8" t="s">
        <v>3</v>
      </c>
      <c r="E9" s="1"/>
    </row>
    <row r="10" spans="1:5" ht="15" customHeight="1" x14ac:dyDescent="0.25">
      <c r="A10" s="1"/>
      <c r="B10" s="25" t="s">
        <v>19</v>
      </c>
      <c r="C10" s="7">
        <f>SUM(C9:C9)*'Fane 15. Nøgletal'!C15</f>
        <v>1252634.0593561816</v>
      </c>
      <c r="D10" s="8" t="s">
        <v>3</v>
      </c>
      <c r="E10" s="1"/>
    </row>
    <row r="11" spans="1:5" ht="15" customHeight="1" x14ac:dyDescent="0.25">
      <c r="A11" s="1"/>
      <c r="B11" s="25" t="s">
        <v>10</v>
      </c>
      <c r="C11" s="9">
        <f>-SUM(C9:C10)*'Fane 5. Individuelt eff. krav'!G9</f>
        <v>-340568.96885884757</v>
      </c>
      <c r="D11" s="8" t="s">
        <v>3</v>
      </c>
      <c r="E11" s="1"/>
    </row>
    <row r="12" spans="1:5" ht="15" customHeight="1" x14ac:dyDescent="0.25">
      <c r="A12" s="1"/>
      <c r="B12" s="25" t="s">
        <v>24</v>
      </c>
      <c r="C12" s="9">
        <f>-'Fane 4.1. Gen. krav - drift'!G63</f>
        <v>-448891.72149972885</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35649523.350912824</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Nøgletal'!C15)^3+'Fane 6. Ikke-påvirkelige omk.'!C20+'Fane 6. Ikke-påvirkelige omk.'!C28</f>
        <v>2335138.5647590607</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4" t="s">
        <v>176</v>
      </c>
      <c r="C22" s="10">
        <f>'Fane 8. Skattesagen'!G15</f>
        <v>0</v>
      </c>
      <c r="D22" s="11" t="s">
        <v>3</v>
      </c>
      <c r="E22" s="1"/>
    </row>
    <row r="23" spans="1:5" x14ac:dyDescent="0.25">
      <c r="A23" s="1"/>
      <c r="B23" s="32" t="s">
        <v>190</v>
      </c>
      <c r="C23" s="12">
        <f>SUM(C14,C16,C18,C20,C22)</f>
        <v>37984661.915671885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GIjtndltJwde2fFD3UCCdn41KhhNtYQ+023poZPdZI0Qrc1FLWlmBn2hMI+Nlln33UCnPf4OC7ssftHYcb0IIw==" saltValue="g87coYVcUPfwP8Xn254Ju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topLeftCell="A8" zoomScale="99" zoomScaleNormal="100" zoomScalePageLayoutView="99" workbookViewId="0">
      <selection activeCell="D34" sqref="D34"/>
    </sheetView>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8" t="s">
        <v>191</v>
      </c>
      <c r="C3" s="138"/>
      <c r="D3" s="138"/>
      <c r="E3" s="138"/>
      <c r="F3" s="138"/>
      <c r="G3" s="1"/>
    </row>
    <row r="4" spans="1:7" ht="29.25" customHeight="1" x14ac:dyDescent="0.25">
      <c r="A4" s="1"/>
      <c r="B4" s="138"/>
      <c r="C4" s="138"/>
      <c r="D4" s="138"/>
      <c r="E4" s="138"/>
      <c r="F4" s="13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284</v>
      </c>
      <c r="C8" s="27"/>
      <c r="D8" s="27"/>
      <c r="E8" s="27"/>
      <c r="F8" s="19"/>
      <c r="G8" s="1"/>
    </row>
    <row r="9" spans="1:7" ht="15" customHeight="1" x14ac:dyDescent="0.25">
      <c r="A9" s="1"/>
      <c r="B9" s="133" t="s">
        <v>192</v>
      </c>
      <c r="C9" s="134"/>
      <c r="D9" s="135"/>
      <c r="E9" s="7">
        <v>36049679.322974458</v>
      </c>
      <c r="F9" s="8" t="s">
        <v>3</v>
      </c>
      <c r="G9" s="1"/>
    </row>
    <row r="10" spans="1:7" ht="15" customHeight="1" x14ac:dyDescent="0.25">
      <c r="A10" s="1"/>
      <c r="B10" s="124" t="s">
        <v>39</v>
      </c>
      <c r="C10" s="125"/>
      <c r="D10" s="126"/>
      <c r="E10" s="7">
        <v>0</v>
      </c>
      <c r="F10" s="8" t="s">
        <v>3</v>
      </c>
      <c r="G10" s="1"/>
    </row>
    <row r="11" spans="1:7" ht="15" customHeight="1" x14ac:dyDescent="0.25">
      <c r="A11" s="1"/>
      <c r="B11" s="124" t="s">
        <v>40</v>
      </c>
      <c r="C11" s="125"/>
      <c r="D11" s="126"/>
      <c r="E11" s="9">
        <v>0</v>
      </c>
      <c r="F11" s="8" t="s">
        <v>3</v>
      </c>
      <c r="G11" s="1"/>
    </row>
    <row r="12" spans="1:7" ht="15" customHeight="1" x14ac:dyDescent="0.25">
      <c r="A12" s="1"/>
      <c r="B12" s="124" t="s">
        <v>27</v>
      </c>
      <c r="C12" s="125"/>
      <c r="D12" s="126"/>
      <c r="E12" s="9">
        <v>0</v>
      </c>
      <c r="F12" s="8" t="s">
        <v>3</v>
      </c>
      <c r="G12" s="1"/>
    </row>
    <row r="13" spans="1:7" ht="15" customHeight="1" x14ac:dyDescent="0.25">
      <c r="A13" s="1"/>
      <c r="B13" s="133" t="s">
        <v>26</v>
      </c>
      <c r="C13" s="134"/>
      <c r="D13" s="135"/>
      <c r="E13" s="9">
        <v>0</v>
      </c>
      <c r="F13" s="8" t="s">
        <v>3</v>
      </c>
      <c r="G13" s="1"/>
    </row>
    <row r="14" spans="1:7" ht="15" customHeight="1" x14ac:dyDescent="0.25">
      <c r="A14" s="1"/>
      <c r="B14" s="133" t="s">
        <v>29</v>
      </c>
      <c r="C14" s="134"/>
      <c r="D14" s="135"/>
      <c r="E14" s="9">
        <v>0</v>
      </c>
      <c r="F14" s="8" t="s">
        <v>3</v>
      </c>
      <c r="G14" s="1"/>
    </row>
    <row r="15" spans="1:7" ht="15" customHeight="1" x14ac:dyDescent="0.25">
      <c r="A15" s="1"/>
      <c r="B15" s="133" t="s">
        <v>28</v>
      </c>
      <c r="C15" s="134"/>
      <c r="D15" s="135"/>
      <c r="E15" s="9">
        <v>0</v>
      </c>
      <c r="F15" s="8" t="s">
        <v>3</v>
      </c>
      <c r="G15" s="1"/>
    </row>
    <row r="16" spans="1:7" ht="15" customHeight="1" x14ac:dyDescent="0.25">
      <c r="A16" s="1"/>
      <c r="B16" s="133" t="s">
        <v>19</v>
      </c>
      <c r="C16" s="134"/>
      <c r="D16" s="135"/>
      <c r="E16" s="9">
        <f>SUM(E9:E15)*'Fane 15. Nøgletal'!C14</f>
        <v>118963.94176581572</v>
      </c>
      <c r="F16" s="8" t="s">
        <v>3</v>
      </c>
      <c r="G16" s="1"/>
    </row>
    <row r="17" spans="1:7" ht="15" customHeight="1" x14ac:dyDescent="0.25">
      <c r="A17" s="1"/>
      <c r="B17" s="133" t="s">
        <v>10</v>
      </c>
      <c r="C17" s="134"/>
      <c r="D17" s="135"/>
      <c r="E17" s="9">
        <f>-SUM(E9:E16)*'Fane 5. Individuelt eff. krav'!G9</f>
        <v>-338042.28810947697</v>
      </c>
      <c r="F17" s="8" t="s">
        <v>3</v>
      </c>
      <c r="G17" s="1"/>
    </row>
    <row r="18" spans="1:7" ht="15" customHeight="1" x14ac:dyDescent="0.25">
      <c r="A18" s="1"/>
      <c r="B18" s="133" t="s">
        <v>24</v>
      </c>
      <c r="C18" s="134"/>
      <c r="D18" s="135"/>
      <c r="E18" s="9">
        <f>-'Fane 4.1. Gen. krav - drift'!G39</f>
        <v>-436747.42776473059</v>
      </c>
      <c r="F18" s="8" t="s">
        <v>3</v>
      </c>
      <c r="G18" s="1"/>
    </row>
    <row r="19" spans="1:7" ht="15" customHeight="1" x14ac:dyDescent="0.25">
      <c r="A19" s="1"/>
      <c r="B19" s="133" t="s">
        <v>25</v>
      </c>
      <c r="C19" s="134"/>
      <c r="D19" s="135"/>
      <c r="E19" s="9">
        <f>-'Fane 4.2. Gen. krav - anlæg'!G37</f>
        <v>-238865.24101178464</v>
      </c>
      <c r="F19" s="8" t="s">
        <v>3</v>
      </c>
      <c r="G19" s="1"/>
    </row>
    <row r="20" spans="1:7" ht="15" customHeight="1" x14ac:dyDescent="0.25">
      <c r="A20" s="1"/>
      <c r="B20" s="54" t="s">
        <v>21</v>
      </c>
      <c r="C20" s="98"/>
      <c r="D20" s="100"/>
      <c r="E20" s="51">
        <f>SUM(E9:E19)</f>
        <v>35154988.307854287</v>
      </c>
      <c r="F20" s="53" t="s">
        <v>3</v>
      </c>
      <c r="G20" s="1"/>
    </row>
    <row r="21" spans="1:7" ht="15" customHeight="1" x14ac:dyDescent="0.25">
      <c r="A21" s="1"/>
      <c r="B21" s="32" t="s">
        <v>12</v>
      </c>
      <c r="C21" s="27"/>
      <c r="D21" s="27"/>
      <c r="E21" s="27"/>
      <c r="F21" s="19"/>
      <c r="G21" s="1"/>
    </row>
    <row r="22" spans="1:7" ht="15" customHeight="1" x14ac:dyDescent="0.25">
      <c r="A22" s="1"/>
      <c r="B22" s="127" t="s">
        <v>12</v>
      </c>
      <c r="C22" s="128"/>
      <c r="D22" s="129"/>
      <c r="E22" s="10">
        <v>2615015.0410884903</v>
      </c>
      <c r="F22" s="11" t="s">
        <v>3</v>
      </c>
      <c r="G22" s="1"/>
    </row>
    <row r="23" spans="1:7" ht="15" customHeight="1" x14ac:dyDescent="0.25">
      <c r="A23" s="1"/>
      <c r="B23" s="130" t="s">
        <v>86</v>
      </c>
      <c r="C23" s="131"/>
      <c r="D23" s="132"/>
      <c r="E23" s="27"/>
      <c r="F23" s="19"/>
      <c r="G23" s="1"/>
    </row>
    <row r="24" spans="1:7" ht="15" customHeight="1" x14ac:dyDescent="0.25">
      <c r="A24" s="1"/>
      <c r="B24" s="97"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4" t="s">
        <v>81</v>
      </c>
      <c r="C26" s="125"/>
      <c r="D26" s="126"/>
      <c r="E26" s="9">
        <v>0</v>
      </c>
      <c r="F26" s="8" t="s">
        <v>3</v>
      </c>
      <c r="G26" s="1"/>
    </row>
    <row r="27" spans="1:7" ht="15" customHeight="1" x14ac:dyDescent="0.25">
      <c r="A27" s="1"/>
      <c r="B27" s="124" t="s">
        <v>82</v>
      </c>
      <c r="C27" s="125"/>
      <c r="D27" s="125"/>
      <c r="E27" s="9">
        <v>0</v>
      </c>
      <c r="F27" s="8" t="s">
        <v>3</v>
      </c>
      <c r="G27" s="1"/>
    </row>
    <row r="28" spans="1:7" ht="15" customHeight="1" x14ac:dyDescent="0.25">
      <c r="A28" s="1"/>
      <c r="B28" s="136" t="s">
        <v>87</v>
      </c>
      <c r="C28" s="137"/>
      <c r="D28" s="137"/>
      <c r="E28" s="39">
        <f>SUM(E26:E27)</f>
        <v>0</v>
      </c>
      <c r="F28" s="11" t="s">
        <v>3</v>
      </c>
      <c r="G28" s="1"/>
    </row>
    <row r="29" spans="1:7" ht="15" customHeight="1" x14ac:dyDescent="0.25">
      <c r="A29" s="1"/>
      <c r="B29" s="32" t="s">
        <v>143</v>
      </c>
      <c r="C29" s="32"/>
      <c r="D29" s="32"/>
      <c r="E29" s="27"/>
      <c r="F29" s="19"/>
      <c r="G29" s="1"/>
    </row>
    <row r="30" spans="1:7" ht="15" customHeight="1" x14ac:dyDescent="0.25">
      <c r="A30" s="1"/>
      <c r="B30" s="127" t="s">
        <v>142</v>
      </c>
      <c r="C30" s="128"/>
      <c r="D30" s="128"/>
      <c r="E30" s="39"/>
      <c r="F30" s="11" t="s">
        <v>3</v>
      </c>
      <c r="G30" s="1"/>
    </row>
    <row r="31" spans="1:7" x14ac:dyDescent="0.25">
      <c r="A31" s="1"/>
      <c r="B31" s="32" t="s">
        <v>123</v>
      </c>
      <c r="C31" s="27"/>
      <c r="D31" s="27"/>
      <c r="E31" s="27"/>
      <c r="F31" s="19"/>
      <c r="G31" s="1"/>
    </row>
    <row r="32" spans="1:7" ht="15.4" customHeight="1" x14ac:dyDescent="0.25">
      <c r="A32" s="1"/>
      <c r="B32" s="127" t="s">
        <v>123</v>
      </c>
      <c r="C32" s="128"/>
      <c r="D32" s="129"/>
      <c r="E32" s="10"/>
      <c r="F32" s="11" t="s">
        <v>3</v>
      </c>
      <c r="G32" s="1"/>
    </row>
    <row r="33" spans="1:7" ht="15.4" customHeight="1" x14ac:dyDescent="0.25">
      <c r="A33" s="1"/>
      <c r="B33" s="130" t="s">
        <v>175</v>
      </c>
      <c r="C33" s="131"/>
      <c r="D33" s="131"/>
      <c r="E33" s="131"/>
      <c r="F33" s="132"/>
      <c r="G33" s="1"/>
    </row>
    <row r="34" spans="1:7" ht="15.4" customHeight="1" x14ac:dyDescent="0.25">
      <c r="A34" s="1"/>
      <c r="B34" s="99" t="s">
        <v>176</v>
      </c>
      <c r="C34" s="10"/>
      <c r="D34" s="11"/>
      <c r="E34" s="10">
        <f>'Fane 8. Skattesagen'!G11</f>
        <v>0</v>
      </c>
      <c r="F34" s="11" t="s">
        <v>3</v>
      </c>
      <c r="G34" s="1"/>
    </row>
    <row r="35" spans="1:7" x14ac:dyDescent="0.25">
      <c r="A35" s="1"/>
      <c r="B35" s="55" t="s">
        <v>218</v>
      </c>
      <c r="C35" s="56"/>
      <c r="D35" s="19"/>
      <c r="E35" s="45">
        <f>SUM(E32,E30,E28,E24,E22,E20,E34)</f>
        <v>37770003.348942779</v>
      </c>
      <c r="F35" s="52" t="s">
        <v>3</v>
      </c>
      <c r="G35" s="1"/>
    </row>
    <row r="36" spans="1:7" ht="27" customHeight="1" x14ac:dyDescent="0.25">
      <c r="A36" s="1"/>
      <c r="B36" s="133" t="s">
        <v>222</v>
      </c>
      <c r="C36" s="134"/>
      <c r="D36" s="134"/>
      <c r="E36" s="134"/>
      <c r="F36" s="135"/>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A8WgHhq/nN7S7+izhrgmaC22Mx3P38DHVl/b3XGNi0TEmSBXJgGPYzUdupaeck0oeix5wTJoSmXBtHn4FSqo5Q==" saltValue="asdJe1eKnKegMhcmxWyqk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topLeftCell="A45" zoomScale="90" zoomScaleNormal="100" zoomScalePageLayoutView="90" workbookViewId="0"/>
  </sheetViews>
  <sheetFormatPr defaultColWidth="9.140625" defaultRowHeight="15" x14ac:dyDescent="0.25"/>
  <cols>
    <col min="1" max="1" width="2.140625" style="2" customWidth="1"/>
    <col min="2" max="5" width="9.140625" style="2"/>
    <col min="6" max="6" width="25.5703125" style="2" customWidth="1"/>
    <col min="7" max="7" width="16.28515625" style="2" customWidth="1"/>
    <col min="8" max="8" width="3.42578125" style="2" customWidth="1"/>
    <col min="9" max="9" width="2"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8" t="s">
        <v>109</v>
      </c>
      <c r="C2" s="138"/>
      <c r="D2" s="138"/>
      <c r="E2" s="138"/>
      <c r="F2" s="138"/>
      <c r="G2" s="138"/>
      <c r="H2" s="138"/>
      <c r="I2" s="1"/>
    </row>
    <row r="3" spans="1:9" ht="28.5" customHeight="1" x14ac:dyDescent="0.25">
      <c r="A3" s="1"/>
      <c r="B3" s="138"/>
      <c r="C3" s="138"/>
      <c r="D3" s="138"/>
      <c r="E3" s="138"/>
      <c r="F3" s="138"/>
      <c r="G3" s="138"/>
      <c r="H3" s="138"/>
      <c r="I3" s="1"/>
    </row>
    <row r="4" spans="1:9" x14ac:dyDescent="0.25">
      <c r="A4" s="1"/>
      <c r="B4" s="130" t="s">
        <v>52</v>
      </c>
      <c r="C4" s="131"/>
      <c r="D4" s="131"/>
      <c r="E4" s="131"/>
      <c r="F4" s="131"/>
      <c r="G4" s="131"/>
      <c r="H4" s="132"/>
      <c r="I4" s="1"/>
    </row>
    <row r="5" spans="1:9" x14ac:dyDescent="0.25">
      <c r="A5" s="1"/>
      <c r="B5" s="140" t="s">
        <v>41</v>
      </c>
      <c r="C5" s="141"/>
      <c r="D5" s="141"/>
      <c r="E5" s="141"/>
      <c r="F5" s="142"/>
      <c r="G5" s="74">
        <v>0</v>
      </c>
      <c r="H5" s="14" t="s">
        <v>3</v>
      </c>
      <c r="I5" s="1"/>
    </row>
    <row r="6" spans="1:9" x14ac:dyDescent="0.25">
      <c r="A6" s="1"/>
      <c r="B6" s="133" t="s">
        <v>120</v>
      </c>
      <c r="C6" s="134"/>
      <c r="D6" s="134"/>
      <c r="E6" s="134"/>
      <c r="F6" s="135"/>
      <c r="G6" s="75">
        <v>0</v>
      </c>
      <c r="H6" s="14" t="s">
        <v>3</v>
      </c>
      <c r="I6" s="1"/>
    </row>
    <row r="7" spans="1:9" x14ac:dyDescent="0.25">
      <c r="A7" s="1"/>
      <c r="B7" s="140" t="s">
        <v>42</v>
      </c>
      <c r="C7" s="141"/>
      <c r="D7" s="141"/>
      <c r="E7" s="141"/>
      <c r="F7" s="142"/>
      <c r="G7" s="74">
        <f>SUM(G5:G6)*'Fane 15. Nøgletal'!C31</f>
        <v>0</v>
      </c>
      <c r="H7" s="14" t="s">
        <v>3</v>
      </c>
      <c r="I7" s="1"/>
    </row>
    <row r="8" spans="1:9" x14ac:dyDescent="0.25">
      <c r="A8" s="1"/>
      <c r="B8" s="32"/>
      <c r="C8" s="27"/>
      <c r="D8" s="27"/>
      <c r="E8" s="27"/>
      <c r="F8" s="27"/>
      <c r="G8" s="76"/>
      <c r="H8" s="19"/>
      <c r="I8" s="1"/>
    </row>
    <row r="9" spans="1:9" x14ac:dyDescent="0.25">
      <c r="A9" s="1"/>
      <c r="B9" s="1"/>
      <c r="C9" s="1"/>
      <c r="D9" s="1"/>
      <c r="E9" s="1"/>
      <c r="F9" s="1"/>
      <c r="G9" s="77"/>
      <c r="H9" s="1"/>
      <c r="I9" s="1"/>
    </row>
    <row r="10" spans="1:9" x14ac:dyDescent="0.25">
      <c r="A10" s="1"/>
      <c r="B10" s="130" t="s">
        <v>53</v>
      </c>
      <c r="C10" s="131"/>
      <c r="D10" s="131"/>
      <c r="E10" s="131"/>
      <c r="F10" s="131"/>
      <c r="G10" s="139"/>
      <c r="H10" s="132"/>
      <c r="I10" s="1"/>
    </row>
    <row r="11" spans="1:9" x14ac:dyDescent="0.25">
      <c r="A11" s="1"/>
      <c r="B11" s="140" t="s">
        <v>43</v>
      </c>
      <c r="C11" s="141"/>
      <c r="D11" s="141"/>
      <c r="E11" s="141"/>
      <c r="F11" s="142"/>
      <c r="G11" s="74">
        <v>22304166</v>
      </c>
      <c r="H11" s="14" t="s">
        <v>3</v>
      </c>
      <c r="I11" s="1"/>
    </row>
    <row r="12" spans="1:9" ht="15" customHeight="1" x14ac:dyDescent="0.25">
      <c r="A12" s="1"/>
      <c r="B12" s="140" t="s">
        <v>121</v>
      </c>
      <c r="C12" s="141"/>
      <c r="D12" s="141"/>
      <c r="E12" s="141"/>
      <c r="F12" s="142"/>
      <c r="G12" s="75">
        <v>0</v>
      </c>
      <c r="H12" s="14" t="s">
        <v>3</v>
      </c>
      <c r="I12" s="1"/>
    </row>
    <row r="13" spans="1:9" x14ac:dyDescent="0.25">
      <c r="A13" s="1"/>
      <c r="B13" s="133" t="s">
        <v>118</v>
      </c>
      <c r="C13" s="134"/>
      <c r="D13" s="134"/>
      <c r="E13" s="134"/>
      <c r="F13" s="135"/>
      <c r="G13" s="75">
        <v>0</v>
      </c>
      <c r="H13" s="14" t="s">
        <v>3</v>
      </c>
      <c r="I13" s="1"/>
    </row>
    <row r="14" spans="1:9" x14ac:dyDescent="0.25">
      <c r="A14" s="1"/>
      <c r="B14" s="143" t="s">
        <v>44</v>
      </c>
      <c r="C14" s="144"/>
      <c r="D14" s="144"/>
      <c r="E14" s="144"/>
      <c r="F14" s="145"/>
      <c r="G14" s="75">
        <v>0</v>
      </c>
      <c r="H14" s="14" t="s">
        <v>3</v>
      </c>
      <c r="I14" s="1"/>
    </row>
    <row r="15" spans="1:9" x14ac:dyDescent="0.25">
      <c r="A15" s="1"/>
      <c r="B15" s="140" t="s">
        <v>45</v>
      </c>
      <c r="C15" s="141"/>
      <c r="D15" s="141"/>
      <c r="E15" s="141"/>
      <c r="F15" s="142"/>
      <c r="G15" s="74">
        <f>SUM(G11:G14)*'Fane 15. Nøgletal'!C31</f>
        <v>446083.32</v>
      </c>
      <c r="H15" s="14" t="s">
        <v>3</v>
      </c>
      <c r="I15" s="1"/>
    </row>
    <row r="16" spans="1:9" x14ac:dyDescent="0.25">
      <c r="A16" s="1"/>
      <c r="B16" s="32"/>
      <c r="C16" s="27"/>
      <c r="D16" s="27"/>
      <c r="E16" s="27"/>
      <c r="F16" s="27"/>
      <c r="G16" s="76"/>
      <c r="H16" s="19"/>
      <c r="I16" s="1"/>
    </row>
    <row r="17" spans="1:9" x14ac:dyDescent="0.25">
      <c r="A17" s="1"/>
      <c r="B17" s="1"/>
      <c r="C17" s="1"/>
      <c r="D17" s="1"/>
      <c r="E17" s="1"/>
      <c r="F17" s="1"/>
      <c r="G17" s="77"/>
      <c r="H17" s="1"/>
      <c r="I17" s="1"/>
    </row>
    <row r="18" spans="1:9" x14ac:dyDescent="0.25">
      <c r="A18" s="1"/>
      <c r="B18" s="130" t="s">
        <v>54</v>
      </c>
      <c r="C18" s="131"/>
      <c r="D18" s="131"/>
      <c r="E18" s="131"/>
      <c r="F18" s="131"/>
      <c r="G18" s="139"/>
      <c r="H18" s="132"/>
      <c r="I18" s="1"/>
    </row>
    <row r="19" spans="1:9" x14ac:dyDescent="0.25">
      <c r="A19" s="1"/>
      <c r="B19" s="140" t="s">
        <v>46</v>
      </c>
      <c r="C19" s="141"/>
      <c r="D19" s="141"/>
      <c r="E19" s="141"/>
      <c r="F19" s="142"/>
      <c r="G19" s="74">
        <f>(SUM(G11:G12,G14)-(G15))*(1+'Fane 15. Nøgletal'!C10)</f>
        <v>22240599.126900002</v>
      </c>
      <c r="H19" s="14" t="s">
        <v>3</v>
      </c>
      <c r="I19" s="1"/>
    </row>
    <row r="20" spans="1:9" x14ac:dyDescent="0.25">
      <c r="A20" s="1"/>
      <c r="B20" s="143" t="s">
        <v>47</v>
      </c>
      <c r="C20" s="144"/>
      <c r="D20" s="144"/>
      <c r="E20" s="144"/>
      <c r="F20" s="145"/>
      <c r="G20" s="75">
        <v>0</v>
      </c>
      <c r="H20" s="14" t="s">
        <v>3</v>
      </c>
      <c r="I20" s="1"/>
    </row>
    <row r="21" spans="1:9" x14ac:dyDescent="0.25">
      <c r="A21" s="1"/>
      <c r="B21" s="140" t="s">
        <v>48</v>
      </c>
      <c r="C21" s="141"/>
      <c r="D21" s="141"/>
      <c r="E21" s="141"/>
      <c r="F21" s="142"/>
      <c r="G21" s="74">
        <f>SUM(G19:G20)*'Fane 15. Nøgletal'!C31</f>
        <v>444811.98253800004</v>
      </c>
      <c r="H21" s="14" t="s">
        <v>3</v>
      </c>
      <c r="I21" s="1"/>
    </row>
    <row r="22" spans="1:9" x14ac:dyDescent="0.25">
      <c r="A22" s="1"/>
      <c r="B22" s="32"/>
      <c r="C22" s="27"/>
      <c r="D22" s="27"/>
      <c r="E22" s="27"/>
      <c r="F22" s="27"/>
      <c r="G22" s="76"/>
      <c r="H22" s="19"/>
      <c r="I22" s="1"/>
    </row>
    <row r="23" spans="1:9" x14ac:dyDescent="0.25">
      <c r="A23" s="1"/>
      <c r="B23" s="1"/>
      <c r="C23" s="1"/>
      <c r="D23" s="1"/>
      <c r="E23" s="1"/>
      <c r="F23" s="1"/>
      <c r="G23" s="77"/>
      <c r="H23" s="1"/>
      <c r="I23" s="1"/>
    </row>
    <row r="24" spans="1:9" x14ac:dyDescent="0.25">
      <c r="A24" s="1"/>
      <c r="B24" s="130" t="s">
        <v>55</v>
      </c>
      <c r="C24" s="131"/>
      <c r="D24" s="131"/>
      <c r="E24" s="131"/>
      <c r="F24" s="131"/>
      <c r="G24" s="139"/>
      <c r="H24" s="132"/>
      <c r="I24" s="1"/>
    </row>
    <row r="25" spans="1:9" x14ac:dyDescent="0.25">
      <c r="A25" s="1"/>
      <c r="B25" s="140" t="s">
        <v>49</v>
      </c>
      <c r="C25" s="141"/>
      <c r="D25" s="141"/>
      <c r="E25" s="141"/>
      <c r="F25" s="142"/>
      <c r="G25" s="74">
        <f>(G19+G20-G21)*(1+'Fane 15. Nøgletal'!C12)</f>
        <v>22225164.151105937</v>
      </c>
      <c r="H25" s="14" t="s">
        <v>3</v>
      </c>
      <c r="I25" s="1"/>
    </row>
    <row r="26" spans="1:9" x14ac:dyDescent="0.25">
      <c r="A26" s="1"/>
      <c r="B26" s="143" t="s">
        <v>50</v>
      </c>
      <c r="C26" s="144"/>
      <c r="D26" s="144"/>
      <c r="E26" s="144"/>
      <c r="F26" s="145"/>
      <c r="G26" s="75">
        <v>0</v>
      </c>
      <c r="H26" s="14" t="s">
        <v>3</v>
      </c>
      <c r="I26" s="1"/>
    </row>
    <row r="27" spans="1:9" x14ac:dyDescent="0.25">
      <c r="A27" s="1"/>
      <c r="B27" s="140" t="s">
        <v>51</v>
      </c>
      <c r="C27" s="141"/>
      <c r="D27" s="141"/>
      <c r="E27" s="141"/>
      <c r="F27" s="142"/>
      <c r="G27" s="74">
        <f>(G25+G26)*'Fane 15. Nøgletal'!C31</f>
        <v>444503.28302211873</v>
      </c>
      <c r="H27" s="14" t="s">
        <v>3</v>
      </c>
      <c r="I27" s="1"/>
    </row>
    <row r="28" spans="1:9" x14ac:dyDescent="0.25">
      <c r="A28" s="1"/>
      <c r="B28" s="32"/>
      <c r="C28" s="27"/>
      <c r="D28" s="27"/>
      <c r="E28" s="27"/>
      <c r="F28" s="27"/>
      <c r="G28" s="76"/>
      <c r="H28" s="19"/>
      <c r="I28" s="1"/>
    </row>
    <row r="29" spans="1:9" x14ac:dyDescent="0.25">
      <c r="A29" s="1"/>
      <c r="B29" s="1"/>
      <c r="C29" s="1"/>
      <c r="D29" s="1"/>
      <c r="E29" s="1"/>
      <c r="F29" s="1"/>
      <c r="G29" s="77"/>
      <c r="H29" s="1"/>
      <c r="I29" s="1"/>
    </row>
    <row r="30" spans="1:9" x14ac:dyDescent="0.25">
      <c r="A30" s="1"/>
      <c r="B30" s="130" t="s">
        <v>58</v>
      </c>
      <c r="C30" s="131"/>
      <c r="D30" s="131"/>
      <c r="E30" s="131"/>
      <c r="F30" s="131"/>
      <c r="G30" s="139"/>
      <c r="H30" s="132"/>
      <c r="I30" s="1"/>
    </row>
    <row r="31" spans="1:9" x14ac:dyDescent="0.25">
      <c r="A31" s="1"/>
      <c r="B31" s="140" t="s">
        <v>59</v>
      </c>
      <c r="C31" s="141"/>
      <c r="D31" s="141"/>
      <c r="E31" s="141"/>
      <c r="F31" s="142"/>
      <c r="G31" s="74">
        <f>(G25+G26-G27)*(1+'Fane 15. Nøgletal'!C12)</f>
        <v>22209739.887185071</v>
      </c>
      <c r="H31" s="14" t="s">
        <v>3</v>
      </c>
      <c r="I31" s="1"/>
    </row>
    <row r="32" spans="1:9" x14ac:dyDescent="0.25">
      <c r="A32" s="1"/>
      <c r="B32" s="140" t="s">
        <v>137</v>
      </c>
      <c r="C32" s="141"/>
      <c r="D32" s="141"/>
      <c r="E32" s="141"/>
      <c r="F32" s="142"/>
      <c r="G32" s="74">
        <v>0</v>
      </c>
      <c r="H32" s="14" t="s">
        <v>3</v>
      </c>
      <c r="I32" s="1"/>
    </row>
    <row r="33" spans="1:9" x14ac:dyDescent="0.25">
      <c r="A33" s="1"/>
      <c r="B33" s="140" t="s">
        <v>60</v>
      </c>
      <c r="C33" s="141"/>
      <c r="D33" s="141"/>
      <c r="E33" s="141"/>
      <c r="F33" s="142"/>
      <c r="G33" s="74">
        <f>(G31+G32)*'Fane 15. Nøgletal'!C31</f>
        <v>444194.79774370143</v>
      </c>
      <c r="H33" s="14" t="s">
        <v>3</v>
      </c>
      <c r="I33" s="1"/>
    </row>
    <row r="34" spans="1:9" x14ac:dyDescent="0.25">
      <c r="A34" s="1"/>
      <c r="B34" s="32"/>
      <c r="C34" s="27"/>
      <c r="D34" s="27"/>
      <c r="E34" s="27"/>
      <c r="F34" s="27"/>
      <c r="G34" s="76"/>
      <c r="H34" s="19"/>
      <c r="I34" s="1"/>
    </row>
    <row r="35" spans="1:9" x14ac:dyDescent="0.25">
      <c r="A35" s="1"/>
      <c r="B35" s="1"/>
      <c r="C35" s="1"/>
      <c r="D35" s="1"/>
      <c r="E35" s="1"/>
      <c r="F35" s="1"/>
      <c r="G35" s="77"/>
      <c r="H35" s="1"/>
      <c r="I35" s="1"/>
    </row>
    <row r="36" spans="1:9" x14ac:dyDescent="0.25">
      <c r="A36" s="1"/>
      <c r="B36" s="130" t="s">
        <v>160</v>
      </c>
      <c r="C36" s="131"/>
      <c r="D36" s="131"/>
      <c r="E36" s="131"/>
      <c r="F36" s="131"/>
      <c r="G36" s="139"/>
      <c r="H36" s="132"/>
      <c r="I36" s="1"/>
    </row>
    <row r="37" spans="1:9" x14ac:dyDescent="0.25">
      <c r="A37" s="1"/>
      <c r="B37" s="140" t="s">
        <v>79</v>
      </c>
      <c r="C37" s="141"/>
      <c r="D37" s="141"/>
      <c r="E37" s="141"/>
      <c r="F37" s="142"/>
      <c r="G37" s="74">
        <f>(G31+G32-G33)*(1+'Fane 15. Nøgletal'!C14)</f>
        <v>21837371.38823653</v>
      </c>
      <c r="H37" s="14" t="s">
        <v>3</v>
      </c>
      <c r="I37" s="1"/>
    </row>
    <row r="38" spans="1:9" x14ac:dyDescent="0.25">
      <c r="A38" s="1"/>
      <c r="B38" s="140" t="s">
        <v>164</v>
      </c>
      <c r="C38" s="141"/>
      <c r="D38" s="141"/>
      <c r="E38" s="141"/>
      <c r="F38" s="142"/>
      <c r="G38" s="74">
        <v>0</v>
      </c>
      <c r="H38" s="14" t="s">
        <v>3</v>
      </c>
      <c r="I38" s="1"/>
    </row>
    <row r="39" spans="1:9" x14ac:dyDescent="0.25">
      <c r="A39" s="1"/>
      <c r="B39" s="140" t="s">
        <v>162</v>
      </c>
      <c r="C39" s="141"/>
      <c r="D39" s="141"/>
      <c r="E39" s="141"/>
      <c r="F39" s="142"/>
      <c r="G39" s="74">
        <f>(G37+G38)*'Fane 15. Nøgletal'!C31</f>
        <v>436747.42776473059</v>
      </c>
      <c r="H39" s="14" t="s">
        <v>3</v>
      </c>
      <c r="I39" s="1"/>
    </row>
    <row r="40" spans="1:9" x14ac:dyDescent="0.25">
      <c r="A40" s="1"/>
      <c r="B40" s="32"/>
      <c r="C40" s="27"/>
      <c r="D40" s="27"/>
      <c r="E40" s="27"/>
      <c r="F40" s="27"/>
      <c r="G40" s="76"/>
      <c r="H40" s="19"/>
      <c r="I40" s="1"/>
    </row>
    <row r="41" spans="1:9" x14ac:dyDescent="0.25">
      <c r="A41" s="1"/>
      <c r="B41" s="1"/>
      <c r="C41" s="1"/>
      <c r="D41" s="1"/>
      <c r="E41" s="1"/>
      <c r="F41" s="1"/>
      <c r="G41" s="77"/>
      <c r="H41" s="1"/>
      <c r="I41" s="1"/>
    </row>
    <row r="42" spans="1:9" x14ac:dyDescent="0.25">
      <c r="A42" s="1"/>
      <c r="B42" s="130" t="s">
        <v>161</v>
      </c>
      <c r="C42" s="131"/>
      <c r="D42" s="131"/>
      <c r="E42" s="131"/>
      <c r="F42" s="131"/>
      <c r="G42" s="139"/>
      <c r="H42" s="132"/>
      <c r="I42" s="1"/>
    </row>
    <row r="43" spans="1:9" x14ac:dyDescent="0.25">
      <c r="A43" s="1"/>
      <c r="B43" s="140" t="s">
        <v>228</v>
      </c>
      <c r="C43" s="141"/>
      <c r="D43" s="141"/>
      <c r="E43" s="141"/>
      <c r="F43" s="142"/>
      <c r="G43" s="74">
        <f>(G37+G38-G39)*(1+'Fane 15. Nøgletal'!C14)</f>
        <v>21471246.019541357</v>
      </c>
      <c r="H43" s="14" t="s">
        <v>3</v>
      </c>
      <c r="I43" s="1"/>
    </row>
    <row r="44" spans="1:9" x14ac:dyDescent="0.25">
      <c r="A44" s="1"/>
      <c r="B44" s="146" t="s">
        <v>230</v>
      </c>
      <c r="C44" s="147"/>
      <c r="D44" s="147"/>
      <c r="E44" s="147"/>
      <c r="F44" s="148"/>
      <c r="G44" s="78">
        <f>('Fane 2.1. Økonomisk ramme 2023'!C10+'Fane 2.1. Økonomisk ramme 2023'!C12+'Fane 2.1. Økonomisk ramme 2023'!C14)*(1+'Fane 15. Nøgletal'!C15)</f>
        <v>0</v>
      </c>
      <c r="H44" s="14" t="s">
        <v>3</v>
      </c>
      <c r="I44" s="1"/>
    </row>
    <row r="45" spans="1:9" x14ac:dyDescent="0.25">
      <c r="A45" s="1"/>
      <c r="B45" s="140" t="s">
        <v>163</v>
      </c>
      <c r="C45" s="141"/>
      <c r="D45" s="141"/>
      <c r="E45" s="141"/>
      <c r="F45" s="142"/>
      <c r="G45" s="74">
        <f>SUM(G43:G44)*'Fane 15. Nøgletal'!C31</f>
        <v>429424.92039082712</v>
      </c>
      <c r="H45" s="14" t="s">
        <v>3</v>
      </c>
      <c r="I45" s="1"/>
    </row>
    <row r="46" spans="1:9" x14ac:dyDescent="0.25">
      <c r="A46" s="1"/>
      <c r="B46" s="32"/>
      <c r="C46" s="27"/>
      <c r="D46" s="27"/>
      <c r="E46" s="27"/>
      <c r="F46" s="27"/>
      <c r="G46" s="76"/>
      <c r="H46" s="19"/>
      <c r="I46" s="1"/>
    </row>
    <row r="47" spans="1:9" x14ac:dyDescent="0.25">
      <c r="A47" s="1"/>
      <c r="B47" s="1"/>
      <c r="C47" s="1"/>
      <c r="D47" s="1"/>
      <c r="E47" s="1"/>
      <c r="F47" s="1"/>
      <c r="G47" s="77"/>
      <c r="H47" s="1"/>
      <c r="I47" s="1"/>
    </row>
    <row r="48" spans="1:9" x14ac:dyDescent="0.25">
      <c r="A48" s="1"/>
      <c r="B48" s="1"/>
      <c r="C48" s="1"/>
      <c r="D48" s="1"/>
      <c r="E48" s="1"/>
      <c r="F48" s="1"/>
      <c r="G48" s="77"/>
      <c r="H48" s="1"/>
      <c r="I48" s="1"/>
    </row>
    <row r="49" spans="1:9" x14ac:dyDescent="0.25">
      <c r="A49" s="1"/>
      <c r="B49" s="1"/>
      <c r="C49" s="1"/>
      <c r="D49" s="1"/>
      <c r="E49" s="1"/>
      <c r="F49" s="1"/>
      <c r="G49" s="77"/>
      <c r="H49" s="1"/>
      <c r="I49" s="1"/>
    </row>
    <row r="50" spans="1:9" x14ac:dyDescent="0.25">
      <c r="A50" s="1"/>
      <c r="B50" s="1"/>
      <c r="C50" s="1"/>
      <c r="D50" s="1"/>
      <c r="E50" s="1"/>
      <c r="F50" s="1"/>
      <c r="G50" s="77"/>
      <c r="H50" s="1"/>
      <c r="I50" s="1"/>
    </row>
    <row r="51" spans="1:9" x14ac:dyDescent="0.25">
      <c r="A51" s="1"/>
      <c r="B51" s="130" t="s">
        <v>241</v>
      </c>
      <c r="C51" s="131"/>
      <c r="D51" s="131"/>
      <c r="E51" s="131"/>
      <c r="F51" s="131"/>
      <c r="G51" s="139"/>
      <c r="H51" s="132"/>
      <c r="I51" s="1"/>
    </row>
    <row r="52" spans="1:9" x14ac:dyDescent="0.25">
      <c r="A52" s="1"/>
      <c r="B52" s="140" t="s">
        <v>227</v>
      </c>
      <c r="C52" s="141"/>
      <c r="D52" s="141"/>
      <c r="E52" s="141"/>
      <c r="F52" s="142"/>
      <c r="G52" s="74">
        <f>(G43+G44-G45)*(1+'Fane 15. Nøgletal'!C15)</f>
        <v>21790909.930280291</v>
      </c>
      <c r="H52" s="14" t="s">
        <v>3</v>
      </c>
      <c r="I52" s="1"/>
    </row>
    <row r="53" spans="1:9" x14ac:dyDescent="0.25">
      <c r="A53" s="1"/>
      <c r="B53" s="140" t="s">
        <v>138</v>
      </c>
      <c r="C53" s="141"/>
      <c r="D53" s="141"/>
      <c r="E53" s="141"/>
      <c r="F53" s="142"/>
      <c r="G53" s="74">
        <f>(G52)*'Fane 15. Nøgletal'!C31</f>
        <v>435818.19860560581</v>
      </c>
      <c r="H53" s="14" t="s">
        <v>3</v>
      </c>
      <c r="I53" s="1"/>
    </row>
    <row r="54" spans="1:9" x14ac:dyDescent="0.25">
      <c r="A54" s="1"/>
      <c r="B54" s="32"/>
      <c r="C54" s="27"/>
      <c r="D54" s="27"/>
      <c r="E54" s="27"/>
      <c r="F54" s="27"/>
      <c r="G54" s="76"/>
      <c r="H54" s="19"/>
      <c r="I54" s="1"/>
    </row>
    <row r="55" spans="1:9" x14ac:dyDescent="0.25">
      <c r="A55" s="1"/>
      <c r="B55" s="1"/>
      <c r="C55" s="1"/>
      <c r="D55" s="1"/>
      <c r="E55" s="1"/>
      <c r="F55" s="1"/>
      <c r="G55" s="77"/>
      <c r="H55" s="1"/>
      <c r="I55" s="1"/>
    </row>
    <row r="56" spans="1:9" x14ac:dyDescent="0.25">
      <c r="A56" s="1"/>
      <c r="B56" s="130" t="s">
        <v>150</v>
      </c>
      <c r="C56" s="131"/>
      <c r="D56" s="131"/>
      <c r="E56" s="131"/>
      <c r="F56" s="131"/>
      <c r="G56" s="139"/>
      <c r="H56" s="132"/>
      <c r="I56" s="1"/>
    </row>
    <row r="57" spans="1:9" x14ac:dyDescent="0.25">
      <c r="A57" s="1"/>
      <c r="B57" s="90" t="s">
        <v>151</v>
      </c>
      <c r="C57" s="91"/>
      <c r="D57" s="91"/>
      <c r="E57" s="91"/>
      <c r="F57" s="92"/>
      <c r="G57" s="74">
        <f>(G52-G53)*(1+'Fane 15. Nøgletal'!C15)</f>
        <v>22115332.997322306</v>
      </c>
      <c r="H57" s="14" t="s">
        <v>3</v>
      </c>
      <c r="I57" s="1"/>
    </row>
    <row r="58" spans="1:9" x14ac:dyDescent="0.25">
      <c r="A58" s="1"/>
      <c r="B58" s="90" t="s">
        <v>152</v>
      </c>
      <c r="C58" s="91"/>
      <c r="D58" s="91"/>
      <c r="E58" s="91"/>
      <c r="F58" s="92"/>
      <c r="G58" s="74">
        <f>(G57)*'Fane 15. Nøgletal'!C31</f>
        <v>442306.65994644613</v>
      </c>
      <c r="H58" s="14" t="s">
        <v>3</v>
      </c>
      <c r="I58" s="1"/>
    </row>
    <row r="59" spans="1:9" x14ac:dyDescent="0.25">
      <c r="A59" s="1"/>
      <c r="B59" s="32"/>
      <c r="C59" s="27"/>
      <c r="D59" s="27"/>
      <c r="E59" s="27"/>
      <c r="F59" s="27"/>
      <c r="G59" s="76"/>
      <c r="H59" s="19"/>
      <c r="I59" s="1"/>
    </row>
    <row r="60" spans="1:9" x14ac:dyDescent="0.25">
      <c r="A60" s="1"/>
      <c r="B60" s="1"/>
      <c r="C60" s="1"/>
      <c r="D60" s="1"/>
      <c r="E60" s="1"/>
      <c r="F60" s="1"/>
      <c r="G60" s="77"/>
      <c r="H60" s="1"/>
      <c r="I60" s="1"/>
    </row>
    <row r="61" spans="1:9" x14ac:dyDescent="0.25">
      <c r="A61" s="1"/>
      <c r="B61" s="130" t="s">
        <v>193</v>
      </c>
      <c r="C61" s="131"/>
      <c r="D61" s="131"/>
      <c r="E61" s="131"/>
      <c r="F61" s="131"/>
      <c r="G61" s="139"/>
      <c r="H61" s="132"/>
      <c r="I61" s="1"/>
    </row>
    <row r="62" spans="1:9" x14ac:dyDescent="0.25">
      <c r="A62" s="1"/>
      <c r="B62" s="90" t="s">
        <v>194</v>
      </c>
      <c r="C62" s="91"/>
      <c r="D62" s="91"/>
      <c r="E62" s="91"/>
      <c r="F62" s="92"/>
      <c r="G62" s="74">
        <f>(G57-G58)*(1+'Fane 15. Nøgletal'!C15)</f>
        <v>22444586.074986443</v>
      </c>
      <c r="H62" s="14" t="s">
        <v>3</v>
      </c>
      <c r="I62" s="1"/>
    </row>
    <row r="63" spans="1:9" x14ac:dyDescent="0.25">
      <c r="A63" s="1"/>
      <c r="B63" s="90" t="s">
        <v>195</v>
      </c>
      <c r="C63" s="91"/>
      <c r="D63" s="91"/>
      <c r="E63" s="91"/>
      <c r="F63" s="92"/>
      <c r="G63" s="74">
        <f>(G62)*'Fane 15. Nøgletal'!C31</f>
        <v>448891.72149972885</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nJYBRJ6nyfLdIkpMCFPGgfdL4KuP575uoMRgZcoguSSLBjVq4B725Vi/gxcd4KVifpVUSAJsY5f4GxodgkPubg==" saltValue="y5rmuunZvYPHcQKsnaJD/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topLeftCell="A45" zoomScale="87" zoomScaleNormal="100" zoomScalePageLayoutView="87" workbookViewId="0"/>
  </sheetViews>
  <sheetFormatPr defaultColWidth="9.140625" defaultRowHeight="15" x14ac:dyDescent="0.25"/>
  <cols>
    <col min="1" max="1" width="2.28515625" style="2" customWidth="1"/>
    <col min="2" max="5" width="9.140625" style="2"/>
    <col min="6" max="6" width="27.85546875" style="2" customWidth="1"/>
    <col min="7" max="7" width="14.140625" style="2" customWidth="1"/>
    <col min="8" max="8" width="3.28515625" style="2" customWidth="1"/>
    <col min="9" max="9" width="2.28515625" style="2" customWidth="1"/>
    <col min="10" max="16384" width="9.140625" style="2"/>
  </cols>
  <sheetData>
    <row r="1" spans="1:9" ht="14.25" customHeight="1" x14ac:dyDescent="0.25">
      <c r="A1" s="1"/>
      <c r="B1" s="149" t="s">
        <v>110</v>
      </c>
      <c r="C1" s="149"/>
      <c r="D1" s="149"/>
      <c r="E1" s="149"/>
      <c r="F1" s="149"/>
      <c r="G1" s="149"/>
      <c r="H1" s="149"/>
      <c r="I1" s="1"/>
    </row>
    <row r="2" spans="1:9" ht="15" customHeight="1" x14ac:dyDescent="0.25">
      <c r="A2" s="1"/>
      <c r="B2" s="149"/>
      <c r="C2" s="149"/>
      <c r="D2" s="149"/>
      <c r="E2" s="149"/>
      <c r="F2" s="149"/>
      <c r="G2" s="149"/>
      <c r="H2" s="149"/>
      <c r="I2" s="1"/>
    </row>
    <row r="3" spans="1:9" ht="15" customHeight="1" x14ac:dyDescent="0.25">
      <c r="A3" s="1"/>
      <c r="B3" s="150"/>
      <c r="C3" s="150"/>
      <c r="D3" s="150"/>
      <c r="E3" s="150"/>
      <c r="F3" s="150"/>
      <c r="G3" s="150"/>
      <c r="H3" s="150"/>
      <c r="I3" s="1"/>
    </row>
    <row r="4" spans="1:9" x14ac:dyDescent="0.25">
      <c r="A4" s="1"/>
      <c r="B4" s="130" t="s">
        <v>56</v>
      </c>
      <c r="C4" s="131"/>
      <c r="D4" s="131"/>
      <c r="E4" s="131"/>
      <c r="F4" s="131"/>
      <c r="G4" s="131"/>
      <c r="H4" s="132"/>
      <c r="I4" s="1"/>
    </row>
    <row r="5" spans="1:9" x14ac:dyDescent="0.25">
      <c r="A5" s="1"/>
      <c r="B5" s="140" t="s">
        <v>61</v>
      </c>
      <c r="C5" s="141"/>
      <c r="D5" s="141"/>
      <c r="E5" s="141"/>
      <c r="F5" s="142"/>
      <c r="G5" s="74">
        <v>0</v>
      </c>
      <c r="H5" s="14" t="s">
        <v>3</v>
      </c>
      <c r="I5" s="1"/>
    </row>
    <row r="6" spans="1:9" x14ac:dyDescent="0.25">
      <c r="A6" s="1"/>
      <c r="B6" s="140" t="s">
        <v>57</v>
      </c>
      <c r="C6" s="141"/>
      <c r="D6" s="141"/>
      <c r="E6" s="141"/>
      <c r="F6" s="142"/>
      <c r="G6" s="74">
        <f>G5*'Fane 15. Nøgletal'!C20</f>
        <v>0</v>
      </c>
      <c r="H6" s="14" t="s">
        <v>3</v>
      </c>
      <c r="I6" s="1"/>
    </row>
    <row r="7" spans="1:9" x14ac:dyDescent="0.25">
      <c r="A7" s="1"/>
      <c r="B7" s="32"/>
      <c r="C7" s="27"/>
      <c r="D7" s="27"/>
      <c r="E7" s="27"/>
      <c r="F7" s="27"/>
      <c r="G7" s="76"/>
      <c r="H7" s="19"/>
      <c r="I7" s="1"/>
    </row>
    <row r="8" spans="1:9" x14ac:dyDescent="0.25">
      <c r="A8" s="1"/>
      <c r="B8" s="1"/>
      <c r="C8" s="1"/>
      <c r="D8" s="1"/>
      <c r="E8" s="1"/>
      <c r="F8" s="1"/>
      <c r="G8" s="77"/>
      <c r="H8" s="1"/>
      <c r="I8" s="1"/>
    </row>
    <row r="9" spans="1:9" x14ac:dyDescent="0.25">
      <c r="A9" s="1"/>
      <c r="B9" s="130" t="s">
        <v>62</v>
      </c>
      <c r="C9" s="131"/>
      <c r="D9" s="131"/>
      <c r="E9" s="131"/>
      <c r="F9" s="131"/>
      <c r="G9" s="139"/>
      <c r="H9" s="132"/>
      <c r="I9" s="1"/>
    </row>
    <row r="10" spans="1:9" x14ac:dyDescent="0.25">
      <c r="A10" s="1"/>
      <c r="B10" s="140" t="s">
        <v>63</v>
      </c>
      <c r="C10" s="141"/>
      <c r="D10" s="141"/>
      <c r="E10" s="141"/>
      <c r="F10" s="142"/>
      <c r="G10" s="74">
        <v>16692365</v>
      </c>
      <c r="H10" s="14" t="s">
        <v>3</v>
      </c>
      <c r="I10" s="1"/>
    </row>
    <row r="11" spans="1:9" x14ac:dyDescent="0.25">
      <c r="A11" s="1"/>
      <c r="B11" s="140" t="s">
        <v>122</v>
      </c>
      <c r="C11" s="141"/>
      <c r="D11" s="141"/>
      <c r="E11" s="141"/>
      <c r="F11" s="142"/>
      <c r="G11" s="74">
        <v>0</v>
      </c>
      <c r="H11" s="14" t="s">
        <v>3</v>
      </c>
      <c r="I11" s="1"/>
    </row>
    <row r="12" spans="1:9" x14ac:dyDescent="0.25">
      <c r="A12" s="1"/>
      <c r="B12" s="143" t="s">
        <v>64</v>
      </c>
      <c r="C12" s="144"/>
      <c r="D12" s="144"/>
      <c r="E12" s="144"/>
      <c r="F12" s="145"/>
      <c r="G12" s="74">
        <v>0</v>
      </c>
      <c r="H12" s="14" t="s">
        <v>3</v>
      </c>
      <c r="I12" s="1"/>
    </row>
    <row r="13" spans="1:9" x14ac:dyDescent="0.25">
      <c r="A13" s="1"/>
      <c r="B13" s="140" t="s">
        <v>65</v>
      </c>
      <c r="C13" s="141"/>
      <c r="D13" s="141"/>
      <c r="E13" s="141"/>
      <c r="F13" s="142"/>
      <c r="G13" s="74">
        <f>SUM(G10:G12)*'Fane 15. Nøgletal'!C21</f>
        <v>295454.86050000001</v>
      </c>
      <c r="H13" s="14" t="s">
        <v>3</v>
      </c>
      <c r="I13" s="1"/>
    </row>
    <row r="14" spans="1:9" x14ac:dyDescent="0.25">
      <c r="A14" s="1"/>
      <c r="B14" s="32"/>
      <c r="C14" s="27"/>
      <c r="D14" s="27"/>
      <c r="E14" s="27"/>
      <c r="F14" s="27"/>
      <c r="G14" s="76"/>
      <c r="H14" s="19"/>
      <c r="I14" s="1"/>
    </row>
    <row r="15" spans="1:9" x14ac:dyDescent="0.25">
      <c r="A15" s="1"/>
      <c r="B15" s="1"/>
      <c r="C15" s="1"/>
      <c r="D15" s="1"/>
      <c r="E15" s="1"/>
      <c r="F15" s="1"/>
      <c r="G15" s="77"/>
      <c r="H15" s="1"/>
      <c r="I15" s="1"/>
    </row>
    <row r="16" spans="1:9" x14ac:dyDescent="0.25">
      <c r="A16" s="1"/>
      <c r="B16" s="130" t="s">
        <v>66</v>
      </c>
      <c r="C16" s="131"/>
      <c r="D16" s="131"/>
      <c r="E16" s="131"/>
      <c r="F16" s="131"/>
      <c r="G16" s="139"/>
      <c r="H16" s="132"/>
      <c r="I16" s="1"/>
    </row>
    <row r="17" spans="1:9" x14ac:dyDescent="0.25">
      <c r="A17" s="1"/>
      <c r="B17" s="140" t="s">
        <v>67</v>
      </c>
      <c r="C17" s="141"/>
      <c r="D17" s="141"/>
      <c r="E17" s="141"/>
      <c r="F17" s="142"/>
      <c r="G17" s="74">
        <f>(SUM(G10:G12)-G13)*(1+'Fane 15. Nøgletal'!C10)</f>
        <v>16683856.06694125</v>
      </c>
      <c r="H17" s="14" t="s">
        <v>3</v>
      </c>
      <c r="I17" s="1"/>
    </row>
    <row r="18" spans="1:9" x14ac:dyDescent="0.25">
      <c r="A18" s="1"/>
      <c r="B18" s="143" t="s">
        <v>68</v>
      </c>
      <c r="C18" s="144"/>
      <c r="D18" s="144"/>
      <c r="E18" s="144"/>
      <c r="F18" s="145"/>
      <c r="G18" s="74">
        <v>0</v>
      </c>
      <c r="H18" s="14" t="s">
        <v>3</v>
      </c>
      <c r="I18" s="1"/>
    </row>
    <row r="19" spans="1:9" x14ac:dyDescent="0.25">
      <c r="A19" s="1"/>
      <c r="B19" s="140" t="s">
        <v>69</v>
      </c>
      <c r="C19" s="141"/>
      <c r="D19" s="141"/>
      <c r="E19" s="141"/>
      <c r="F19" s="142"/>
      <c r="G19" s="74">
        <f>G17*'Fane 15. Nøgletal'!C21+G18*'Fane 15. Nøgletal'!C22</f>
        <v>295304.25238486013</v>
      </c>
      <c r="H19" s="14" t="s">
        <v>3</v>
      </c>
      <c r="I19" s="1"/>
    </row>
    <row r="20" spans="1:9" x14ac:dyDescent="0.25">
      <c r="A20" s="1"/>
      <c r="B20" s="32"/>
      <c r="C20" s="27"/>
      <c r="D20" s="27"/>
      <c r="E20" s="27"/>
      <c r="F20" s="27"/>
      <c r="G20" s="76"/>
      <c r="H20" s="19"/>
      <c r="I20" s="1"/>
    </row>
    <row r="21" spans="1:9" x14ac:dyDescent="0.25">
      <c r="A21" s="1"/>
      <c r="B21" s="1"/>
      <c r="C21" s="1"/>
      <c r="D21" s="1"/>
      <c r="E21" s="1"/>
      <c r="F21" s="1"/>
      <c r="G21" s="77"/>
      <c r="H21" s="1"/>
      <c r="I21" s="1"/>
    </row>
    <row r="22" spans="1:9" x14ac:dyDescent="0.25">
      <c r="A22" s="1"/>
      <c r="B22" s="130" t="s">
        <v>70</v>
      </c>
      <c r="C22" s="131"/>
      <c r="D22" s="131"/>
      <c r="E22" s="131"/>
      <c r="F22" s="131"/>
      <c r="G22" s="139"/>
      <c r="H22" s="132"/>
      <c r="I22" s="1"/>
    </row>
    <row r="23" spans="1:9" x14ac:dyDescent="0.25">
      <c r="A23" s="1"/>
      <c r="B23" s="140" t="s">
        <v>71</v>
      </c>
      <c r="C23" s="141"/>
      <c r="D23" s="141"/>
      <c r="E23" s="141"/>
      <c r="F23" s="142"/>
      <c r="G23" s="74">
        <f>(G17+G18-G19)*(1+'Fane 15. Nøgletal'!C12)</f>
        <v>16711406.285303151</v>
      </c>
      <c r="H23" s="14" t="s">
        <v>3</v>
      </c>
      <c r="I23" s="1"/>
    </row>
    <row r="24" spans="1:9" x14ac:dyDescent="0.25">
      <c r="A24" s="1"/>
      <c r="B24" s="143" t="s">
        <v>72</v>
      </c>
      <c r="C24" s="144"/>
      <c r="D24" s="144"/>
      <c r="E24" s="144"/>
      <c r="F24" s="145"/>
      <c r="G24" s="74">
        <v>0</v>
      </c>
      <c r="H24" s="14" t="s">
        <v>3</v>
      </c>
      <c r="I24" s="1"/>
    </row>
    <row r="25" spans="1:9" x14ac:dyDescent="0.25">
      <c r="A25" s="1"/>
      <c r="B25" s="140" t="s">
        <v>73</v>
      </c>
      <c r="C25" s="141"/>
      <c r="D25" s="141"/>
      <c r="E25" s="141"/>
      <c r="F25" s="142"/>
      <c r="G25" s="74">
        <f>(G23+G24)*'Fane 15. Nøgletal'!C23</f>
        <v>474603.9385026095</v>
      </c>
      <c r="H25" s="14" t="s">
        <v>3</v>
      </c>
      <c r="I25" s="1"/>
    </row>
    <row r="26" spans="1:9" x14ac:dyDescent="0.25">
      <c r="A26" s="1"/>
      <c r="B26" s="32"/>
      <c r="C26" s="27"/>
      <c r="D26" s="27"/>
      <c r="E26" s="27"/>
      <c r="F26" s="27"/>
      <c r="G26" s="76"/>
      <c r="H26" s="19"/>
      <c r="I26" s="1"/>
    </row>
    <row r="27" spans="1:9" x14ac:dyDescent="0.25">
      <c r="A27" s="1"/>
      <c r="B27" s="1"/>
      <c r="C27" s="1"/>
      <c r="D27" s="1"/>
      <c r="E27" s="1"/>
      <c r="F27" s="1"/>
      <c r="G27" s="77"/>
      <c r="H27" s="1"/>
      <c r="I27" s="1"/>
    </row>
    <row r="28" spans="1:9" x14ac:dyDescent="0.25">
      <c r="A28" s="1"/>
      <c r="B28" s="130" t="s">
        <v>74</v>
      </c>
      <c r="C28" s="131"/>
      <c r="D28" s="131"/>
      <c r="E28" s="131"/>
      <c r="F28" s="131"/>
      <c r="G28" s="139"/>
      <c r="H28" s="132"/>
      <c r="I28" s="1"/>
    </row>
    <row r="29" spans="1:9" x14ac:dyDescent="0.25">
      <c r="A29" s="1"/>
      <c r="B29" s="140" t="s">
        <v>75</v>
      </c>
      <c r="C29" s="141"/>
      <c r="D29" s="141"/>
      <c r="E29" s="141"/>
      <c r="F29" s="142"/>
      <c r="G29" s="74">
        <f>(G23+G24-G25)*(1+'Fane 15. Nøgletal'!C12)</f>
        <v>16556667.353032513</v>
      </c>
      <c r="H29" s="14" t="s">
        <v>3</v>
      </c>
      <c r="I29" s="1"/>
    </row>
    <row r="30" spans="1:9" x14ac:dyDescent="0.25">
      <c r="A30" s="1"/>
      <c r="B30" s="140" t="s">
        <v>139</v>
      </c>
      <c r="C30" s="141"/>
      <c r="D30" s="141"/>
      <c r="E30" s="141"/>
      <c r="F30" s="142"/>
      <c r="G30" s="74">
        <v>0</v>
      </c>
      <c r="H30" s="14" t="s">
        <v>3</v>
      </c>
      <c r="I30" s="1"/>
    </row>
    <row r="31" spans="1:9" x14ac:dyDescent="0.25">
      <c r="A31" s="1"/>
      <c r="B31" s="140" t="s">
        <v>76</v>
      </c>
      <c r="C31" s="141"/>
      <c r="D31" s="141"/>
      <c r="E31" s="141"/>
      <c r="F31" s="142"/>
      <c r="G31" s="74">
        <f>G29*'Fane 15. Nøgletal'!C23+G30*'Fane 15. Nøgletal'!C24</f>
        <v>470209.35282612336</v>
      </c>
      <c r="H31" s="14" t="s">
        <v>3</v>
      </c>
      <c r="I31" s="1"/>
    </row>
    <row r="32" spans="1:9" x14ac:dyDescent="0.25">
      <c r="A32" s="1"/>
      <c r="B32" s="32"/>
      <c r="C32" s="27"/>
      <c r="D32" s="27"/>
      <c r="E32" s="27"/>
      <c r="F32" s="27"/>
      <c r="G32" s="76"/>
      <c r="H32" s="19"/>
      <c r="I32" s="1"/>
    </row>
    <row r="33" spans="1:9" x14ac:dyDescent="0.25">
      <c r="A33" s="1"/>
      <c r="B33" s="1"/>
      <c r="C33" s="1"/>
      <c r="D33" s="1"/>
      <c r="E33" s="1"/>
      <c r="F33" s="1"/>
      <c r="G33" s="77"/>
      <c r="H33" s="1"/>
      <c r="I33" s="1"/>
    </row>
    <row r="34" spans="1:9" x14ac:dyDescent="0.25">
      <c r="A34" s="1"/>
      <c r="B34" s="130" t="s">
        <v>165</v>
      </c>
      <c r="C34" s="131"/>
      <c r="D34" s="131"/>
      <c r="E34" s="131"/>
      <c r="F34" s="131"/>
      <c r="G34" s="139"/>
      <c r="H34" s="132"/>
      <c r="I34" s="1"/>
    </row>
    <row r="35" spans="1:9" x14ac:dyDescent="0.25">
      <c r="A35" s="1"/>
      <c r="B35" s="140" t="s">
        <v>78</v>
      </c>
      <c r="C35" s="141"/>
      <c r="D35" s="141"/>
      <c r="E35" s="141"/>
      <c r="F35" s="142"/>
      <c r="G35" s="74">
        <f>(G29+G30-G31)*(1+'Fane 15. Nøgletal'!C14)</f>
        <v>16139543.31160707</v>
      </c>
      <c r="H35" s="14" t="s">
        <v>3</v>
      </c>
      <c r="I35" s="1"/>
    </row>
    <row r="36" spans="1:9" x14ac:dyDescent="0.25">
      <c r="A36" s="1"/>
      <c r="B36" s="140" t="s">
        <v>167</v>
      </c>
      <c r="C36" s="141"/>
      <c r="D36" s="141"/>
      <c r="E36" s="141"/>
      <c r="F36" s="142"/>
      <c r="G36" s="74">
        <v>0</v>
      </c>
      <c r="H36" s="14" t="s">
        <v>3</v>
      </c>
      <c r="I36" s="1"/>
    </row>
    <row r="37" spans="1:9" x14ac:dyDescent="0.25">
      <c r="A37" s="1"/>
      <c r="B37" s="140" t="s">
        <v>166</v>
      </c>
      <c r="C37" s="141"/>
      <c r="D37" s="141"/>
      <c r="E37" s="141"/>
      <c r="F37" s="142"/>
      <c r="G37" s="74">
        <f>(G35+G36)*'Fane 15. Nøgletal'!C25</f>
        <v>238865.24101178464</v>
      </c>
      <c r="H37" s="14" t="s">
        <v>3</v>
      </c>
      <c r="I37" s="1"/>
    </row>
    <row r="38" spans="1:9" x14ac:dyDescent="0.25">
      <c r="A38" s="1"/>
      <c r="B38" s="32"/>
      <c r="C38" s="27"/>
      <c r="D38" s="27"/>
      <c r="E38" s="27"/>
      <c r="F38" s="27"/>
      <c r="G38" s="76"/>
      <c r="H38" s="19"/>
      <c r="I38" s="1"/>
    </row>
    <row r="39" spans="1:9" x14ac:dyDescent="0.25">
      <c r="A39" s="1"/>
      <c r="B39" s="1"/>
      <c r="C39" s="1"/>
      <c r="D39" s="1"/>
      <c r="E39" s="1"/>
      <c r="F39" s="1"/>
      <c r="G39" s="77"/>
      <c r="H39" s="1"/>
      <c r="I39" s="1"/>
    </row>
    <row r="40" spans="1:9" x14ac:dyDescent="0.25">
      <c r="A40" s="1"/>
      <c r="B40" s="130" t="s">
        <v>221</v>
      </c>
      <c r="C40" s="131"/>
      <c r="D40" s="131"/>
      <c r="E40" s="131"/>
      <c r="F40" s="131"/>
      <c r="G40" s="139"/>
      <c r="H40" s="132"/>
      <c r="I40" s="1"/>
    </row>
    <row r="41" spans="1:9" x14ac:dyDescent="0.25">
      <c r="A41" s="1"/>
      <c r="B41" s="140" t="s">
        <v>77</v>
      </c>
      <c r="C41" s="141"/>
      <c r="D41" s="141"/>
      <c r="E41" s="141"/>
      <c r="F41" s="142"/>
      <c r="G41" s="74">
        <f>(G35+G36-G37)*(1+'Fane 15. Nøgletal'!C14)</f>
        <v>15953150.308228251</v>
      </c>
      <c r="H41" s="14" t="s">
        <v>3</v>
      </c>
      <c r="I41" s="1"/>
    </row>
    <row r="42" spans="1:9" x14ac:dyDescent="0.25">
      <c r="A42" s="1"/>
      <c r="B42" s="43" t="s">
        <v>229</v>
      </c>
      <c r="C42" s="91"/>
      <c r="D42" s="91"/>
      <c r="E42" s="91"/>
      <c r="F42" s="92"/>
      <c r="G42" s="78">
        <f>('Fane 2.1. Økonomisk ramme 2023'!C11+'Fane 2.1. Økonomisk ramme 2023'!C13+'Fane 2.1. Økonomisk ramme 2023'!C15)*(1+'Fane 15. Nøgletal'!C15)</f>
        <v>0</v>
      </c>
      <c r="H42" s="14" t="s">
        <v>3</v>
      </c>
      <c r="I42" s="1"/>
    </row>
    <row r="43" spans="1:9" x14ac:dyDescent="0.25">
      <c r="A43" s="1"/>
      <c r="B43" s="140" t="s">
        <v>168</v>
      </c>
      <c r="C43" s="141"/>
      <c r="D43" s="141"/>
      <c r="E43" s="141"/>
      <c r="F43" s="142"/>
      <c r="G43" s="74">
        <f>(G41)*'Fane 15. Nøgletal'!C25+G42*'Fane 15. Nøgletal'!C26</f>
        <v>236106.62456177812</v>
      </c>
      <c r="H43" s="14" t="s">
        <v>3</v>
      </c>
      <c r="I43" s="1"/>
    </row>
    <row r="44" spans="1:9" x14ac:dyDescent="0.25">
      <c r="A44" s="1"/>
      <c r="B44" s="32"/>
      <c r="C44" s="27"/>
      <c r="D44" s="27"/>
      <c r="E44" s="27"/>
      <c r="F44" s="27"/>
      <c r="G44" s="76"/>
      <c r="H44" s="19"/>
      <c r="I44" s="1"/>
    </row>
    <row r="45" spans="1:9" x14ac:dyDescent="0.25">
      <c r="A45" s="1"/>
      <c r="B45" s="1"/>
      <c r="C45" s="1"/>
      <c r="D45" s="1"/>
      <c r="E45" s="1"/>
      <c r="F45" s="1"/>
      <c r="G45" s="77"/>
      <c r="H45" s="1"/>
      <c r="I45" s="1"/>
    </row>
    <row r="46" spans="1:9" x14ac:dyDescent="0.25">
      <c r="A46" s="1"/>
      <c r="B46" s="1"/>
      <c r="C46" s="1"/>
      <c r="D46" s="1"/>
      <c r="E46" s="1"/>
      <c r="F46" s="1"/>
      <c r="G46" s="77"/>
      <c r="H46" s="1"/>
      <c r="I46" s="1"/>
    </row>
    <row r="47" spans="1:9" x14ac:dyDescent="0.25">
      <c r="A47" s="1"/>
      <c r="B47" s="1"/>
      <c r="C47" s="1"/>
      <c r="D47" s="1"/>
      <c r="E47" s="1"/>
      <c r="F47" s="1"/>
      <c r="G47" s="77"/>
      <c r="H47" s="1"/>
      <c r="I47" s="1"/>
    </row>
    <row r="48" spans="1:9" x14ac:dyDescent="0.25">
      <c r="A48" s="1"/>
      <c r="B48" s="1"/>
      <c r="C48" s="1"/>
      <c r="D48" s="1"/>
      <c r="E48" s="1"/>
      <c r="F48" s="1"/>
      <c r="G48" s="77"/>
      <c r="H48" s="1"/>
      <c r="I48" s="1"/>
    </row>
    <row r="49" spans="1:9" x14ac:dyDescent="0.25">
      <c r="A49" s="1"/>
      <c r="B49" s="1"/>
      <c r="C49" s="1"/>
      <c r="D49" s="1"/>
      <c r="E49" s="1"/>
      <c r="F49" s="1"/>
      <c r="G49" s="77"/>
      <c r="H49" s="1"/>
      <c r="I49" s="1"/>
    </row>
    <row r="50" spans="1:9" x14ac:dyDescent="0.25">
      <c r="A50" s="1"/>
      <c r="B50" s="1"/>
      <c r="C50" s="1"/>
      <c r="D50" s="1"/>
      <c r="E50" s="1"/>
      <c r="F50" s="1"/>
      <c r="G50" s="77"/>
      <c r="H50" s="1"/>
      <c r="I50" s="1"/>
    </row>
    <row r="51" spans="1:9" x14ac:dyDescent="0.25">
      <c r="A51" s="1"/>
      <c r="B51" s="1"/>
      <c r="C51" s="1"/>
      <c r="D51" s="1"/>
      <c r="E51" s="1"/>
      <c r="F51" s="1"/>
      <c r="G51" s="77"/>
      <c r="H51" s="1"/>
      <c r="I51" s="1"/>
    </row>
    <row r="52" spans="1:9" x14ac:dyDescent="0.25">
      <c r="A52" s="1"/>
      <c r="B52" s="130" t="s">
        <v>242</v>
      </c>
      <c r="C52" s="131"/>
      <c r="D52" s="131"/>
      <c r="E52" s="131"/>
      <c r="F52" s="131"/>
      <c r="G52" s="139"/>
      <c r="H52" s="132"/>
      <c r="I52" s="1"/>
    </row>
    <row r="53" spans="1:9" x14ac:dyDescent="0.25">
      <c r="A53" s="1"/>
      <c r="B53" s="140" t="s">
        <v>140</v>
      </c>
      <c r="C53" s="141"/>
      <c r="D53" s="141"/>
      <c r="E53" s="141"/>
      <c r="F53" s="142"/>
      <c r="G53" s="74">
        <f>(G41+G42-G43)*(1+'Fane 15. Nøgletal'!C15)</f>
        <v>16276570.438805001</v>
      </c>
      <c r="H53" s="14" t="s">
        <v>3</v>
      </c>
      <c r="I53" s="1"/>
    </row>
    <row r="54" spans="1:9" x14ac:dyDescent="0.25">
      <c r="A54" s="1"/>
      <c r="B54" s="140" t="s">
        <v>141</v>
      </c>
      <c r="C54" s="141"/>
      <c r="D54" s="141"/>
      <c r="E54" s="141"/>
      <c r="F54" s="142"/>
      <c r="G54" s="74">
        <f>(G53)*'Fane 15. Nøgletal'!C26</f>
        <v>0</v>
      </c>
      <c r="H54" s="14" t="s">
        <v>3</v>
      </c>
      <c r="I54" s="1"/>
    </row>
    <row r="55" spans="1:9" x14ac:dyDescent="0.25">
      <c r="A55" s="1"/>
      <c r="B55" s="32"/>
      <c r="C55" s="27"/>
      <c r="D55" s="27"/>
      <c r="E55" s="27"/>
      <c r="F55" s="27"/>
      <c r="G55" s="76"/>
      <c r="H55" s="19"/>
      <c r="I55" s="1"/>
    </row>
    <row r="56" spans="1:9" x14ac:dyDescent="0.25">
      <c r="A56" s="1"/>
      <c r="B56" s="1"/>
      <c r="C56" s="1"/>
      <c r="D56" s="1"/>
      <c r="E56" s="1"/>
      <c r="F56" s="1"/>
      <c r="G56" s="77"/>
      <c r="H56" s="1"/>
      <c r="I56" s="1"/>
    </row>
    <row r="57" spans="1:9" x14ac:dyDescent="0.25">
      <c r="A57" s="1"/>
      <c r="B57" s="130" t="s">
        <v>153</v>
      </c>
      <c r="C57" s="131"/>
      <c r="D57" s="131"/>
      <c r="E57" s="131"/>
      <c r="F57" s="131"/>
      <c r="G57" s="139"/>
      <c r="H57" s="132"/>
      <c r="I57" s="1"/>
    </row>
    <row r="58" spans="1:9" x14ac:dyDescent="0.25">
      <c r="A58" s="1"/>
      <c r="B58" s="140" t="s">
        <v>173</v>
      </c>
      <c r="C58" s="141"/>
      <c r="D58" s="141"/>
      <c r="E58" s="141"/>
      <c r="F58" s="142"/>
      <c r="G58" s="74">
        <f>(G53-G54)*(1+'Fane 15. Nøgletal'!C15)</f>
        <v>16856016.346426461</v>
      </c>
      <c r="H58" s="14" t="s">
        <v>3</v>
      </c>
      <c r="I58" s="1"/>
    </row>
    <row r="59" spans="1:9" x14ac:dyDescent="0.25">
      <c r="A59" s="1"/>
      <c r="B59" s="140" t="s">
        <v>174</v>
      </c>
      <c r="C59" s="141"/>
      <c r="D59" s="141"/>
      <c r="E59" s="141"/>
      <c r="F59" s="142"/>
      <c r="G59" s="74">
        <f>(G58)*'Fane 15. Nøgletal'!C26</f>
        <v>0</v>
      </c>
      <c r="H59" s="14" t="s">
        <v>3</v>
      </c>
      <c r="I59" s="1"/>
    </row>
    <row r="60" spans="1:9" x14ac:dyDescent="0.25">
      <c r="A60" s="1"/>
      <c r="B60" s="32"/>
      <c r="C60" s="27"/>
      <c r="D60" s="27"/>
      <c r="E60" s="27"/>
      <c r="F60" s="27"/>
      <c r="G60" s="76"/>
      <c r="H60" s="19"/>
      <c r="I60" s="1"/>
    </row>
    <row r="61" spans="1:9" x14ac:dyDescent="0.25">
      <c r="A61" s="1"/>
      <c r="B61" s="1"/>
      <c r="C61" s="1"/>
      <c r="D61" s="1"/>
      <c r="E61" s="1"/>
      <c r="F61" s="1"/>
      <c r="G61" s="77"/>
      <c r="H61" s="1"/>
      <c r="I61" s="1"/>
    </row>
    <row r="62" spans="1:9" x14ac:dyDescent="0.25">
      <c r="A62" s="1"/>
      <c r="B62" s="130" t="s">
        <v>196</v>
      </c>
      <c r="C62" s="131"/>
      <c r="D62" s="131"/>
      <c r="E62" s="131"/>
      <c r="F62" s="131"/>
      <c r="G62" s="139"/>
      <c r="H62" s="132"/>
      <c r="I62" s="1"/>
    </row>
    <row r="63" spans="1:9" x14ac:dyDescent="0.25">
      <c r="A63" s="1"/>
      <c r="B63" s="140" t="s">
        <v>197</v>
      </c>
      <c r="C63" s="141"/>
      <c r="D63" s="141"/>
      <c r="E63" s="141"/>
      <c r="F63" s="142"/>
      <c r="G63" s="74">
        <f>(G58-G59)*(1+'Fane 15. Nøgletal'!C15)</f>
        <v>17456090.528359246</v>
      </c>
      <c r="H63" s="14" t="s">
        <v>3</v>
      </c>
      <c r="I63" s="1"/>
    </row>
    <row r="64" spans="1:9" x14ac:dyDescent="0.25">
      <c r="A64" s="1"/>
      <c r="B64" s="140" t="s">
        <v>198</v>
      </c>
      <c r="C64" s="141"/>
      <c r="D64" s="141"/>
      <c r="E64" s="141"/>
      <c r="F64" s="142"/>
      <c r="G64" s="74">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nmpppBEyhzHa7Ame2q5oWLnTeINt9k7xu0VIymOAFerXgFcqHuLGHZXWsAZUrJjpV6K1SG4r1KRHWlBFYik5CQ==" saltValue="UrwnuhWIiNMUPev1+I+CG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topLeftCell="A5" zoomScaleNormal="100" workbookViewId="0">
      <selection activeCell="C13" sqref="C13"/>
    </sheetView>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2" t="s">
        <v>88</v>
      </c>
      <c r="C3" s="122"/>
      <c r="D3" s="122"/>
      <c r="E3" s="122"/>
      <c r="F3" s="122"/>
      <c r="G3" s="122"/>
      <c r="H3" s="1"/>
    </row>
    <row r="4" spans="1:8" ht="15" customHeight="1" x14ac:dyDescent="0.25">
      <c r="A4" s="1"/>
      <c r="B4" s="122"/>
      <c r="C4" s="122"/>
      <c r="D4" s="122"/>
      <c r="E4" s="122"/>
      <c r="F4" s="122"/>
      <c r="G4" s="12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10</v>
      </c>
      <c r="C8" s="131"/>
      <c r="D8" s="131"/>
      <c r="E8" s="131"/>
      <c r="F8" s="131"/>
      <c r="G8" s="132"/>
      <c r="H8" s="1"/>
    </row>
    <row r="9" spans="1:8" x14ac:dyDescent="0.25">
      <c r="A9" s="1"/>
      <c r="B9" s="140" t="s">
        <v>154</v>
      </c>
      <c r="C9" s="141"/>
      <c r="D9" s="141"/>
      <c r="E9" s="141"/>
      <c r="F9" s="142"/>
      <c r="G9" s="35">
        <v>9.3462805788743601E-3</v>
      </c>
      <c r="H9" s="1"/>
    </row>
    <row r="10" spans="1:8" x14ac:dyDescent="0.25">
      <c r="A10" s="1"/>
      <c r="B10" s="32"/>
      <c r="C10" s="27"/>
      <c r="D10" s="27"/>
      <c r="E10" s="27"/>
      <c r="F10" s="27"/>
      <c r="G10" s="19"/>
      <c r="H10" s="1"/>
    </row>
    <row r="11" spans="1:8" ht="29.25" customHeight="1" x14ac:dyDescent="0.25">
      <c r="A11" s="1"/>
      <c r="B11" s="151" t="s">
        <v>236</v>
      </c>
      <c r="C11" s="152"/>
      <c r="D11" s="152"/>
      <c r="E11" s="152"/>
      <c r="F11" s="152"/>
      <c r="G11" s="15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fgze7K3d5RVMC/tN1ZbChgmS/PXhxfLrUscjKFNuV7Hq7ICP98w4YLZS03zWmLFv1XWyrc+X2LawegJAQ3EiHg==" saltValue="KUVcLsdkxM54Z6wnPF1Ax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2022-12-01T08:38:12Z</dcterms:modified>
</cp:coreProperties>
</file>