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Hvidovre AS (S044)\ØR2025\"/>
    </mc:Choice>
  </mc:AlternateContent>
  <xr:revisionPtr revIDLastSave="0" documentId="13_ncr:1_{CA09A708-5EF1-4167-9179-EE8466AB6177}"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<sst xmlns="http://schemas.openxmlformats.org/spreadsheetml/2006/main" count="550" uniqueCount="236">
  <si>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</si>
  <si>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</si>
  <si>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</si>
  <si>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</si>
  <si>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</si>
  <si>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</si>
  <si>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</si>
  <si>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</si>
  <si>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</si>
  <si>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</si>
  <si>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</si>
  <si>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</si>
  <si>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</si>
  <si>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</si>
  <si>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</si>
  <si>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</si>
  <si>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</si>
  <si>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</si>
  <si>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</si>
  <si>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</si>
  <si>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</si>
  <si>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</si>
  <si>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</si>
  <si>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</si>
  <si>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</si>
  <si>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</si>
  <si>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</si>
  <si>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</si>
  <si>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</si>
  <si>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</si>
  <si>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</si>
  <si>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</si>
  <si>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</si>
  <si>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</si>
  <si>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</si>
  <si>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</si>
  <si>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</si>
  <si>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</si>
  <si>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</si>
  <si>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</si>
  <si>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</si>
  <si>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</si>
  <si>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</si>
  <si>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</si>
  <si>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</si>
  <si>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</si>
  <si>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</si>
  <si>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</si>
  <si>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</si>
  <si>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</si>
  <si>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</si>
  <si>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</si>
  <si>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</si>
  <si>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</si>
  <si>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</si>
  <si>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</si>
  <si>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</si>
  <si>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</si>
  <si>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</si>
  <si>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</si>
  <si>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</si>
  <si>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</si>
  <si>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</si>
  <si>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</si>
  <si>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</si>
  <si>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</si>
  <si>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</si>
  <si>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</si>
  <si>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</si>
  <si>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</si>
  <si>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</si>
  <si>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</si>
  <si>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</si>
  <si>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</si>
  <si>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</si>
  <si>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</si>
  <si>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</si>
  <si>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</si>
  <si>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</si>
  <si>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</si>
  <si>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</si>
  <si>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</si>
  <si>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</si>
  <si>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</si>
  <si>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</si>
  <si>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</si>
  <si>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</si>
  <si>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</si>
  <si>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</si>
  <si>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</si>
  <si>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</si>
  <si>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</si>
  <si>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</si>
  <si>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</si>
  <si>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</si>
  <si>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</si>
  <si>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</si>
  <si>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</si>
  <si>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</si>
  <si>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</si>
  <si>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</si>
  <si>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</si>
  <si>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</si>
  <si>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</si>
  <si>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</si>
  <si>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</si>
  <si>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</si>
  <si>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</si>
  <si>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</si>
  <si>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</si>
  <si>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</si>
  <si>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</si>
  <si>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</si>
  <si>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</si>
  <si>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</si>
  <si>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</si>
  <si>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</si>
  <si>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</si>
  <si>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</si>
  <si>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</si>
  <si>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</si>
  <si>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</si>
  <si>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</si>
  <si>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</si>
  <si>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</si>
  <si>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</si>
  <si>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</si>
  <si>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</si>
  <si>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</si>
  <si>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</si>
  <si>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</si>
  <si>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</si>
  <si>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</si>
  <si>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</si>
  <si>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</si>
  <si>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</si>
  <si>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</si>
  <si>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</si>
  <si>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</si>
  <si>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</si>
  <si>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</si>
  <si>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</si>
  <si>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</si>
  <si>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</si>
  <si>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</si>
  <si>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</si>
  <si>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</si>
  <si>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</si>
  <si>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</si>
  <si>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</si>
  <si>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</si>
  <si>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</si>
  <si>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</si>
  <si>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</si>
  <si>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</si>
  <si>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</si>
  <si>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</si>
  <si>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</si>
  <si>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</si>
  <si>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</si>
  <si>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</si>
  <si>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</si>
  <si>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</si>
  <si>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</si>
  <si>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</si>
  <si>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</si>
  <si>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</si>
  <si>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</si>
  <si>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</si>
  <si>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</si>
  <si>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</si>
  <si>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</si>
  <si>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</si>
  <si>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</si>
  <si>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</si>
  <si>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</si>
  <si>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</si>
  <si>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</si>
  <si>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</si>
  <si>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</si>
  <si>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</si>
  <si>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</si>
  <si>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</si>
  <si>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</si>
  <si>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</si>
  <si>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</si>
  <si>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</si>
  <si>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</si>
  <si>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</si>
  <si>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</si>
  <si>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</si>
  <si>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</si>
  <si>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</si>
  <si>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</si>
  <si>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</si>
  <si>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</si>
  <si>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</si>
  <si>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</si>
  <si>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</si>
  <si>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</si>
  <si>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</si>
  <si>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</si>
  <si>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</si>
  <si>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</si>
  <si>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</si>
  <si>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</si>
  <si>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</si>
  <si>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</si>
  <si>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</si>
  <si>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</si>
  <si>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</si>
  <si>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</si>
  <si>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</si>
  <si>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</si>
  <si>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</si>
  <si>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</si>
  <si>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</si>
  <si>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</si>
  <si>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</si>
  <si>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</si>
  <si>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</si>
  <si>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</si>
  <si>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</si>
  <si>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</si>
  <si>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</si>
  <si>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</si>
  <si>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</si>
  <si>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</si>
  <si>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</si>
  <si>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Tjenestemandspensioner</t>
  </si>
  <si>
    <t>Gebyr til Miljøstyrelsen</t>
  </si>
  <si>
    <t>Til statusmeddelelse for 2025</t>
  </si>
  <si>
    <t>Masterplaner</t>
  </si>
  <si>
    <t>Byudvikling Midtbyen</t>
  </si>
  <si>
    <t>Forøgelse af indbyggertal</t>
  </si>
  <si>
    <t>Harrestrup 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</si>
</sst>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8" fillId="8" borderId="2" xfId="0" applyFont="1" applyFill="1" applyBorder="1" applyAlignment="1" applyProtection="1">
      <alignment vertical="top"/>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3"/>
    </row>
    <row r="7" spans="1:7" ht="15" customHeight="1" x14ac:dyDescent="0.25">
      <c r="A7" s="1"/>
      <c r="B7" s="3"/>
      <c r="C7" s="88"/>
      <c r="D7" s="88"/>
      <c r="E7" s="88"/>
      <c r="F7" s="88"/>
      <c r="G7" s="3"/>
    </row>
    <row r="8" spans="1:7" ht="15.75" x14ac:dyDescent="0.25">
      <c r="A8" s="1"/>
      <c r="B8" s="4"/>
      <c r="C8" s="96" t="s">
        <v>231</v>
      </c>
      <c r="D8" s="96"/>
      <c r="E8" s="96"/>
      <c r="F8" s="96"/>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5" t="s">
        <v>5</v>
      </c>
      <c r="D11" s="95"/>
      <c r="E11" s="95"/>
      <c r="F11" s="95"/>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85" t="s">
        <v>186</v>
      </c>
      <c r="D14" s="86"/>
      <c r="E14" s="86"/>
      <c r="F14" s="87"/>
      <c r="G14" s="5"/>
    </row>
    <row r="15" spans="1:7" x14ac:dyDescent="0.25">
      <c r="A15" s="1"/>
      <c r="B15" s="6" t="s">
        <v>30</v>
      </c>
      <c r="C15" s="85" t="s">
        <v>149</v>
      </c>
      <c r="D15" s="86"/>
      <c r="E15" s="86"/>
      <c r="F15" s="87"/>
      <c r="G15" s="5"/>
    </row>
    <row r="16" spans="1:7" x14ac:dyDescent="0.25">
      <c r="A16" s="1"/>
      <c r="B16" s="6" t="s">
        <v>31</v>
      </c>
      <c r="C16" s="85" t="s">
        <v>151</v>
      </c>
      <c r="D16" s="86"/>
      <c r="E16" s="86"/>
      <c r="F16" s="87"/>
      <c r="G16" s="5"/>
    </row>
    <row r="17" spans="1:8" x14ac:dyDescent="0.25">
      <c r="A17" s="1"/>
      <c r="B17" s="6" t="s">
        <v>61</v>
      </c>
      <c r="C17" s="85" t="s">
        <v>152</v>
      </c>
      <c r="D17" s="86"/>
      <c r="E17" s="86"/>
      <c r="F17" s="87"/>
      <c r="G17" s="5"/>
    </row>
    <row r="18" spans="1:8" x14ac:dyDescent="0.25">
      <c r="A18" s="1"/>
      <c r="B18" s="6" t="s">
        <v>53</v>
      </c>
      <c r="C18" s="97" t="s">
        <v>45</v>
      </c>
      <c r="D18" s="98"/>
      <c r="E18" s="98"/>
      <c r="F18" s="99"/>
      <c r="G18" s="5"/>
    </row>
    <row r="19" spans="1:8" x14ac:dyDescent="0.25">
      <c r="A19" s="1"/>
      <c r="B19" s="6" t="s">
        <v>54</v>
      </c>
      <c r="C19" s="97" t="s">
        <v>46</v>
      </c>
      <c r="D19" s="98"/>
      <c r="E19" s="98"/>
      <c r="F19" s="99"/>
      <c r="G19" s="5"/>
    </row>
    <row r="20" spans="1:8" x14ac:dyDescent="0.25">
      <c r="A20" s="1"/>
      <c r="B20" s="6" t="s">
        <v>7</v>
      </c>
      <c r="C20" s="97" t="s">
        <v>10</v>
      </c>
      <c r="D20" s="98"/>
      <c r="E20" s="98"/>
      <c r="F20" s="99"/>
      <c r="G20" s="5"/>
    </row>
    <row r="21" spans="1:8" x14ac:dyDescent="0.25">
      <c r="A21" s="1"/>
      <c r="B21" s="6" t="s">
        <v>55</v>
      </c>
      <c r="C21" s="89" t="s">
        <v>12</v>
      </c>
      <c r="D21" s="90"/>
      <c r="E21" s="90"/>
      <c r="F21" s="91"/>
      <c r="G21" s="5"/>
    </row>
    <row r="22" spans="1:8" x14ac:dyDescent="0.25">
      <c r="A22" s="1"/>
      <c r="B22" s="6" t="s">
        <v>39</v>
      </c>
      <c r="C22" s="92" t="s">
        <v>153</v>
      </c>
      <c r="D22" s="93"/>
      <c r="E22" s="93"/>
      <c r="F22" s="94"/>
      <c r="G22" s="5"/>
    </row>
    <row r="23" spans="1:8" x14ac:dyDescent="0.25">
      <c r="A23" s="1"/>
      <c r="B23" s="6" t="s">
        <v>8</v>
      </c>
      <c r="C23" s="92" t="s">
        <v>112</v>
      </c>
      <c r="D23" s="93"/>
      <c r="E23" s="93"/>
      <c r="F23" s="94"/>
      <c r="G23" s="5"/>
    </row>
    <row r="24" spans="1:8" x14ac:dyDescent="0.25">
      <c r="A24" s="1"/>
      <c r="B24" s="6" t="s">
        <v>9</v>
      </c>
      <c r="C24" s="92" t="s">
        <v>154</v>
      </c>
      <c r="D24" s="93"/>
      <c r="E24" s="93"/>
      <c r="F24" s="94"/>
      <c r="G24" s="5"/>
    </row>
    <row r="25" spans="1:8" x14ac:dyDescent="0.25">
      <c r="A25" s="1"/>
      <c r="B25" s="6" t="s">
        <v>97</v>
      </c>
      <c r="C25" s="92" t="s">
        <v>91</v>
      </c>
      <c r="D25" s="93"/>
      <c r="E25" s="93"/>
      <c r="F25" s="94"/>
      <c r="G25" s="1"/>
    </row>
    <row r="26" spans="1:8" x14ac:dyDescent="0.25">
      <c r="A26" s="1"/>
      <c r="B26" s="6" t="s">
        <v>98</v>
      </c>
      <c r="C26" s="92" t="s">
        <v>40</v>
      </c>
      <c r="D26" s="93"/>
      <c r="E26" s="93"/>
      <c r="F26" s="94"/>
      <c r="G26" s="1"/>
    </row>
    <row r="27" spans="1:8" x14ac:dyDescent="0.25">
      <c r="A27" s="1"/>
      <c r="B27" s="6" t="s">
        <v>99</v>
      </c>
      <c r="C27" s="92" t="s">
        <v>41</v>
      </c>
      <c r="D27" s="93"/>
      <c r="E27" s="93"/>
      <c r="F27" s="94"/>
      <c r="G27" s="1"/>
    </row>
    <row r="28" spans="1:8" x14ac:dyDescent="0.25">
      <c r="A28" s="1"/>
      <c r="B28" s="6" t="s">
        <v>15</v>
      </c>
      <c r="C28" s="92" t="s">
        <v>42</v>
      </c>
      <c r="D28" s="93"/>
      <c r="E28" s="93"/>
      <c r="F28" s="94"/>
      <c r="G28" s="1"/>
      <c r="H28" s="2" t="s">
        <v>150</v>
      </c>
    </row>
    <row r="29" spans="1:8" x14ac:dyDescent="0.25">
      <c r="A29" s="1"/>
      <c r="B29" s="6" t="s">
        <v>33</v>
      </c>
      <c r="C29" s="92" t="s">
        <v>68</v>
      </c>
      <c r="D29" s="93"/>
      <c r="E29" s="93"/>
      <c r="F29" s="94"/>
      <c r="G29" s="1"/>
    </row>
    <row r="30" spans="1:8" x14ac:dyDescent="0.25">
      <c r="A30" s="1"/>
      <c r="B30" s="6" t="s">
        <v>34</v>
      </c>
      <c r="C30" s="92" t="s">
        <v>32</v>
      </c>
      <c r="D30" s="93"/>
      <c r="E30" s="93"/>
      <c r="F30" s="94"/>
      <c r="G30" s="1"/>
    </row>
    <row r="31" spans="1:8" x14ac:dyDescent="0.25">
      <c r="A31" s="1"/>
      <c r="B31" s="6" t="s">
        <v>100</v>
      </c>
      <c r="C31" s="103" t="s">
        <v>52</v>
      </c>
      <c r="D31" s="104"/>
      <c r="E31" s="104"/>
      <c r="F31" s="105"/>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q2PZJzRiQ9Fmw1a+sV9mFxlpvIuP/lOqb44JaG+Oy2K6fjvst/uewKyh29l+a8njPfYM1RMU2JqcCFg1rG8Rww==" saltValue="iU6A0ddxe22RttyWR4+CY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58</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0" t="s">
        <v>165</v>
      </c>
      <c r="C8" s="111"/>
      <c r="D8" s="112"/>
      <c r="E8" s="1"/>
    </row>
    <row r="9" spans="1:5" ht="15" customHeight="1" x14ac:dyDescent="0.25">
      <c r="A9" s="1"/>
      <c r="B9" s="27" t="s">
        <v>28</v>
      </c>
      <c r="C9" s="67" t="s">
        <v>166</v>
      </c>
      <c r="D9" s="11"/>
      <c r="E9" s="1"/>
    </row>
    <row r="10" spans="1:5" ht="15" customHeight="1" x14ac:dyDescent="0.25">
      <c r="A10" s="1"/>
      <c r="B10" s="72" t="s">
        <v>226</v>
      </c>
      <c r="C10" s="73">
        <v>105946</v>
      </c>
      <c r="D10" s="14" t="s">
        <v>3</v>
      </c>
      <c r="E10" s="1"/>
    </row>
    <row r="11" spans="1:5" ht="15" customHeight="1" x14ac:dyDescent="0.25">
      <c r="A11" s="1"/>
      <c r="B11" s="74" t="s">
        <v>227</v>
      </c>
      <c r="C11" s="73">
        <v>21376505</v>
      </c>
      <c r="D11" s="14" t="s">
        <v>3</v>
      </c>
      <c r="E11" s="1"/>
    </row>
    <row r="12" spans="1:5" x14ac:dyDescent="0.25">
      <c r="A12" s="1"/>
      <c r="B12" s="72" t="s">
        <v>228</v>
      </c>
      <c r="C12" s="73">
        <v>37051</v>
      </c>
      <c r="D12" s="14" t="s">
        <v>3</v>
      </c>
      <c r="E12" s="1"/>
    </row>
    <row r="13" spans="1:5" x14ac:dyDescent="0.25">
      <c r="A13" s="1"/>
      <c r="B13" s="72" t="s">
        <v>229</v>
      </c>
      <c r="C13" s="73">
        <v>374874</v>
      </c>
      <c r="D13" s="14" t="s">
        <v>3</v>
      </c>
      <c r="E13" s="1"/>
    </row>
    <row r="14" spans="1:5" x14ac:dyDescent="0.25">
      <c r="A14" s="1"/>
      <c r="B14" s="72" t="s">
        <v>230</v>
      </c>
      <c r="C14" s="73">
        <v>10785</v>
      </c>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21905161</v>
      </c>
      <c r="D20" s="13" t="s">
        <v>3</v>
      </c>
      <c r="E20" s="1"/>
    </row>
    <row r="21" spans="1:5" x14ac:dyDescent="0.25">
      <c r="A21" s="1"/>
      <c r="B21" s="33" t="s">
        <v>168</v>
      </c>
      <c r="C21" s="12">
        <f>C20*(1+'Fane 15. Nøgletal'!C10)^2</f>
        <v>24906073.645756092</v>
      </c>
      <c r="D21" s="13" t="s">
        <v>3</v>
      </c>
      <c r="E21" s="1"/>
    </row>
    <row r="22" spans="1:5" x14ac:dyDescent="0.25">
      <c r="A22" s="1"/>
      <c r="B22" s="16"/>
      <c r="C22" s="15"/>
      <c r="D22" s="15"/>
      <c r="E22" s="1"/>
    </row>
    <row r="23" spans="1:5" x14ac:dyDescent="0.25">
      <c r="A23" s="1"/>
      <c r="B23" s="16"/>
      <c r="C23" s="15"/>
      <c r="D23" s="15"/>
      <c r="E23" s="1"/>
    </row>
    <row r="24" spans="1:5" x14ac:dyDescent="0.25">
      <c r="A24" s="1"/>
      <c r="B24" s="110" t="s">
        <v>60</v>
      </c>
      <c r="C24" s="111"/>
      <c r="D24" s="112"/>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10"/>
      <c r="C29" s="111"/>
      <c r="D29" s="112"/>
      <c r="E29" s="1"/>
    </row>
    <row r="30" spans="1:5" x14ac:dyDescent="0.25">
      <c r="A30" s="1"/>
      <c r="B30" s="1"/>
      <c r="C30" s="1"/>
      <c r="D30" s="1"/>
      <c r="E30" s="1"/>
    </row>
    <row r="31" spans="1:5" x14ac:dyDescent="0.25">
      <c r="A31" s="1"/>
      <c r="B31" s="1"/>
      <c r="C31" s="1"/>
      <c r="D31" s="1"/>
      <c r="E31" s="1"/>
    </row>
    <row r="32" spans="1:5" x14ac:dyDescent="0.25">
      <c r="A32" s="1"/>
      <c r="B32" s="110" t="s">
        <v>47</v>
      </c>
      <c r="C32" s="111"/>
      <c r="D32" s="112"/>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10"/>
      <c r="C37" s="111"/>
      <c r="D37" s="112"/>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ocog5JKw2MwNcNpld3/VjElnc12Gx0KkpuGWZsEB1S9VystXv9pt+DlUCq0qvOpPWQ8Lw1dShhT3ePPt1UUJSw==" saltValue="yM2iK3eIwtIfAEjR2BW+V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77</v>
      </c>
      <c r="C8" s="111"/>
      <c r="D8" s="112"/>
      <c r="E8" s="1"/>
    </row>
    <row r="9" spans="1:5" x14ac:dyDescent="0.25">
      <c r="A9" s="1"/>
      <c r="B9" s="65" t="s">
        <v>204</v>
      </c>
      <c r="C9" s="9">
        <v>-11952684.427029863</v>
      </c>
      <c r="D9" s="14" t="s">
        <v>3</v>
      </c>
      <c r="E9" s="1"/>
    </row>
    <row r="10" spans="1:5" x14ac:dyDescent="0.25">
      <c r="A10" s="1"/>
      <c r="B10" s="33"/>
      <c r="C10" s="28"/>
      <c r="D10" s="19"/>
      <c r="E10" s="1"/>
    </row>
    <row r="11" spans="1:5" ht="53.25" customHeight="1" x14ac:dyDescent="0.25">
      <c r="A11" s="1"/>
      <c r="B11" s="121" t="s">
        <v>212</v>
      </c>
      <c r="C11" s="122"/>
      <c r="D11" s="123"/>
      <c r="E11" s="1"/>
    </row>
    <row r="12" spans="1:5" x14ac:dyDescent="0.25">
      <c r="A12" s="1"/>
      <c r="B12" s="1"/>
      <c r="C12" s="1"/>
      <c r="D12" s="1"/>
      <c r="E12" s="1"/>
    </row>
    <row r="13" spans="1:5" x14ac:dyDescent="0.25">
      <c r="A13" s="1"/>
      <c r="B13" s="110" t="s">
        <v>78</v>
      </c>
      <c r="C13" s="111"/>
      <c r="D13" s="112"/>
      <c r="E13" s="1"/>
    </row>
    <row r="14" spans="1:5" x14ac:dyDescent="0.25">
      <c r="A14" s="1"/>
      <c r="B14" s="65" t="s">
        <v>202</v>
      </c>
      <c r="C14" s="9">
        <v>-9675723.5</v>
      </c>
      <c r="D14" s="14" t="s">
        <v>3</v>
      </c>
      <c r="E14" s="1"/>
    </row>
    <row r="15" spans="1:5" x14ac:dyDescent="0.25">
      <c r="A15" s="1"/>
      <c r="B15" s="65" t="s">
        <v>203</v>
      </c>
      <c r="C15" s="9">
        <v>-9675723.5</v>
      </c>
      <c r="D15" s="14" t="s">
        <v>3</v>
      </c>
      <c r="E15" s="1"/>
    </row>
    <row r="16" spans="1:5" x14ac:dyDescent="0.25">
      <c r="A16" s="1"/>
      <c r="B16" s="33"/>
      <c r="C16" s="28"/>
      <c r="D16" s="19"/>
      <c r="E16" s="1"/>
    </row>
    <row r="17" spans="1:5" ht="29.25" customHeight="1" x14ac:dyDescent="0.25">
      <c r="A17" s="1"/>
      <c r="B17" s="121" t="s">
        <v>121</v>
      </c>
      <c r="C17" s="122"/>
      <c r="D17" s="123"/>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87782256.371841162</v>
      </c>
      <c r="D20" s="14" t="s">
        <v>3</v>
      </c>
      <c r="E20" s="1"/>
    </row>
    <row r="21" spans="1:5" x14ac:dyDescent="0.25">
      <c r="A21" s="1"/>
      <c r="B21" s="65" t="s">
        <v>207</v>
      </c>
      <c r="C21" s="9">
        <v>92539395</v>
      </c>
      <c r="D21" s="14" t="s">
        <v>3</v>
      </c>
      <c r="E21" s="1"/>
    </row>
    <row r="22" spans="1:5" x14ac:dyDescent="0.25">
      <c r="A22" s="1"/>
      <c r="B22" s="65" t="s">
        <v>29</v>
      </c>
      <c r="C22" s="9">
        <v>-116234</v>
      </c>
      <c r="D22" s="14" t="s">
        <v>3</v>
      </c>
      <c r="E22" s="1"/>
    </row>
    <row r="23" spans="1:5" x14ac:dyDescent="0.25">
      <c r="A23" s="1"/>
      <c r="B23" s="83" t="s">
        <v>208</v>
      </c>
      <c r="C23" s="57">
        <f>C20-C21-C22</f>
        <v>-4640904.6281588376</v>
      </c>
      <c r="D23" s="17" t="s">
        <v>3</v>
      </c>
      <c r="E23" s="1"/>
    </row>
    <row r="24" spans="1:5" x14ac:dyDescent="0.25">
      <c r="A24" s="1"/>
      <c r="B24" s="33"/>
      <c r="C24" s="28"/>
      <c r="D24" s="19"/>
      <c r="E24" s="1"/>
    </row>
    <row r="25" spans="1:5" x14ac:dyDescent="0.25">
      <c r="A25" s="1"/>
      <c r="B25" s="1"/>
      <c r="C25" s="1"/>
      <c r="D25" s="1"/>
      <c r="E25" s="1"/>
    </row>
    <row r="26" spans="1:5" x14ac:dyDescent="0.25">
      <c r="A26" s="1"/>
      <c r="B26" s="110" t="s">
        <v>209</v>
      </c>
      <c r="C26" s="111"/>
      <c r="D26" s="112"/>
      <c r="E26" s="1"/>
    </row>
    <row r="27" spans="1:5" x14ac:dyDescent="0.25">
      <c r="A27" s="1"/>
      <c r="B27" s="83" t="s">
        <v>210</v>
      </c>
      <c r="C27" s="57">
        <f>IF(AND(C15&lt;0,C23&gt;0,ABS(SUM(C14:C15))&lt;C23),ABS(C14),IF(AND(C15&lt;0,C23&gt;0,ABS(SUM(C14:C15))&gt;C23),SUM(C14,C23),C15))</f>
        <v>-9675723.5</v>
      </c>
      <c r="D27" s="17" t="s">
        <v>3</v>
      </c>
      <c r="E27" s="1"/>
    </row>
    <row r="28" spans="1:5" x14ac:dyDescent="0.25">
      <c r="A28" s="1"/>
      <c r="B28" s="110"/>
      <c r="C28" s="111"/>
      <c r="D28" s="112"/>
      <c r="E28" s="1"/>
    </row>
    <row r="29" spans="1:5" x14ac:dyDescent="0.25">
      <c r="A29" s="1"/>
      <c r="B29" s="1"/>
      <c r="C29" s="1"/>
      <c r="D29" s="1"/>
      <c r="E29" s="1"/>
    </row>
    <row r="30" spans="1:5" x14ac:dyDescent="0.25">
      <c r="A30" s="1"/>
      <c r="B30" s="110" t="s">
        <v>211</v>
      </c>
      <c r="C30" s="111"/>
      <c r="D30" s="112"/>
      <c r="E30" s="1"/>
    </row>
    <row r="31" spans="1:5" x14ac:dyDescent="0.25">
      <c r="A31" s="1"/>
      <c r="B31" s="66" t="s">
        <v>69</v>
      </c>
      <c r="C31" s="58">
        <f>IF(AND(C9&gt;0,(C9+C23)&gt;0),0,IF(AND(C9&gt;0,(C9+C23)&lt;0),(C9+C23),IF(AND(C9&lt;0,C23&lt;0),C23,0)))</f>
        <v>-4640904.6281588376</v>
      </c>
      <c r="D31" s="14" t="s">
        <v>3</v>
      </c>
      <c r="E31" s="1"/>
    </row>
    <row r="32" spans="1:5" x14ac:dyDescent="0.25">
      <c r="A32" s="1"/>
      <c r="B32" s="66" t="s">
        <v>49</v>
      </c>
      <c r="C32" s="9">
        <v>2</v>
      </c>
      <c r="D32" s="14" t="s">
        <v>20</v>
      </c>
      <c r="E32" s="1"/>
    </row>
    <row r="33" spans="1:5" x14ac:dyDescent="0.25">
      <c r="A33" s="1"/>
      <c r="B33" s="67" t="s">
        <v>70</v>
      </c>
      <c r="C33" s="57">
        <f>C31/C32</f>
        <v>-2320452.3140794188</v>
      </c>
      <c r="D33" s="17" t="s">
        <v>3</v>
      </c>
      <c r="E33" s="1"/>
    </row>
    <row r="34" spans="1:5" x14ac:dyDescent="0.25">
      <c r="A34" s="1"/>
      <c r="B34" s="118"/>
      <c r="C34" s="119"/>
      <c r="D34" s="120"/>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MUoXyL/vXDhirmQ83DS9+2oaoJUN/LOxxfXgujiQgsUu9ldDq08PRxTmr49IrTK00mEULVAb6PUKCA+YuVh4pw==" saltValue="ST15Vl/Twls9M95Ok9T+G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10" t="s">
        <v>120</v>
      </c>
      <c r="C8" s="111"/>
      <c r="D8" s="112"/>
      <c r="E8" s="1"/>
    </row>
    <row r="9" spans="1:5" ht="15" customHeight="1" x14ac:dyDescent="0.25">
      <c r="A9" s="1"/>
      <c r="B9" s="124" t="s">
        <v>102</v>
      </c>
      <c r="C9" s="125"/>
      <c r="D9" s="126"/>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laeZEJ2GEg1PEDU/s2MUkPk/I5MMIT4WITnttO9hvBzdYkeD/f6Ff7KANdezGTRpxvCuP7faq9x6jZ/NI9AtA==" saltValue="dmx/cbnt7eypw9Hox1UghQ=="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10" t="s">
        <v>171</v>
      </c>
      <c r="C8" s="111"/>
      <c r="D8" s="112"/>
      <c r="E8" s="1"/>
    </row>
    <row r="9" spans="1:5" ht="26.25" x14ac:dyDescent="0.25">
      <c r="A9" s="1"/>
      <c r="B9" s="80" t="s">
        <v>215</v>
      </c>
      <c r="C9" s="7">
        <v>0</v>
      </c>
      <c r="D9" s="8" t="s">
        <v>3</v>
      </c>
      <c r="E9" s="1"/>
    </row>
    <row r="10" spans="1:5" ht="14.25" customHeight="1" x14ac:dyDescent="0.25">
      <c r="A10" s="1"/>
      <c r="B10" s="65" t="s">
        <v>172</v>
      </c>
      <c r="C10" s="7">
        <v>0</v>
      </c>
      <c r="D10" s="8" t="s">
        <v>3</v>
      </c>
      <c r="E10" s="1"/>
    </row>
    <row r="11" spans="1:5" ht="14.25" customHeight="1" x14ac:dyDescent="0.25">
      <c r="A11" s="1"/>
      <c r="B11" s="83" t="s">
        <v>48</v>
      </c>
      <c r="C11" s="10">
        <f>C10-C9</f>
        <v>0</v>
      </c>
      <c r="D11" s="11" t="s">
        <v>3</v>
      </c>
      <c r="E11" s="1"/>
    </row>
    <row r="12" spans="1:5" ht="14.25" customHeight="1" x14ac:dyDescent="0.25">
      <c r="A12" s="1"/>
      <c r="B12" s="110" t="s">
        <v>217</v>
      </c>
      <c r="C12" s="111"/>
      <c r="D12" s="112"/>
      <c r="E12" s="1"/>
    </row>
    <row r="13" spans="1:5" ht="26.25" x14ac:dyDescent="0.25">
      <c r="A13" s="1"/>
      <c r="B13" s="80" t="s">
        <v>216</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eH/0GedMRr7RxAi5yVmNEDGaGSdEvQZzg/z5pVuWXN9FcykIWl9CLp/5TqePUE0t22zodKH0nC00hw8ldNbSg==" saltValue="jpwkzFARIqKpj3nIn2Q+t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6" t="s">
        <v>113</v>
      </c>
      <c r="C3" s="106"/>
      <c r="D3" s="106"/>
      <c r="E3" s="106"/>
      <c r="F3" s="106"/>
      <c r="G3" s="106"/>
      <c r="H3" s="106"/>
      <c r="I3" s="106"/>
      <c r="J3" s="106"/>
      <c r="K3" s="106"/>
      <c r="L3" s="1"/>
    </row>
    <row r="4" spans="1:12" ht="15" customHeight="1" x14ac:dyDescent="0.25">
      <c r="A4" s="1"/>
      <c r="B4" s="106"/>
      <c r="C4" s="106"/>
      <c r="D4" s="106"/>
      <c r="E4" s="106"/>
      <c r="F4" s="106"/>
      <c r="G4" s="106"/>
      <c r="H4" s="106"/>
      <c r="I4" s="106"/>
      <c r="J4" s="106"/>
      <c r="K4" s="10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0" t="s">
        <v>86</v>
      </c>
      <c r="C8" s="111"/>
      <c r="D8" s="111"/>
      <c r="E8" s="111"/>
      <c r="F8" s="111"/>
      <c r="G8" s="111"/>
      <c r="H8" s="111"/>
      <c r="I8" s="111"/>
      <c r="J8" s="111"/>
      <c r="K8" s="112"/>
      <c r="L8" s="1"/>
    </row>
    <row r="9" spans="1:12" ht="39.75" customHeight="1" x14ac:dyDescent="0.25">
      <c r="A9" s="1"/>
      <c r="B9" s="18" t="s">
        <v>0</v>
      </c>
      <c r="C9" s="18" t="s">
        <v>1</v>
      </c>
      <c r="D9" s="127" t="s">
        <v>96</v>
      </c>
      <c r="E9" s="128"/>
      <c r="F9" s="127" t="s">
        <v>2</v>
      </c>
      <c r="G9" s="128"/>
      <c r="H9" s="127" t="s">
        <v>95</v>
      </c>
      <c r="I9" s="128"/>
      <c r="J9" s="127" t="s">
        <v>26</v>
      </c>
      <c r="K9" s="128"/>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7" t="s">
        <v>219</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0yJyy4HHsCUZ2RfYyHC/qYUXRYttnLgL4fbuSq7f2OGyXB+luhJkU6O+2he6CpDJ5ILaEDQuyBUpQYlBtPYEw==" saltValue="qvIhFvCzh4j3qvGP5Tg5a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114</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232</v>
      </c>
      <c r="C11" s="21">
        <v>555166</v>
      </c>
      <c r="D11" s="14" t="s">
        <v>3</v>
      </c>
      <c r="E11" s="9">
        <v>0</v>
      </c>
      <c r="F11" s="14" t="s">
        <v>3</v>
      </c>
      <c r="G11" s="1"/>
    </row>
    <row r="12" spans="1:7" x14ac:dyDescent="0.25">
      <c r="A12" s="1"/>
      <c r="B12" s="24" t="s">
        <v>233</v>
      </c>
      <c r="C12" s="21">
        <v>0</v>
      </c>
      <c r="D12" s="14" t="s">
        <v>3</v>
      </c>
      <c r="E12" s="9">
        <v>3055</v>
      </c>
      <c r="F12" s="14" t="s">
        <v>3</v>
      </c>
      <c r="G12" s="1"/>
    </row>
    <row r="13" spans="1:7" x14ac:dyDescent="0.25">
      <c r="A13" s="1"/>
      <c r="B13" s="24" t="s">
        <v>234</v>
      </c>
      <c r="C13" s="21">
        <v>979201</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1534367</v>
      </c>
      <c r="D19" s="13" t="s">
        <v>3</v>
      </c>
      <c r="E19" s="12">
        <f>SUM(E10:E18)</f>
        <v>3055</v>
      </c>
      <c r="F19" s="13" t="s">
        <v>3</v>
      </c>
      <c r="G19" s="1"/>
    </row>
    <row r="20" spans="1:7" x14ac:dyDescent="0.25">
      <c r="A20" s="1"/>
      <c r="B20" s="33" t="s">
        <v>175</v>
      </c>
      <c r="C20" s="12">
        <f>C19*(1+'Fane 15. Nøgletal'!C10)</f>
        <v>1636095.5321</v>
      </c>
      <c r="D20" s="13" t="s">
        <v>3</v>
      </c>
      <c r="E20" s="12">
        <f>E19*(1+'Fane 15. Nøgletal'!C10)</f>
        <v>3257.5464999999999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srD5De1vap87qTSPt59re8qKnw0o19vAapaxdbgduw640K/coGQ9hazTNG2frwVLRmfFRtVc558VoCM+ymdzA==" saltValue="Kx8JY3zhM4z7vXGaLVHx3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115</v>
      </c>
      <c r="C3" s="106"/>
      <c r="D3" s="106"/>
      <c r="E3" s="106"/>
      <c r="F3" s="106"/>
      <c r="G3" s="1"/>
    </row>
    <row r="4" spans="1:7" ht="1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0" t="s">
        <v>176</v>
      </c>
      <c r="C8" s="111"/>
      <c r="D8" s="111"/>
      <c r="E8" s="111"/>
      <c r="F8" s="112"/>
      <c r="G8" s="1"/>
    </row>
    <row r="9" spans="1:7" x14ac:dyDescent="0.25">
      <c r="A9" s="1"/>
      <c r="B9" s="81" t="s">
        <v>17</v>
      </c>
      <c r="C9" s="83" t="s">
        <v>11</v>
      </c>
      <c r="D9" s="82"/>
      <c r="E9" s="83" t="s">
        <v>27</v>
      </c>
      <c r="F9" s="32"/>
      <c r="G9" s="1"/>
    </row>
    <row r="10" spans="1:7" x14ac:dyDescent="0.25">
      <c r="A10" s="1"/>
      <c r="B10" s="24" t="s">
        <v>235</v>
      </c>
      <c r="C10" s="21">
        <v>909593</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909593</v>
      </c>
      <c r="D13" s="13" t="s">
        <v>3</v>
      </c>
      <c r="E13" s="12">
        <f>SUM(E10:E12)</f>
        <v>0</v>
      </c>
      <c r="F13" s="13" t="s">
        <v>3</v>
      </c>
      <c r="G13" s="1"/>
    </row>
    <row r="14" spans="1:7" x14ac:dyDescent="0.25">
      <c r="A14" s="1"/>
      <c r="B14" s="33" t="s">
        <v>178</v>
      </c>
      <c r="C14" s="12">
        <f>C13*(1+'Fane 15. Nøgletal'!C10)^2</f>
        <v>1034203.32065417</v>
      </c>
      <c r="D14" s="13" t="s">
        <v>3</v>
      </c>
      <c r="E14" s="12">
        <f>E13*(1+'Fane 15. Nøgletal'!C10)^2</f>
        <v>0</v>
      </c>
      <c r="F14" s="13" t="s">
        <v>3</v>
      </c>
      <c r="G14" s="1"/>
    </row>
    <row r="15" spans="1:7" x14ac:dyDescent="0.25">
      <c r="A15" s="1"/>
      <c r="B15" s="1"/>
      <c r="C15" s="1"/>
      <c r="D15" s="1"/>
      <c r="E15" s="1"/>
      <c r="F15" s="1"/>
      <c r="G15" s="1"/>
    </row>
    <row r="16" spans="1:7" x14ac:dyDescent="0.25">
      <c r="A16" s="1"/>
      <c r="B16" s="129"/>
      <c r="C16" s="129"/>
      <c r="D16" s="129"/>
      <c r="E16" s="129"/>
      <c r="F16" s="129"/>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9"/>
      <c r="C29" s="129"/>
      <c r="D29" s="129"/>
      <c r="E29" s="129"/>
      <c r="F29" s="129"/>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SIY0atehBXxOnfh0hqX3XrhXhsGOUPLktm/1ZGBCi24VveThPZO3A1/p4fVOdGZVpsTNb+f5DSx4sXe4dtQ9g==" saltValue="DkTpu37LiI+4a52+IOOcF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10" t="s">
        <v>73</v>
      </c>
      <c r="C8" s="111"/>
      <c r="D8" s="112"/>
      <c r="E8" s="1"/>
    </row>
    <row r="9" spans="1:5" x14ac:dyDescent="0.25">
      <c r="A9" s="1"/>
      <c r="B9" s="68" t="s">
        <v>179</v>
      </c>
      <c r="C9" s="9">
        <f>82607.3840623285*(1+'Fane 15. Nøgletal'!C9)</f>
        <v>89282.060694564643</v>
      </c>
      <c r="D9" s="14" t="s">
        <v>3</v>
      </c>
      <c r="E9" s="1"/>
    </row>
    <row r="10" spans="1:5" x14ac:dyDescent="0.25">
      <c r="A10" s="1"/>
      <c r="B10" s="64" t="s">
        <v>10</v>
      </c>
      <c r="C10" s="9">
        <f>-C9*'Fane 5. Individuelt eff. krav'!C9</f>
        <v>-414.71184843904047</v>
      </c>
      <c r="D10" s="14" t="s">
        <v>3</v>
      </c>
      <c r="E10" s="1"/>
    </row>
    <row r="11" spans="1:5" x14ac:dyDescent="0.25">
      <c r="A11" s="1"/>
      <c r="B11" s="64" t="s">
        <v>22</v>
      </c>
      <c r="C11" s="9">
        <f>-C9*'Fane 15. Nøgletal'!C21</f>
        <v>-1785.6412138912929</v>
      </c>
      <c r="D11" s="14" t="s">
        <v>3</v>
      </c>
      <c r="E11" s="1"/>
    </row>
    <row r="12" spans="1:5" x14ac:dyDescent="0.25">
      <c r="A12" s="1"/>
      <c r="B12" s="77" t="s">
        <v>74</v>
      </c>
      <c r="C12" s="12">
        <f>SUM(C9:C11)*(1+'Fane 15. Nøgletal'!C9)^2</f>
        <v>101722.63670531948</v>
      </c>
      <c r="D12" s="13" t="s">
        <v>3</v>
      </c>
      <c r="E12" s="1"/>
    </row>
    <row r="13" spans="1:5" x14ac:dyDescent="0.25">
      <c r="A13" s="1"/>
      <c r="B13" s="1"/>
      <c r="C13" s="1"/>
      <c r="D13" s="1"/>
      <c r="E13" s="1"/>
    </row>
    <row r="14" spans="1:5" ht="15" customHeight="1" x14ac:dyDescent="0.25">
      <c r="A14" s="1"/>
      <c r="B14" s="110" t="s">
        <v>84</v>
      </c>
      <c r="C14" s="111"/>
      <c r="D14" s="112"/>
      <c r="E14" s="1"/>
    </row>
    <row r="15" spans="1:5" x14ac:dyDescent="0.25">
      <c r="A15" s="1"/>
      <c r="B15" s="68" t="s">
        <v>179</v>
      </c>
      <c r="C15" s="9">
        <v>85548.20693494739</v>
      </c>
      <c r="D15" s="14" t="s">
        <v>3</v>
      </c>
      <c r="E15" s="1"/>
    </row>
    <row r="16" spans="1:5" x14ac:dyDescent="0.25">
      <c r="A16" s="1"/>
      <c r="B16" s="64" t="s">
        <v>10</v>
      </c>
      <c r="C16" s="9">
        <f>-C15*'Fane 5. Individuelt eff. krav'!C9</f>
        <v>-397.36823671675637</v>
      </c>
      <c r="D16" s="14" t="s">
        <v>3</v>
      </c>
      <c r="E16" s="1"/>
    </row>
    <row r="17" spans="1:5" x14ac:dyDescent="0.25">
      <c r="A17" s="1"/>
      <c r="B17" s="64" t="s">
        <v>22</v>
      </c>
      <c r="C17" s="9">
        <f>-C15*'Fane 15. Nøgletal'!C21</f>
        <v>-1710.9641386989479</v>
      </c>
      <c r="D17" s="14" t="s">
        <v>3</v>
      </c>
      <c r="E17" s="1"/>
    </row>
    <row r="18" spans="1:5" x14ac:dyDescent="0.25">
      <c r="A18" s="1"/>
      <c r="B18" s="77" t="s">
        <v>85</v>
      </c>
      <c r="C18" s="12">
        <f>SUM(C15:C17)*(1+'Fane 15. Nøgletal'!C10)^3</f>
        <v>101160.71031304235</v>
      </c>
      <c r="D18" s="13" t="s">
        <v>3</v>
      </c>
      <c r="E18" s="1"/>
    </row>
    <row r="19" spans="1:5" x14ac:dyDescent="0.25">
      <c r="A19" s="1"/>
      <c r="B19" s="1"/>
      <c r="C19" s="1"/>
      <c r="D19" s="1"/>
      <c r="E19" s="1"/>
    </row>
    <row r="20" spans="1:5" ht="15" customHeight="1" x14ac:dyDescent="0.25">
      <c r="A20" s="1"/>
      <c r="B20" s="110" t="s">
        <v>140</v>
      </c>
      <c r="C20" s="111"/>
      <c r="D20" s="112"/>
      <c r="E20" s="1"/>
    </row>
    <row r="21" spans="1:5" x14ac:dyDescent="0.25">
      <c r="A21" s="1"/>
      <c r="B21" s="68" t="s">
        <v>179</v>
      </c>
      <c r="C21" s="9">
        <v>85548.20693494739</v>
      </c>
      <c r="D21" s="14" t="s">
        <v>3</v>
      </c>
      <c r="E21" s="1"/>
    </row>
    <row r="22" spans="1:5" x14ac:dyDescent="0.25">
      <c r="A22" s="1"/>
      <c r="B22" s="64" t="s">
        <v>10</v>
      </c>
      <c r="C22" s="9">
        <f>-C21*'Fane 5. Individuelt eff. krav'!C9</f>
        <v>-397.36823671675637</v>
      </c>
      <c r="D22" s="14" t="s">
        <v>3</v>
      </c>
      <c r="E22" s="1"/>
    </row>
    <row r="23" spans="1:5" x14ac:dyDescent="0.25">
      <c r="A23" s="1"/>
      <c r="B23" s="64" t="s">
        <v>22</v>
      </c>
      <c r="C23" s="9">
        <f>-C21*'Fane 15. Nøgletal'!C21</f>
        <v>-1710.9641386989479</v>
      </c>
      <c r="D23" s="14" t="s">
        <v>3</v>
      </c>
      <c r="E23" s="1"/>
    </row>
    <row r="24" spans="1:5" x14ac:dyDescent="0.25">
      <c r="A24" s="1"/>
      <c r="B24" s="77" t="s">
        <v>141</v>
      </c>
      <c r="C24" s="12">
        <f>SUM(C21:C23)*(1+'Fane 15. Nøgletal'!C10)^4</f>
        <v>107867.66540679704</v>
      </c>
      <c r="D24" s="13" t="s">
        <v>3</v>
      </c>
      <c r="E24" s="1"/>
    </row>
    <row r="25" spans="1:5" x14ac:dyDescent="0.25">
      <c r="A25" s="1"/>
      <c r="B25" s="1"/>
      <c r="C25" s="1"/>
      <c r="D25" s="1"/>
      <c r="E25" s="1"/>
    </row>
    <row r="26" spans="1:5" ht="15" customHeight="1" x14ac:dyDescent="0.25">
      <c r="A26" s="1"/>
      <c r="B26" s="110" t="s">
        <v>180</v>
      </c>
      <c r="C26" s="111"/>
      <c r="D26" s="112"/>
      <c r="E26" s="1"/>
    </row>
    <row r="27" spans="1:5" ht="14.25" customHeight="1" x14ac:dyDescent="0.25">
      <c r="A27" s="1"/>
      <c r="B27" s="68" t="s">
        <v>179</v>
      </c>
      <c r="C27" s="9">
        <v>85548.20693494739</v>
      </c>
      <c r="D27" s="14" t="s">
        <v>3</v>
      </c>
      <c r="E27" s="1"/>
    </row>
    <row r="28" spans="1:5" x14ac:dyDescent="0.25">
      <c r="A28" s="1"/>
      <c r="B28" s="64" t="s">
        <v>10</v>
      </c>
      <c r="C28" s="9">
        <f>-C27*'Fane 5. Individuelt eff. krav'!C9</f>
        <v>-397.36823671675637</v>
      </c>
      <c r="D28" s="14" t="s">
        <v>3</v>
      </c>
      <c r="E28" s="1"/>
    </row>
    <row r="29" spans="1:5" x14ac:dyDescent="0.25">
      <c r="A29" s="1"/>
      <c r="B29" s="64" t="s">
        <v>22</v>
      </c>
      <c r="C29" s="9">
        <f>-C27*'Fane 15. Nøgletal'!C21</f>
        <v>-1710.9641386989479</v>
      </c>
      <c r="D29" s="14" t="s">
        <v>3</v>
      </c>
      <c r="E29" s="1"/>
    </row>
    <row r="30" spans="1:5" x14ac:dyDescent="0.25">
      <c r="A30" s="1"/>
      <c r="B30" s="77" t="s">
        <v>181</v>
      </c>
      <c r="C30" s="12">
        <f>SUM(C27:C29)*(1+'Fane 15. Nøgletal'!C10)^5</f>
        <v>115019.29162326768</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Dkn7tRZzSWk8GpIvQM0AIKKjtzLdVH5h5yXkMcSUBV15IIyhoqKDFF727HREFPoHFF15/xwNkLUeD+PYNPCLiA==" saltValue="84nWFGg55KXacl0ZCoeOy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10" t="s">
        <v>66</v>
      </c>
      <c r="C8" s="111"/>
      <c r="D8" s="111"/>
      <c r="E8" s="111"/>
      <c r="F8" s="112"/>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sVfpdsuszkkOItSmN/rv1/7YTTYJ7ZNI3B77JVeVeaZOiwb3v0nsLh8P5PNlhLUy6eRmItDCefM6rMDBmFW/BQ==" saltValue="M7E9qZOUYU5VkMNPyxE0r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10" t="s">
        <v>183</v>
      </c>
      <c r="C8" s="111"/>
      <c r="D8" s="111"/>
      <c r="E8" s="111"/>
      <c r="F8" s="112"/>
      <c r="G8" s="1"/>
    </row>
    <row r="9" spans="1:7" x14ac:dyDescent="0.25">
      <c r="A9" s="1"/>
      <c r="B9" s="31" t="s">
        <v>18</v>
      </c>
      <c r="C9" s="130" t="s">
        <v>11</v>
      </c>
      <c r="D9" s="131"/>
      <c r="E9" s="130" t="s">
        <v>27</v>
      </c>
      <c r="F9" s="131"/>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9"/>
      <c r="C14" s="129"/>
      <c r="D14" s="129"/>
      <c r="E14" s="129"/>
      <c r="F14" s="129"/>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9"/>
      <c r="C21" s="129"/>
      <c r="D21" s="129"/>
      <c r="E21" s="129"/>
      <c r="F21" s="129"/>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9"/>
      <c r="C27" s="129"/>
      <c r="D27" s="129"/>
      <c r="E27" s="129"/>
      <c r="F27" s="129"/>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gZpDyQAIb5C91SyAHB08iBatiXwLJ6BSTYCT3OVi4FEsawTFzw+lKip7xD1I2oVu9ZVus+gL3lFuf4pCcOcNg==" saltValue="WBBr1fRMWLHHnysvEUhVp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155</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67612741.040744439</v>
      </c>
      <c r="D9" s="8" t="s">
        <v>3</v>
      </c>
      <c r="E9" s="1"/>
    </row>
    <row r="10" spans="1:5" ht="17.25" customHeight="1" x14ac:dyDescent="0.25">
      <c r="A10" s="1"/>
      <c r="B10" s="64" t="s">
        <v>35</v>
      </c>
      <c r="C10" s="7">
        <f>'Fane 11.1. Varige tillæg'!C20</f>
        <v>1636095.5321</v>
      </c>
      <c r="D10" s="8" t="s">
        <v>3</v>
      </c>
      <c r="E10" s="1"/>
    </row>
    <row r="11" spans="1:5" ht="17.25" customHeight="1" x14ac:dyDescent="0.25">
      <c r="A11" s="1"/>
      <c r="B11" s="64" t="s">
        <v>36</v>
      </c>
      <c r="C11" s="9">
        <f>'Fane 11.1. Varige tillæg'!E20</f>
        <v>3257.5464999999999</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5571798.58520333</v>
      </c>
      <c r="D16" s="8" t="s">
        <v>3</v>
      </c>
      <c r="E16" s="1"/>
    </row>
    <row r="17" spans="1:5" ht="17.25" customHeight="1" x14ac:dyDescent="0.25">
      <c r="A17" s="1"/>
      <c r="B17" s="64" t="s">
        <v>10</v>
      </c>
      <c r="C17" s="38">
        <f>-SUM(C9,C10:C16)*'Fane 5. Individuelt eff. krav'!C9</f>
        <v>-347554.19632464333</v>
      </c>
      <c r="D17" s="8" t="s">
        <v>3</v>
      </c>
      <c r="E17" s="1"/>
    </row>
    <row r="18" spans="1:5" ht="17.25" customHeight="1" x14ac:dyDescent="0.25">
      <c r="A18" s="1"/>
      <c r="B18" s="64" t="s">
        <v>22</v>
      </c>
      <c r="C18" s="38">
        <f>-'Fane 4.1. Gen. krav - drift'!C17</f>
        <v>-350944.47618643788</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74125394.032036692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24906073.645756092</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101722.63670531948</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1034203.32065417</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-25487.902339737757</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1008715.4183144323</v>
      </c>
      <c r="D30" s="11" t="s">
        <v>3</v>
      </c>
      <c r="E30" s="1"/>
    </row>
    <row r="31" spans="1:5" x14ac:dyDescent="0.25">
      <c r="A31" s="1"/>
      <c r="B31" s="33" t="s">
        <v>69</v>
      </c>
      <c r="C31" s="28"/>
      <c r="D31" s="19"/>
      <c r="E31" s="1"/>
    </row>
    <row r="32" spans="1:5" x14ac:dyDescent="0.25">
      <c r="A32" s="1"/>
      <c r="B32" s="31" t="s">
        <v>79</v>
      </c>
      <c r="C32" s="62">
        <f>'Fane 7. Kontrol af ØR2023'!C27</f>
        <v>-9675723.5</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90466182.232812539</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QsfMPmNOLyBk+erH1AJoXYTeWnBN7bTOwraSFqX/1Xtokkqdq1xBcPc0NEwoJ4pw0c0OaQGxr0Tf0Uz3qmpeA==" saltValue="vKRyLC1gGY5DBZX9HiuQp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uyM0u+gTeh5T+JAPIgGXJceFmW2J8StXlFigFlRQ9h2hiqBVQNlCFs7wwEUTsD47Idmebr1AUf80CCjMZ1yXEA==" saltValue="1wa63J6czLHpBxVZvdCda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156</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74125394.032036692</v>
      </c>
      <c r="D9" s="8" t="s">
        <v>3</v>
      </c>
      <c r="E9" s="1"/>
    </row>
    <row r="10" spans="1:5" ht="15" customHeight="1" x14ac:dyDescent="0.25">
      <c r="A10" s="1"/>
      <c r="B10" s="26" t="s">
        <v>19</v>
      </c>
      <c r="C10" s="7">
        <f>C9*'Fane 15. Nøgletal'!C10</f>
        <v>4914513.6243240321</v>
      </c>
      <c r="D10" s="8" t="s">
        <v>3</v>
      </c>
      <c r="E10" s="1"/>
    </row>
    <row r="11" spans="1:5" ht="15" customHeight="1" x14ac:dyDescent="0.25">
      <c r="A11" s="1"/>
      <c r="B11" s="26" t="s">
        <v>10</v>
      </c>
      <c r="C11" s="9">
        <f>-SUM(C9:C10)*'Fane 5. Individuelt eff. krav'!C9</f>
        <v>-367137.42883642862</v>
      </c>
      <c r="D11" s="8" t="s">
        <v>3</v>
      </c>
      <c r="E11" s="1"/>
    </row>
    <row r="12" spans="1:5" ht="15" customHeight="1" x14ac:dyDescent="0.25">
      <c r="A12" s="1"/>
      <c r="B12" s="26" t="s">
        <v>22</v>
      </c>
      <c r="C12" s="9">
        <f>-'Fane 4.1. Gen. krav - drift'!C22</f>
        <v>-366727.85305844672</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78306042.374465853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26557346.32846972</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101160.71031304235</v>
      </c>
      <c r="D18" s="11" t="s">
        <v>3</v>
      </c>
      <c r="E18" s="1"/>
    </row>
    <row r="19" spans="1:5" x14ac:dyDescent="0.25">
      <c r="A19" s="1"/>
      <c r="B19" s="33" t="s">
        <v>69</v>
      </c>
      <c r="C19" s="28"/>
      <c r="D19" s="19"/>
      <c r="E19" s="1"/>
    </row>
    <row r="20" spans="1:5" ht="15" customHeight="1" x14ac:dyDescent="0.25">
      <c r="A20" s="1"/>
      <c r="B20" s="31" t="s">
        <v>79</v>
      </c>
      <c r="C20" s="10">
        <f>'Fane 7. Kontrol af ØR2023'!C33</f>
        <v>-2320452.3140794188</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102644097.09916919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sRym3kJnEUmd//4m0gSPIg4zlzE4JcOhWOtrbrWEBjkMhEWdD6FNkJ5rtQdK2tl5oKxeK4qDpMDWWLe2y1INQ==" saltValue="juYofFowp7KFOvv3PB8oL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157</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78306042.374465853</v>
      </c>
      <c r="D9" s="8" t="s">
        <v>3</v>
      </c>
      <c r="E9" s="1"/>
    </row>
    <row r="10" spans="1:5" ht="15" customHeight="1" x14ac:dyDescent="0.25">
      <c r="A10" s="1"/>
      <c r="B10" s="26" t="s">
        <v>19</v>
      </c>
      <c r="C10" s="7">
        <f>SUM(C9:C9)*'Fane 15. Nøgletal'!C10</f>
        <v>5191690.6094270861</v>
      </c>
      <c r="D10" s="8" t="s">
        <v>3</v>
      </c>
      <c r="E10" s="1"/>
    </row>
    <row r="11" spans="1:5" ht="15" customHeight="1" x14ac:dyDescent="0.25">
      <c r="A11" s="1"/>
      <c r="B11" s="26" t="s">
        <v>10</v>
      </c>
      <c r="C11" s="9">
        <f>-SUM(C9:C10)*'Fane 5. Individuelt eff. krav'!C9</f>
        <v>-387843.86154214008</v>
      </c>
      <c r="D11" s="8" t="s">
        <v>3</v>
      </c>
      <c r="E11" s="1"/>
    </row>
    <row r="12" spans="1:5" ht="15" customHeight="1" x14ac:dyDescent="0.25">
      <c r="A12" s="1"/>
      <c r="B12" s="26" t="s">
        <v>22</v>
      </c>
      <c r="C12" s="9">
        <f>-'Fane 4.1. Gen. krav - drift'!C27</f>
        <v>-383221.07152189733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82726668.050828904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28318098.390047263</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107867.66540679704</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-2320452.3140794188</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108832181.79220355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C3rlZkFMLQ3P6ICeirAm04Eeh312RAHm71mHcBGdQ7QgOoMC7iBrQuaHYK+/NkKDaX/eaVH+2tmloGpmmK5w==" saltValue="6onbnZezhZUeZjn2oq06R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158</v>
      </c>
      <c r="C3" s="106"/>
      <c r="D3" s="106"/>
      <c r="E3" s="1"/>
    </row>
    <row r="4" spans="1:5" ht="15" customHeight="1" x14ac:dyDescent="0.25">
      <c r="A4" s="1"/>
      <c r="B4" s="106"/>
      <c r="C4" s="106"/>
      <c r="D4" s="106"/>
      <c r="E4" s="1"/>
    </row>
    <row r="5" spans="1:5" x14ac:dyDescent="0.25">
      <c r="A5" s="1"/>
      <c r="B5" s="107" t="s">
        <v>144</v>
      </c>
      <c r="C5" s="107"/>
      <c r="D5" s="107"/>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82726668.050828904</v>
      </c>
      <c r="D9" s="8" t="s">
        <v>3</v>
      </c>
      <c r="E9" s="1"/>
    </row>
    <row r="10" spans="1:5" ht="15" customHeight="1" x14ac:dyDescent="0.25">
      <c r="A10" s="1"/>
      <c r="B10" s="26" t="s">
        <v>19</v>
      </c>
      <c r="C10" s="7">
        <f>SUM(C9:C9)*'Fane 15. Nøgletal'!C10</f>
        <v>5484778.0917699561</v>
      </c>
      <c r="D10" s="8" t="s">
        <v>3</v>
      </c>
      <c r="E10" s="1"/>
    </row>
    <row r="11" spans="1:5" ht="15" customHeight="1" x14ac:dyDescent="0.25">
      <c r="A11" s="1"/>
      <c r="B11" s="26" t="s">
        <v>10</v>
      </c>
      <c r="C11" s="9">
        <f>-SUM(C9:C10)*'Fane 5. Individuelt eff. krav'!C9</f>
        <v>-409738.88369833649</v>
      </c>
      <c r="D11" s="8" t="s">
        <v>3</v>
      </c>
      <c r="E11" s="1"/>
    </row>
    <row r="12" spans="1:5" ht="15" customHeight="1" x14ac:dyDescent="0.25">
      <c r="A12" s="1"/>
      <c r="B12" s="26" t="s">
        <v>22</v>
      </c>
      <c r="C12" s="9">
        <f>-'Fane 4.1. Gen. krav - drift'!C32</f>
        <v>-400456.05599252315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87401251.202908009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30195588.313307401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115019.29162326768</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117711858.80783868</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6DKaYtm6culWqxrxyoRZDcf1hnVbNcFYYsf/ZciFwQnyPyQTJJlcaBWiNDjKM1c29XSMB8LLENaBi0Ajrm8Rg==" saltValue="yuCqOiC0r+1QbUG/F2K9H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62659223.479734205</v>
      </c>
      <c r="D9" s="8" t="s">
        <v>3</v>
      </c>
      <c r="E9" s="1"/>
    </row>
    <row r="10" spans="1:5" ht="15" customHeight="1" x14ac:dyDescent="0.25">
      <c r="A10" s="1"/>
      <c r="B10" s="64" t="s">
        <v>35</v>
      </c>
      <c r="C10" s="7">
        <v>468136.6312</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5100690.6969634835</v>
      </c>
      <c r="D16" s="8" t="s">
        <v>3</v>
      </c>
      <c r="E16" s="1"/>
    </row>
    <row r="17" spans="1:5" ht="15" customHeight="1" x14ac:dyDescent="0.25">
      <c r="A17" s="1"/>
      <c r="B17" s="64" t="s">
        <v>10</v>
      </c>
      <c r="C17" s="38">
        <v>-316916.75624214811</v>
      </c>
      <c r="D17" s="8" t="s">
        <v>3</v>
      </c>
      <c r="E17" s="1"/>
    </row>
    <row r="18" spans="1:5" ht="15" customHeight="1" x14ac:dyDescent="0.25">
      <c r="A18" s="1"/>
      <c r="B18" s="64" t="s">
        <v>22</v>
      </c>
      <c r="C18" s="38">
        <v>-298393.01091111015</v>
      </c>
      <c r="D18" s="8" t="s">
        <v>3</v>
      </c>
      <c r="E18" s="1"/>
    </row>
    <row r="19" spans="1:5" ht="15" customHeight="1" x14ac:dyDescent="0.25">
      <c r="A19" s="1"/>
      <c r="B19" s="64" t="s">
        <v>23</v>
      </c>
      <c r="C19" s="38">
        <v>0</v>
      </c>
      <c r="D19" s="8" t="s">
        <v>3</v>
      </c>
      <c r="E19" s="43"/>
    </row>
    <row r="20" spans="1:5" ht="15" customHeight="1" x14ac:dyDescent="0.25">
      <c r="A20" s="1"/>
      <c r="B20" s="83" t="s">
        <v>21</v>
      </c>
      <c r="C20" s="10">
        <v>67612741.040744439</v>
      </c>
      <c r="D20" s="11" t="s">
        <v>3</v>
      </c>
      <c r="E20" s="1"/>
    </row>
    <row r="21" spans="1:5" ht="15" customHeight="1" x14ac:dyDescent="0.25">
      <c r="A21" s="1"/>
      <c r="B21" s="33" t="s">
        <v>12</v>
      </c>
      <c r="C21" s="28"/>
      <c r="D21" s="19"/>
      <c r="E21" s="1"/>
    </row>
    <row r="22" spans="1:5" ht="15" customHeight="1" x14ac:dyDescent="0.25">
      <c r="A22" s="1"/>
      <c r="B22" s="31" t="s">
        <v>12</v>
      </c>
      <c r="C22" s="10">
        <v>26105920.574782718</v>
      </c>
      <c r="D22" s="11" t="s">
        <v>3</v>
      </c>
      <c r="E22" s="1"/>
    </row>
    <row r="23" spans="1:5" ht="15" customHeight="1" x14ac:dyDescent="0.25">
      <c r="A23" s="1"/>
      <c r="B23" s="33" t="s">
        <v>42</v>
      </c>
      <c r="C23" s="28"/>
      <c r="D23" s="19"/>
      <c r="E23" s="1"/>
    </row>
    <row r="24" spans="1:5" ht="15" customHeight="1" x14ac:dyDescent="0.25">
      <c r="A24" s="1"/>
      <c r="B24" s="83" t="s">
        <v>42</v>
      </c>
      <c r="C24" s="10">
        <v>94117.909608918824</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-9675723.5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84137056.025136083</v>
      </c>
      <c r="D37" s="30" t="s">
        <v>3</v>
      </c>
      <c r="E37" s="1"/>
    </row>
    <row r="38" spans="1:5" ht="30" customHeight="1" x14ac:dyDescent="0.25">
      <c r="A38" s="1"/>
      <c r="B38" s="109" t="s">
        <v>223</v>
      </c>
      <c r="C38" s="109"/>
      <c r="D38" s="109"/>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1F4gs8/Z17dNX2AbVr+SzLpMEx6SpuHoSuBkEfD3r4xOInp/0CH1A6XOdy8akKGnUbCqLixBC96WraLBmpo2Gw==" saltValue="2MpPl28c2u6yoj4kCcxkb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10" t="s">
        <v>123</v>
      </c>
      <c r="C8" s="111"/>
      <c r="D8" s="112"/>
      <c r="E8" s="1"/>
    </row>
    <row r="9" spans="1:5" x14ac:dyDescent="0.25">
      <c r="A9" s="1"/>
      <c r="B9" s="65" t="s">
        <v>88</v>
      </c>
      <c r="C9" s="23">
        <v>14413688.474554548</v>
      </c>
      <c r="D9" s="14" t="s">
        <v>3</v>
      </c>
      <c r="E9" s="1"/>
    </row>
    <row r="10" spans="1:5" x14ac:dyDescent="0.25">
      <c r="A10" s="1"/>
      <c r="B10" s="65" t="s">
        <v>125</v>
      </c>
      <c r="C10" s="23">
        <f>('Fane 3. Omkostninger i ØR2024'!C10+'Fane 3. Omkostninger i ØR2024'!C12+'Fane 3. Omkostninger i ØR2024'!C14)*(1+'Fane 15. Nøgletal'!C9)</f>
        <v>505962.07100096002</v>
      </c>
      <c r="D10" s="14" t="s">
        <v>3</v>
      </c>
      <c r="E10" s="1"/>
    </row>
    <row r="11" spans="1:5" x14ac:dyDescent="0.25">
      <c r="A11" s="1"/>
      <c r="B11" s="65" t="s">
        <v>131</v>
      </c>
      <c r="C11" s="23">
        <f>C9*'Fane 15. Nøgletal'!C21+C10*'Fane 15. Nøgletal'!C21</f>
        <v>298393.01091111015</v>
      </c>
      <c r="D11" s="14" t="s">
        <v>3</v>
      </c>
      <c r="E11" s="1"/>
    </row>
    <row r="12" spans="1:5" x14ac:dyDescent="0.25">
      <c r="A12" s="1"/>
      <c r="B12" s="33"/>
      <c r="C12" s="28"/>
      <c r="D12" s="19"/>
      <c r="E12" s="1"/>
    </row>
    <row r="13" spans="1:5" x14ac:dyDescent="0.25">
      <c r="A13" s="1"/>
      <c r="B13" s="1"/>
      <c r="C13" s="1"/>
      <c r="D13" s="1"/>
      <c r="E13" s="1"/>
    </row>
    <row r="14" spans="1:5" x14ac:dyDescent="0.25">
      <c r="A14" s="1"/>
      <c r="B14" s="110" t="s">
        <v>124</v>
      </c>
      <c r="C14" s="111"/>
      <c r="D14" s="112"/>
      <c r="E14" s="1"/>
    </row>
    <row r="15" spans="1:5" x14ac:dyDescent="0.25">
      <c r="A15" s="1"/>
      <c r="B15" s="65" t="s">
        <v>133</v>
      </c>
      <c r="C15" s="23">
        <f>(C9+C10-C11)*(1+'Fane 15. Nøgletal'!C9)</f>
        <v>15802655.143443665</v>
      </c>
      <c r="D15" s="14" t="s">
        <v>3</v>
      </c>
      <c r="E15" s="1"/>
    </row>
    <row r="16" spans="1:5" x14ac:dyDescent="0.25">
      <c r="A16" s="1"/>
      <c r="B16" s="65" t="s">
        <v>184</v>
      </c>
      <c r="C16" s="23">
        <f>('Fane 2.1. Økonomisk ramme 2025'!C10+'Fane 2.1. Økonomisk ramme 2025'!C12+'Fane 2.1. Økonomisk ramme 2025'!C14)*(1+'Fane 15. Nøgletal'!C10)</f>
        <v>1744568.66587823</v>
      </c>
      <c r="D16" s="14" t="s">
        <v>3</v>
      </c>
      <c r="E16" s="1"/>
    </row>
    <row r="17" spans="1:5" x14ac:dyDescent="0.25">
      <c r="A17" s="1"/>
      <c r="B17" s="65" t="s">
        <v>132</v>
      </c>
      <c r="C17" s="23">
        <f>C15*'Fane 15. Nøgletal'!C21+C16*'Fane 15. Nøgletal'!C21</f>
        <v>350944.47618643788</v>
      </c>
      <c r="D17" s="14" t="s">
        <v>3</v>
      </c>
      <c r="E17" s="1"/>
    </row>
    <row r="18" spans="1:5" x14ac:dyDescent="0.25">
      <c r="A18" s="1"/>
      <c r="B18" s="33"/>
      <c r="C18" s="28"/>
      <c r="D18" s="19"/>
      <c r="E18" s="1"/>
    </row>
    <row r="19" spans="1:5" x14ac:dyDescent="0.25">
      <c r="A19" s="1"/>
      <c r="B19" s="1"/>
      <c r="C19" s="63"/>
      <c r="D19" s="1"/>
      <c r="E19" s="1"/>
    </row>
    <row r="20" spans="1:5" x14ac:dyDescent="0.25">
      <c r="A20" s="1"/>
      <c r="B20" s="110" t="s">
        <v>145</v>
      </c>
      <c r="C20" s="111"/>
      <c r="D20" s="112"/>
      <c r="E20" s="1"/>
    </row>
    <row r="21" spans="1:5" x14ac:dyDescent="0.25">
      <c r="A21" s="1"/>
      <c r="B21" s="65" t="s">
        <v>189</v>
      </c>
      <c r="C21" s="23">
        <f>(C15+C16-C17)*(1+'Fane 15. Nøgletal'!C10)</f>
        <v>18336392.652922336</v>
      </c>
      <c r="D21" s="14" t="s">
        <v>3</v>
      </c>
      <c r="E21" s="1"/>
    </row>
    <row r="22" spans="1:5" x14ac:dyDescent="0.25">
      <c r="A22" s="1"/>
      <c r="B22" s="65" t="s">
        <v>196</v>
      </c>
      <c r="C22" s="23">
        <f>C21*'Fane 15. Nøgletal'!C21</f>
        <v>366727.85305844672</v>
      </c>
      <c r="D22" s="14" t="s">
        <v>3</v>
      </c>
      <c r="E22" s="1"/>
    </row>
    <row r="23" spans="1:5" x14ac:dyDescent="0.25">
      <c r="A23" s="1"/>
      <c r="B23" s="33"/>
      <c r="C23" s="28"/>
      <c r="D23" s="19"/>
      <c r="E23" s="1"/>
    </row>
    <row r="24" spans="1:5" x14ac:dyDescent="0.25">
      <c r="A24" s="1"/>
      <c r="B24" s="1"/>
      <c r="C24" s="1"/>
      <c r="D24" s="1"/>
      <c r="E24" s="1"/>
    </row>
    <row r="25" spans="1:5" x14ac:dyDescent="0.25">
      <c r="A25" s="1"/>
      <c r="B25" s="110" t="s">
        <v>187</v>
      </c>
      <c r="C25" s="111"/>
      <c r="D25" s="112"/>
      <c r="E25" s="1"/>
    </row>
    <row r="26" spans="1:5" x14ac:dyDescent="0.25">
      <c r="A26" s="1"/>
      <c r="B26" s="65" t="s">
        <v>190</v>
      </c>
      <c r="C26" s="23">
        <f>(C21-C22)*(1+'Fane 15. Nøgletal'!C10)</f>
        <v>19161053.576094866</v>
      </c>
      <c r="D26" s="14" t="s">
        <v>3</v>
      </c>
      <c r="E26" s="1"/>
    </row>
    <row r="27" spans="1:5" x14ac:dyDescent="0.25">
      <c r="A27" s="1"/>
      <c r="B27" s="65" t="s">
        <v>194</v>
      </c>
      <c r="C27" s="23">
        <f>C26*'Fane 15. Nøgletal'!C21</f>
        <v>383221.07152189733</v>
      </c>
      <c r="D27" s="14" t="s">
        <v>3</v>
      </c>
      <c r="E27" s="1"/>
    </row>
    <row r="28" spans="1:5" x14ac:dyDescent="0.25">
      <c r="A28" s="1"/>
      <c r="B28" s="33"/>
      <c r="C28" s="28"/>
      <c r="D28" s="19"/>
      <c r="E28" s="1"/>
    </row>
    <row r="29" spans="1:5" x14ac:dyDescent="0.25">
      <c r="A29" s="1"/>
      <c r="B29" s="1"/>
      <c r="C29" s="1"/>
      <c r="D29" s="1"/>
      <c r="E29" s="1"/>
    </row>
    <row r="30" spans="1:5" x14ac:dyDescent="0.25">
      <c r="A30" s="1"/>
      <c r="B30" s="110" t="s">
        <v>188</v>
      </c>
      <c r="C30" s="111"/>
      <c r="D30" s="112"/>
      <c r="E30" s="1"/>
    </row>
    <row r="31" spans="1:5" x14ac:dyDescent="0.25">
      <c r="A31" s="1"/>
      <c r="B31" s="65" t="s">
        <v>191</v>
      </c>
      <c r="C31" s="23">
        <f>(C26-C27)*(1+'Fane 15. Nøgletal'!C10)</f>
        <v>20022802.799626157</v>
      </c>
      <c r="D31" s="14" t="s">
        <v>3</v>
      </c>
      <c r="E31" s="1"/>
    </row>
    <row r="32" spans="1:5" x14ac:dyDescent="0.25">
      <c r="A32" s="1"/>
      <c r="B32" s="65" t="s">
        <v>195</v>
      </c>
      <c r="C32" s="23">
        <f>C31*'Fane 15. Nøgletal'!C21</f>
        <v>400456.05599252315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eXMS+8YbTui7rQExvfMsIwsoUjzM/yav2Uee177W/GHJjbfXJbK27A0HIHtw7QtJNAOg+SixoYW49o7RuO2sQ==" saltValue="tEn0YV1/ISkQXr18s2byI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3" t="s">
        <v>57</v>
      </c>
      <c r="C3" s="113"/>
      <c r="D3" s="113"/>
      <c r="E3" s="1"/>
    </row>
    <row r="4" spans="1:5" ht="15" customHeight="1" x14ac:dyDescent="0.25">
      <c r="A4" s="1"/>
      <c r="B4" s="113"/>
      <c r="C4" s="113"/>
      <c r="D4" s="113"/>
      <c r="E4" s="1"/>
    </row>
    <row r="5" spans="1:5" ht="15" customHeight="1" x14ac:dyDescent="0.25">
      <c r="A5" s="1"/>
      <c r="B5" s="113"/>
      <c r="C5" s="113"/>
      <c r="D5" s="113"/>
      <c r="E5" s="1"/>
    </row>
    <row r="6" spans="1:5" ht="15" customHeight="1" x14ac:dyDescent="0.35">
      <c r="A6" s="1"/>
      <c r="B6" s="69"/>
      <c r="C6" s="69"/>
      <c r="D6" s="69"/>
      <c r="E6" s="1"/>
    </row>
    <row r="7" spans="1:5" x14ac:dyDescent="0.25">
      <c r="A7" s="1"/>
      <c r="B7" s="1"/>
      <c r="C7" s="1"/>
      <c r="D7" s="1"/>
      <c r="E7" s="1"/>
    </row>
    <row r="8" spans="1:5" x14ac:dyDescent="0.25">
      <c r="A8" s="1"/>
      <c r="B8" s="110" t="s">
        <v>147</v>
      </c>
      <c r="C8" s="111"/>
      <c r="D8" s="112"/>
      <c r="E8" s="1"/>
    </row>
    <row r="9" spans="1:5" x14ac:dyDescent="0.25">
      <c r="A9" s="1"/>
      <c r="B9" s="65" t="s">
        <v>134</v>
      </c>
      <c r="C9" s="23">
        <v>59655422.262538299</v>
      </c>
      <c r="D9" s="14" t="s">
        <v>3</v>
      </c>
      <c r="E9" s="1"/>
    </row>
    <row r="10" spans="1:5" x14ac:dyDescent="0.25">
      <c r="A10" s="1"/>
      <c r="B10" s="65" t="s">
        <v>126</v>
      </c>
      <c r="C10" s="84">
        <f>('Fane 3. Omkostninger i ØR2024'!C11+'Fane 3. Omkostninger i ØR2024'!C13+'Fane 3. Omkostninger i ØR2024'!C15)*(1+'Fane 15. Nøgletal'!C9)</f>
        <v>0</v>
      </c>
      <c r="D10" s="14" t="s">
        <v>3</v>
      </c>
      <c r="E10" s="1"/>
    </row>
    <row r="11" spans="1:5" x14ac:dyDescent="0.25">
      <c r="A11" s="1"/>
      <c r="B11" s="65" t="s">
        <v>135</v>
      </c>
      <c r="C11" s="8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10" t="s">
        <v>146</v>
      </c>
      <c r="C14" s="111"/>
      <c r="D14" s="112"/>
      <c r="E14" s="1"/>
    </row>
    <row r="15" spans="1:5" x14ac:dyDescent="0.25">
      <c r="A15" s="1"/>
      <c r="B15" s="65" t="s">
        <v>136</v>
      </c>
      <c r="C15" s="23">
        <f>(C9+C10-C11)*(1+'Fane 15. Nøgletal'!C9)</f>
        <v>64475580.381351389</v>
      </c>
      <c r="D15" s="14" t="s">
        <v>3</v>
      </c>
      <c r="E15" s="1"/>
    </row>
    <row r="16" spans="1:5" x14ac:dyDescent="0.25">
      <c r="A16" s="1"/>
      <c r="B16" s="65" t="s">
        <v>185</v>
      </c>
      <c r="C16" s="23">
        <f>('Fane 2.1. Økonomisk ramme 2025'!C11+'Fane 2.1. Økonomisk ramme 2025'!C13+'Fane 2.1. Økonomisk ramme 2025'!C15)*(1+'Fane 15. Nøgletal'!C10)</f>
        <v>3473.5218329499999</v>
      </c>
      <c r="D16" s="14" t="s">
        <v>3</v>
      </c>
      <c r="E16" s="1"/>
    </row>
    <row r="17" spans="1:5" x14ac:dyDescent="0.25">
      <c r="A17" s="1"/>
      <c r="B17" s="65" t="s">
        <v>137</v>
      </c>
      <c r="C17" s="8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10" t="s">
        <v>82</v>
      </c>
      <c r="C20" s="111"/>
      <c r="D20" s="112"/>
      <c r="E20" s="1"/>
    </row>
    <row r="21" spans="1:5" x14ac:dyDescent="0.25">
      <c r="A21" s="1"/>
      <c r="B21" s="65" t="s">
        <v>192</v>
      </c>
      <c r="C21" s="23">
        <f>(C15+C16-C17)*(1+'Fane 15. Nøgletal'!C10)</f>
        <v>68754015.17696546</v>
      </c>
      <c r="D21" s="14" t="s">
        <v>3</v>
      </c>
      <c r="E21" s="1"/>
    </row>
    <row r="22" spans="1:5" x14ac:dyDescent="0.25">
      <c r="A22" s="1"/>
      <c r="B22" s="65" t="s">
        <v>197</v>
      </c>
      <c r="C22" s="8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10" t="s">
        <v>138</v>
      </c>
      <c r="C25" s="111"/>
      <c r="D25" s="112"/>
      <c r="E25" s="1"/>
    </row>
    <row r="26" spans="1:5" x14ac:dyDescent="0.25">
      <c r="A26" s="1"/>
      <c r="B26" s="65" t="s">
        <v>193</v>
      </c>
      <c r="C26" s="23">
        <f>(C21-C22)*(1+'Fane 15. Nøgletal'!C10)</f>
        <v>73312406.383198276</v>
      </c>
      <c r="D26" s="14" t="s">
        <v>3</v>
      </c>
      <c r="E26" s="1"/>
    </row>
    <row r="27" spans="1:5" x14ac:dyDescent="0.25">
      <c r="A27" s="1"/>
      <c r="B27" s="65" t="s">
        <v>198</v>
      </c>
      <c r="C27" s="8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10" t="s">
        <v>163</v>
      </c>
      <c r="C30" s="111"/>
      <c r="D30" s="112"/>
      <c r="E30" s="1"/>
    </row>
    <row r="31" spans="1:5" x14ac:dyDescent="0.25">
      <c r="A31" s="1"/>
      <c r="B31" s="65" t="s">
        <v>200</v>
      </c>
      <c r="C31" s="23">
        <f>(C26-C27)*(1+'Fane 15. Nøgletal'!C10)</f>
        <v>78173018.926404327</v>
      </c>
      <c r="D31" s="14" t="s">
        <v>3</v>
      </c>
      <c r="E31" s="1"/>
    </row>
    <row r="32" spans="1:5" x14ac:dyDescent="0.25">
      <c r="A32" s="1"/>
      <c r="B32" s="65" t="s">
        <v>199</v>
      </c>
      <c r="C32" s="8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emCJQvxqIRGrLjOwSDyVVjvOzaKjNWliKJU8mi9lLs0EQUERtuZuRgwCbj9n9ek8YE9ifNnKwCLgdxg4B6k8Q==" saltValue="QZu8VKwtUccYW3HOrZ+0w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44</v>
      </c>
      <c r="C3" s="106"/>
      <c r="D3" s="1"/>
    </row>
    <row r="4" spans="1:4" ht="1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10" t="s">
        <v>10</v>
      </c>
      <c r="C8" s="112"/>
      <c r="D8" s="1"/>
    </row>
    <row r="9" spans="1:4" x14ac:dyDescent="0.25">
      <c r="A9" s="1"/>
      <c r="B9" s="65" t="s">
        <v>164</v>
      </c>
      <c r="C9" s="22">
        <v>4.6449627754199842E-3</v>
      </c>
      <c r="D9" s="1"/>
    </row>
    <row r="10" spans="1:4" x14ac:dyDescent="0.25">
      <c r="A10" s="1"/>
      <c r="B10" s="33"/>
      <c r="C10" s="19"/>
      <c r="D10" s="1"/>
    </row>
    <row r="11" spans="1:4" x14ac:dyDescent="0.25">
      <c r="A11" s="1"/>
      <c r="B11" s="114" t="s">
        <v>218</v>
      </c>
      <c r="C11" s="115"/>
      <c r="D11" s="1"/>
    </row>
    <row r="12" spans="1:4" x14ac:dyDescent="0.25">
      <c r="A12" s="1"/>
      <c r="B12" s="116"/>
      <c r="C12" s="117"/>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s17d25JokmdROzli5avkSCc7QKb4IVsjY7+FbUbQKozt1X7r65RKiS2m/G7UgmrMiQO7ofnFDcro8TBoZ9XCvA==" saltValue="g2O1pHiyzqGv2RwICB+AA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2024-08-16T14:02:33Z</dcterms:modified>
</cp:coreProperties>
</file>