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andmiljø Randers AS (S07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32" i="2" l="1"/>
  <c r="C26" i="15"/>
  <c r="C15" i="19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7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C23" i="22" s="1"/>
  <c r="E38" i="39"/>
  <c r="C22" i="23" s="1"/>
  <c r="E14" i="39"/>
  <c r="C27" i="2" s="1"/>
  <c r="C14" i="39"/>
  <c r="C26" i="2" s="1"/>
  <c r="C23" i="23" l="1"/>
  <c r="C24" i="15"/>
  <c r="C28" i="2"/>
  <c r="G27" i="36" l="1"/>
  <c r="G15" i="30"/>
  <c r="G19" i="30" l="1"/>
  <c r="G25" i="30" s="1"/>
  <c r="G21" i="30" l="1"/>
  <c r="G28" i="30"/>
  <c r="G32" i="30"/>
  <c r="F11" i="11" l="1"/>
  <c r="C10" i="37" s="1"/>
  <c r="C14" i="37" s="1"/>
  <c r="C15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4" i="37" s="1"/>
  <c r="E15" i="37" s="1"/>
  <c r="C11" i="2" s="1"/>
  <c r="G40" i="36" s="1"/>
  <c r="G40" i="30"/>
  <c r="G42" i="30" s="1"/>
  <c r="G46" i="30" s="1"/>
  <c r="G49" i="30" s="1"/>
  <c r="E22" i="27"/>
  <c r="E24" i="27" s="1"/>
  <c r="G41" i="36" l="1"/>
  <c r="C19" i="2" s="1"/>
  <c r="G46" i="36"/>
  <c r="C18" i="2"/>
  <c r="E35" i="27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<sst xmlns="http://schemas.openxmlformats.org/spreadsheetml/2006/main" count="723" uniqueCount="291">
  <si>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</si>
  <si>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</si>
  <si>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</si>
  <si>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</si>
  <si>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</si>
  <si>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</si>
  <si>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</si>
  <si>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</si>
  <si>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</si>
  <si>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</si>
  <si>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</si>
  <si>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</si>
  <si>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</si>
  <si>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</si>
  <si>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</si>
  <si>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</si>
  <si>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</si>
  <si>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</si>
  <si>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</si>
  <si>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</si>
  <si>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</si>
  <si>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</si>
  <si>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</si>
  <si>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</si>
  <si>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</si>
  <si>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</si>
  <si>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</si>
  <si>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</si>
  <si>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</si>
  <si>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</si>
  <si>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</si>
  <si>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</si>
  <si>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</si>
  <si>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</si>
  <si>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</si>
  <si>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</si>
  <si>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</si>
  <si>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</si>
  <si>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</si>
  <si>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</si>
  <si>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</si>
  <si>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</si>
  <si>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</si>
  <si>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</si>
  <si>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</si>
  <si>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</si>
  <si>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</si>
  <si>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</si>
  <si>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</si>
  <si>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</si>
  <si>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</si>
  <si>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</si>
  <si>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</si>
  <si>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</si>
  <si>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</si>
  <si>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</si>
  <si>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</si>
  <si>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</si>
  <si>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</si>
  <si>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</si>
  <si>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</si>
  <si>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</si>
  <si>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</si>
  <si>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</si>
  <si>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</si>
  <si>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</si>
  <si>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</si>
  <si>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</si>
  <si>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</si>
  <si>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</si>
  <si>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</si>
  <si>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</si>
  <si>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</si>
  <si>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</si>
  <si>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</si>
  <si>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</si>
  <si>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</si>
  <si>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</si>
  <si>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</si>
  <si>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</si>
  <si>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</si>
  <si>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</si>
  <si>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</si>
  <si>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</si>
  <si>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</si>
  <si>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</si>
  <si>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</si>
  <si>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</si>
  <si>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</si>
  <si>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</si>
  <si>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</si>
  <si>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</si>
  <si>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</si>
  <si>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</si>
  <si>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</si>
  <si>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</si>
  <si>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</si>
  <si>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</si>
  <si>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</si>
  <si>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</si>
  <si>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</si>
  <si>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</si>
  <si>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</si>
  <si>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</si>
  <si>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</si>
  <si>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</si>
  <si>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</si>
  <si>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</si>
  <si>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</si>
  <si>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</si>
  <si>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</si>
  <si>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</si>
  <si>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</si>
  <si>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</si>
  <si>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</si>
  <si>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</si>
  <si>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</si>
  <si>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</si>
  <si>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</si>
  <si>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</si>
  <si>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</si>
  <si>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</si>
  <si>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</si>
  <si>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</si>
  <si>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</si>
  <si>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</si>
  <si>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</si>
  <si>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</si>
  <si>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</si>
  <si>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</si>
  <si>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</si>
  <si>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</si>
  <si>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</si>
  <si>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</si>
  <si>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</si>
  <si>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</si>
  <si>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</si>
  <si>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</si>
  <si>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</si>
  <si>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</si>
  <si>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</si>
  <si>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</si>
  <si>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</si>
  <si>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</si>
  <si>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</si>
  <si>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</si>
  <si>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</si>
  <si>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</si>
  <si>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</si>
  <si>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</si>
  <si>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</si>
  <si>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</si>
  <si>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</si>
  <si>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</si>
  <si>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</si>
  <si>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</si>
  <si>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</si>
  <si>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</si>
  <si>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</si>
  <si>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</si>
  <si>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</si>
  <si>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</si>
  <si>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</si>
  <si>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</si>
  <si>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</si>
  <si>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</si>
  <si>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</si>
  <si>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</si>
  <si>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</si>
  <si>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</si>
  <si>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</si>
  <si>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</si>
  <si>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</si>
  <si>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</si>
  <si>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</si>
  <si>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</si>
  <si>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</si>
  <si>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</si>
  <si>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</si>
  <si>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</si>
  <si>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</si>
  <si>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</si>
  <si>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</si>
  <si>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</si>
  <si>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</si>
  <si>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</si>
  <si>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</si>
  <si>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</si>
  <si>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</si>
  <si>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</si>
  <si>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</si>
  <si>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</si>
  <si>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</si>
  <si>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</si>
  <si>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</si>
  <si>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</si>
  <si>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</si>
  <si>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</si>
  <si>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</si>
  <si>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</si>
  <si>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</si>
  <si>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</si>
  <si>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</si>
  <si>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</si>
  <si>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</si>
  <si>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</si>
  <si>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</si>
  <si>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</si>
  <si>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</si>
  <si>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</si>
  <si>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</si>
  <si>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</si>
  <si>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</si>
  <si>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</si>
  <si>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</si>
  <si>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</si>
  <si>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</si>
  <si>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</si>
  <si>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</si>
  <si>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</si>
  <si>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</si>
  <si>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</si>
  <si>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</si>
  <si>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</si>
  <si>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</si>
  <si>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</si>
  <si>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</si>
  <si>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</si>
  <si>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</si>
  <si>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</si>
  <si>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</si>
  <si>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</si>
  <si>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</si>
  <si>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</si>
  <si>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</si>
  <si>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</si>
  <si>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</si>
  <si>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</si>
  <si>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</si>
  <si>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</si>
  <si>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</si>
  <si>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</si>
  <si>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</si>
  <si>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</si>
  <si>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</si>
  <si>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</si>
  <si>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</si>
  <si>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</si>
  <si>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</si>
  <si>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</si>
  <si>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</si>
  <si>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</si>
  <si>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</si>
  <si>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</si>
  <si>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</si>
  <si>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</si>
  <si>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</si>
  <si>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</si>
  <si>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</si>
  <si>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</si>
  <si>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</si>
  <si>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</si>
  <si>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</si>
  <si>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</si>
  <si>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</si>
  <si>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</si>
  <si>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</si>
  <si>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</si>
  <si>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</si>
  <si>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</si>
  <si>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</si>
  <si>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</si>
  <si>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</si>
  <si>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</si>
  <si>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</si>
  <si>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</si>
  <si>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</si>
  <si>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</si>
  <si>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</si>
  <si>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</si>
  <si>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</si>
  <si>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</si>
  <si>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</si>
  <si>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</si>
  <si>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</si>
  <si>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Oprensning af bassiner</t>
  </si>
  <si>
    <t>Byggemodninger 2020</t>
  </si>
  <si>
    <t>Ingen anlægsprojekter</t>
  </si>
  <si>
    <t>Kloaksepareringer 2019 og 2020</t>
  </si>
  <si>
    <t>Ingen engangstillæg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</si>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</sst>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8" borderId="1" xfId="1" applyNumberFormat="1" applyFont="1" applyFill="1" applyBorder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70" t="s">
        <v>174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175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17</v>
      </c>
      <c r="D14" s="71" t="s">
        <v>176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37</v>
      </c>
      <c r="D15" s="71" t="s">
        <v>136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38</v>
      </c>
      <c r="D16" s="71" t="s">
        <v>177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132</v>
      </c>
      <c r="D17" s="71" t="s">
        <v>178</v>
      </c>
      <c r="E17" s="72"/>
      <c r="F17" s="72"/>
      <c r="G17" s="73"/>
      <c r="H17" s="1"/>
      <c r="I17" s="1"/>
    </row>
    <row r="18" spans="1:9" x14ac:dyDescent="0.25">
      <c r="A18" s="1"/>
      <c r="B18" s="1"/>
      <c r="C18" s="6" t="s">
        <v>110</v>
      </c>
      <c r="D18" s="74" t="s">
        <v>94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111</v>
      </c>
      <c r="D19" s="74" t="s">
        <v>95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112</v>
      </c>
      <c r="D21" s="80" t="s">
        <v>13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75</v>
      </c>
      <c r="D22" s="66" t="s">
        <v>179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8</v>
      </c>
      <c r="D23" s="66" t="s">
        <v>180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9</v>
      </c>
      <c r="D24" s="66" t="s">
        <v>39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113</v>
      </c>
      <c r="D25" s="66" t="s">
        <v>76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114</v>
      </c>
      <c r="D26" s="66" t="s">
        <v>77</v>
      </c>
      <c r="E26" s="67"/>
      <c r="F26" s="67"/>
      <c r="G26" s="68"/>
      <c r="H26" s="1"/>
      <c r="I26" s="1"/>
    </row>
    <row r="27" spans="1:9" x14ac:dyDescent="0.25">
      <c r="A27" s="1"/>
      <c r="B27" s="1"/>
      <c r="C27" s="6" t="s">
        <v>115</v>
      </c>
      <c r="D27" s="66" t="s">
        <v>78</v>
      </c>
      <c r="E27" s="67"/>
      <c r="F27" s="67"/>
      <c r="G27" s="68"/>
      <c r="H27" s="1"/>
      <c r="I27" s="1"/>
    </row>
    <row r="28" spans="1:9" x14ac:dyDescent="0.25">
      <c r="A28" s="1"/>
      <c r="B28" s="1"/>
      <c r="C28" s="6" t="s">
        <v>16</v>
      </c>
      <c r="D28" s="66" t="s">
        <v>135</v>
      </c>
      <c r="E28" s="67"/>
      <c r="F28" s="67"/>
      <c r="G28" s="68"/>
      <c r="H28" s="1"/>
      <c r="I28" s="1"/>
    </row>
    <row r="29" spans="1:9" x14ac:dyDescent="0.25">
      <c r="A29" s="1"/>
      <c r="B29" s="1"/>
      <c r="C29" s="6" t="s">
        <v>41</v>
      </c>
      <c r="D29" s="66" t="s">
        <v>40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42</v>
      </c>
      <c r="D30" s="77" t="s">
        <v>108</v>
      </c>
      <c r="E30" s="78"/>
      <c r="F30" s="78"/>
      <c r="G30" s="7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pxQTDV3j8if4jYKfowbTbVxw2WYq13AClXp63a8BouuzyYleKd1ock12Nl+s6Uv50ZJSwU9j7heyTKG5eSt6Q==" saltValue="p6pN/+jtyBgA059P3T9Eg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3" t="s">
        <v>119</v>
      </c>
      <c r="C3" s="83"/>
      <c r="D3" s="83"/>
      <c r="E3" s="1"/>
      <c r="F3" s="1"/>
    </row>
    <row r="4" spans="1:6" ht="15" customHeight="1" x14ac:dyDescent="0.25">
      <c r="A4" s="1"/>
      <c r="B4" s="83"/>
      <c r="C4" s="83"/>
      <c r="D4" s="8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197</v>
      </c>
      <c r="C8" s="114"/>
      <c r="D8" s="115"/>
      <c r="E8" s="1"/>
      <c r="F8" s="1"/>
    </row>
    <row r="9" spans="1:6" ht="15" customHeight="1" x14ac:dyDescent="0.25">
      <c r="A9" s="1"/>
      <c r="B9" s="45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60" t="s">
        <v>267</v>
      </c>
      <c r="C10" s="9">
        <v>3331227</v>
      </c>
      <c r="D10" s="14" t="s">
        <v>3</v>
      </c>
      <c r="E10" s="1"/>
      <c r="F10" s="1"/>
    </row>
    <row r="11" spans="1:6" ht="15" customHeight="1" x14ac:dyDescent="0.25">
      <c r="A11" s="1"/>
      <c r="B11" s="60" t="s">
        <v>268</v>
      </c>
      <c r="C11" s="9">
        <v>142462</v>
      </c>
      <c r="D11" s="14" t="s">
        <v>3</v>
      </c>
      <c r="E11" s="1"/>
      <c r="F11" s="1"/>
    </row>
    <row r="12" spans="1:6" x14ac:dyDescent="0.25">
      <c r="A12" s="1"/>
      <c r="B12" s="60" t="s">
        <v>269</v>
      </c>
      <c r="C12" s="9">
        <v>189499</v>
      </c>
      <c r="D12" s="14" t="s">
        <v>3</v>
      </c>
      <c r="E12" s="1"/>
      <c r="F12" s="1"/>
    </row>
    <row r="13" spans="1:6" x14ac:dyDescent="0.25">
      <c r="A13" s="1"/>
      <c r="B13" s="60" t="s">
        <v>270</v>
      </c>
      <c r="C13" s="9">
        <v>650157</v>
      </c>
      <c r="D13" s="14" t="s">
        <v>3</v>
      </c>
      <c r="E13" s="1"/>
      <c r="F13" s="1"/>
    </row>
    <row r="14" spans="1:6" x14ac:dyDescent="0.25">
      <c r="A14" s="1"/>
      <c r="B14" s="60" t="s">
        <v>271</v>
      </c>
      <c r="C14" s="9">
        <v>14639</v>
      </c>
      <c r="D14" s="14" t="s">
        <v>3</v>
      </c>
      <c r="E14" s="1"/>
      <c r="F14" s="1"/>
    </row>
    <row r="15" spans="1:6" x14ac:dyDescent="0.25">
      <c r="A15" s="1"/>
      <c r="B15" s="35" t="s">
        <v>199</v>
      </c>
      <c r="C15" s="12">
        <f>SUM(C10:C14)</f>
        <v>4327984</v>
      </c>
      <c r="D15" s="13" t="s">
        <v>3</v>
      </c>
      <c r="E15" s="1"/>
      <c r="F15" s="1"/>
    </row>
    <row r="16" spans="1:6" x14ac:dyDescent="0.25">
      <c r="A16" s="1"/>
      <c r="B16" s="35" t="s">
        <v>200</v>
      </c>
      <c r="C16" s="12">
        <f>C15*(1+'Fane 14. Nøgletal'!C14)^2</f>
        <v>4356595.8261457607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13" t="s">
        <v>128</v>
      </c>
      <c r="C19" s="114"/>
      <c r="D19" s="115"/>
      <c r="E19" s="1"/>
      <c r="F19" s="1"/>
    </row>
    <row r="20" spans="1:6" x14ac:dyDescent="0.25">
      <c r="A20" s="1"/>
      <c r="B20" s="60" t="s">
        <v>100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0" t="s">
        <v>101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0" t="s">
        <v>141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0" t="s">
        <v>201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113"/>
      <c r="C24" s="114"/>
      <c r="D24" s="11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13" t="s">
        <v>99</v>
      </c>
      <c r="C27" s="114"/>
      <c r="D27" s="115"/>
      <c r="E27" s="1"/>
      <c r="F27" s="1"/>
    </row>
    <row r="28" spans="1:6" x14ac:dyDescent="0.25">
      <c r="A28" s="1"/>
      <c r="B28" s="60" t="s">
        <v>100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0" t="s">
        <v>101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0" t="s">
        <v>141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0" t="s">
        <v>201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13"/>
      <c r="C32" s="114"/>
      <c r="D32" s="11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2zHcAMPEDh74L9+wNqKeJAP87w/7eEMhFaqUNw230A2tgZLsPojpkcbUSF4VSMFa8vAMD7bTB3wSU9inyvV30g==" saltValue="4JeGdMfDDZw2K/ylncIZS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273</v>
      </c>
      <c r="C8" s="114"/>
      <c r="D8" s="114"/>
      <c r="E8" s="114"/>
      <c r="F8" s="115"/>
      <c r="G8" s="1"/>
    </row>
    <row r="9" spans="1:7" x14ac:dyDescent="0.25">
      <c r="A9" s="1"/>
      <c r="B9" s="107" t="s">
        <v>274</v>
      </c>
      <c r="C9" s="108"/>
      <c r="D9" s="109"/>
      <c r="E9" s="9">
        <v>10882984.51395753</v>
      </c>
      <c r="F9" s="14" t="s">
        <v>3</v>
      </c>
      <c r="G9" s="1"/>
    </row>
    <row r="10" spans="1:7" x14ac:dyDescent="0.25">
      <c r="A10" s="1"/>
      <c r="B10" s="107" t="s">
        <v>275</v>
      </c>
      <c r="C10" s="108"/>
      <c r="D10" s="109"/>
      <c r="E10" s="9">
        <v>7074309.5915404856</v>
      </c>
      <c r="F10" s="14" t="s">
        <v>3</v>
      </c>
      <c r="G10" s="1"/>
    </row>
    <row r="11" spans="1:7" x14ac:dyDescent="0.25">
      <c r="A11" s="1"/>
      <c r="B11" s="107" t="s">
        <v>276</v>
      </c>
      <c r="C11" s="108"/>
      <c r="D11" s="109"/>
      <c r="E11" s="9">
        <v>5743684.6246665716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95" t="s">
        <v>277</v>
      </c>
      <c r="C13" s="96"/>
      <c r="D13" s="96"/>
      <c r="E13" s="96"/>
      <c r="F13" s="9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278</v>
      </c>
      <c r="C15" s="114"/>
      <c r="D15" s="114"/>
      <c r="E15" s="114"/>
      <c r="F15" s="115"/>
      <c r="G15" s="1"/>
    </row>
    <row r="16" spans="1:7" x14ac:dyDescent="0.25">
      <c r="A16" s="1"/>
      <c r="B16" s="107" t="s">
        <v>279</v>
      </c>
      <c r="C16" s="108"/>
      <c r="D16" s="109"/>
      <c r="E16" s="9">
        <v>0</v>
      </c>
      <c r="F16" s="14" t="s">
        <v>3</v>
      </c>
      <c r="G16" s="1"/>
    </row>
    <row r="17" spans="1:7" x14ac:dyDescent="0.25">
      <c r="A17" s="1"/>
      <c r="B17" s="107" t="s">
        <v>280</v>
      </c>
      <c r="C17" s="108"/>
      <c r="D17" s="109"/>
      <c r="E17" s="9">
        <v>0</v>
      </c>
      <c r="F17" s="14" t="s">
        <v>3</v>
      </c>
      <c r="G17" s="1"/>
    </row>
    <row r="18" spans="1:7" x14ac:dyDescent="0.25">
      <c r="A18" s="1"/>
      <c r="B18" s="35"/>
      <c r="C18" s="36"/>
      <c r="D18" s="36"/>
      <c r="E18" s="36"/>
      <c r="F18" s="20"/>
      <c r="G18" s="1"/>
    </row>
    <row r="19" spans="1:7" ht="31.5" customHeight="1" x14ac:dyDescent="0.25">
      <c r="A19" s="1"/>
      <c r="B19" s="95" t="s">
        <v>281</v>
      </c>
      <c r="C19" s="96"/>
      <c r="D19" s="96"/>
      <c r="E19" s="96"/>
      <c r="F19" s="9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4" t="s">
        <v>240</v>
      </c>
      <c r="C21" s="55"/>
      <c r="D21" s="55"/>
      <c r="E21" s="55"/>
      <c r="F21" s="56"/>
      <c r="G21" s="1"/>
    </row>
    <row r="22" spans="1:7" x14ac:dyDescent="0.25">
      <c r="A22" s="1"/>
      <c r="B22" s="57" t="s">
        <v>241</v>
      </c>
      <c r="C22" s="58"/>
      <c r="D22" s="59"/>
      <c r="E22" s="9">
        <v>155580576.06939805</v>
      </c>
      <c r="F22" s="14" t="s">
        <v>3</v>
      </c>
      <c r="G22" s="1"/>
    </row>
    <row r="23" spans="1:7" x14ac:dyDescent="0.25">
      <c r="A23" s="1"/>
      <c r="B23" s="57" t="s">
        <v>242</v>
      </c>
      <c r="C23" s="58"/>
      <c r="D23" s="59"/>
      <c r="E23" s="9">
        <v>173108098.28999999</v>
      </c>
      <c r="F23" s="14" t="s">
        <v>3</v>
      </c>
      <c r="G23" s="1"/>
    </row>
    <row r="24" spans="1:7" x14ac:dyDescent="0.25">
      <c r="A24" s="1"/>
      <c r="B24" s="57" t="s">
        <v>36</v>
      </c>
      <c r="C24" s="58"/>
      <c r="D24" s="59"/>
      <c r="E24" s="9">
        <v>0</v>
      </c>
      <c r="F24" s="14" t="s">
        <v>3</v>
      </c>
      <c r="G24" s="1"/>
    </row>
    <row r="25" spans="1:7" x14ac:dyDescent="0.25">
      <c r="A25" s="1"/>
      <c r="B25" s="48" t="s">
        <v>282</v>
      </c>
      <c r="C25" s="49"/>
      <c r="D25" s="50"/>
      <c r="E25" s="38">
        <f>E22-(E23-E24)</f>
        <v>-17527522.220601946</v>
      </c>
      <c r="F25" s="17" t="s">
        <v>3</v>
      </c>
      <c r="G25" s="1"/>
    </row>
    <row r="26" spans="1:7" x14ac:dyDescent="0.25">
      <c r="A26" s="1"/>
      <c r="B26" s="35"/>
      <c r="C26" s="36"/>
      <c r="D26" s="36"/>
      <c r="E26" s="36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169</v>
      </c>
      <c r="C29" s="114"/>
      <c r="D29" s="114"/>
      <c r="E29" s="114"/>
      <c r="F29" s="115"/>
      <c r="G29" s="1"/>
    </row>
    <row r="30" spans="1:7" x14ac:dyDescent="0.2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2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7" x14ac:dyDescent="0.25">
      <c r="A32" s="1"/>
      <c r="B32" s="127" t="s">
        <v>172</v>
      </c>
      <c r="C32" s="127"/>
      <c r="D32" s="127"/>
      <c r="E32" s="10">
        <f>E30/E31</f>
        <v>0</v>
      </c>
      <c r="F32" s="17" t="s">
        <v>3</v>
      </c>
      <c r="G32" s="1"/>
    </row>
    <row r="33" spans="1:7" x14ac:dyDescent="0.25">
      <c r="A33" s="1"/>
      <c r="B33" s="121"/>
      <c r="C33" s="122"/>
      <c r="D33" s="122"/>
      <c r="E33" s="122"/>
      <c r="F33" s="123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EJwlczkgj++tXtLNp6QKDGCa+aBt8iznyegc/ODyUBh9h+wPhNzd1GRu/WEJnB8TrEuWBZkOPVpFptKwoizzxw==" saltValue="F3EZnO68QOOuT7HPb42+cA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203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3" t="s">
        <v>204</v>
      </c>
      <c r="C9" s="114"/>
      <c r="D9" s="114"/>
      <c r="E9" s="114"/>
      <c r="F9" s="114"/>
      <c r="G9" s="1"/>
    </row>
    <row r="10" spans="1:7" x14ac:dyDescent="0.25">
      <c r="A10" s="1"/>
      <c r="B10" s="95" t="s">
        <v>102</v>
      </c>
      <c r="C10" s="96"/>
      <c r="D10" s="97"/>
      <c r="E10" s="7">
        <v>0</v>
      </c>
      <c r="F10" s="8" t="s">
        <v>3</v>
      </c>
      <c r="G10" s="1"/>
    </row>
    <row r="11" spans="1:7" x14ac:dyDescent="0.25">
      <c r="A11" s="1"/>
      <c r="B11" s="107" t="s">
        <v>205</v>
      </c>
      <c r="C11" s="108"/>
      <c r="D11" s="109"/>
      <c r="E11" s="7">
        <v>0</v>
      </c>
      <c r="F11" s="8" t="s">
        <v>3</v>
      </c>
      <c r="G11" s="1"/>
    </row>
    <row r="12" spans="1:7" x14ac:dyDescent="0.25">
      <c r="A12" s="1"/>
      <c r="B12" s="104" t="s">
        <v>103</v>
      </c>
      <c r="C12" s="105"/>
      <c r="D12" s="106"/>
      <c r="E12" s="10">
        <f>E11-E10</f>
        <v>0</v>
      </c>
      <c r="F12" s="11" t="s">
        <v>3</v>
      </c>
      <c r="G12" s="1"/>
    </row>
    <row r="13" spans="1:7" x14ac:dyDescent="0.25">
      <c r="A13" s="1"/>
      <c r="B13" s="113" t="s">
        <v>93</v>
      </c>
      <c r="C13" s="114"/>
      <c r="D13" s="114"/>
      <c r="E13" s="114"/>
      <c r="F13" s="114"/>
      <c r="G13" s="1"/>
    </row>
    <row r="14" spans="1:7" x14ac:dyDescent="0.25">
      <c r="A14" s="1"/>
      <c r="B14" s="107" t="s">
        <v>206</v>
      </c>
      <c r="C14" s="108"/>
      <c r="D14" s="109"/>
      <c r="E14" s="9">
        <v>100231</v>
      </c>
      <c r="F14" s="8" t="s">
        <v>3</v>
      </c>
      <c r="G14" s="1"/>
    </row>
    <row r="15" spans="1:7" x14ac:dyDescent="0.25">
      <c r="A15" s="1"/>
      <c r="B15" s="95" t="s">
        <v>207</v>
      </c>
      <c r="C15" s="96"/>
      <c r="D15" s="97"/>
      <c r="E15" s="9">
        <v>0</v>
      </c>
      <c r="F15" s="8" t="s">
        <v>3</v>
      </c>
      <c r="G15" s="1"/>
    </row>
    <row r="16" spans="1:7" x14ac:dyDescent="0.25">
      <c r="A16" s="1"/>
      <c r="B16" s="104" t="s">
        <v>103</v>
      </c>
      <c r="C16" s="105"/>
      <c r="D16" s="106"/>
      <c r="E16" s="10">
        <f>E15-E14</f>
        <v>-100231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-100231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2dsu9Mq+9uHYFIuvU4mTBS1kfskNNviXkvyCCNF3mrWnyKmCxxtiLV7XTEguD8hNfFuh7shUeedCBmuNkjqw==" saltValue="y2kNe0zvpnVKZXlLffDkB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156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4"/>
      <c r="I9" s="1"/>
    </row>
    <row r="10" spans="1:9" x14ac:dyDescent="0.25">
      <c r="A10" s="1"/>
      <c r="B10" s="62" t="s">
        <v>287</v>
      </c>
      <c r="C10" s="3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157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BGaYQyLo8aSFCLk0pquqg9+zM4qJhDSl9dXGb750Rfe9Fmium4DTjQ2XDUM8HqW+eUxGYBYnaoKH65Sh2H/og==" saltValue="GRzP+h6gYSlbfNtZTilcC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2" t="s">
        <v>18</v>
      </c>
      <c r="C9" s="42" t="s">
        <v>12</v>
      </c>
      <c r="D9" s="43"/>
      <c r="E9" s="42" t="s">
        <v>34</v>
      </c>
      <c r="F9" s="64"/>
      <c r="G9" s="1"/>
    </row>
    <row r="10" spans="1:7" x14ac:dyDescent="0.25">
      <c r="A10" s="1"/>
      <c r="B10" s="24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4" t="s">
        <v>288</v>
      </c>
      <c r="C11" s="22">
        <v>37025</v>
      </c>
      <c r="D11" s="14" t="s">
        <v>3</v>
      </c>
      <c r="E11" s="9">
        <v>466001</v>
      </c>
      <c r="F11" s="14" t="s">
        <v>3</v>
      </c>
      <c r="G11" s="1"/>
    </row>
    <row r="12" spans="1:7" x14ac:dyDescent="0.25">
      <c r="A12" s="1"/>
      <c r="B12" s="24" t="s">
        <v>286</v>
      </c>
      <c r="C12" s="22">
        <v>22087</v>
      </c>
      <c r="D12" s="14" t="s">
        <v>3</v>
      </c>
      <c r="E12" s="9">
        <v>286810</v>
      </c>
      <c r="F12" s="14" t="s">
        <v>3</v>
      </c>
      <c r="G12" s="1"/>
    </row>
    <row r="13" spans="1:7" x14ac:dyDescent="0.25">
      <c r="A13" s="1"/>
      <c r="B13" s="40" t="s">
        <v>285</v>
      </c>
      <c r="C13" s="22">
        <v>36980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5" t="s">
        <v>142</v>
      </c>
      <c r="C14" s="12">
        <f>SUM(C10:C13)</f>
        <v>96092</v>
      </c>
      <c r="D14" s="13" t="s">
        <v>3</v>
      </c>
      <c r="E14" s="12">
        <f>SUM(E10:E13)</f>
        <v>752811</v>
      </c>
      <c r="F14" s="13" t="s">
        <v>3</v>
      </c>
      <c r="G14" s="1"/>
    </row>
    <row r="15" spans="1:7" x14ac:dyDescent="0.25">
      <c r="A15" s="1"/>
      <c r="B15" s="35" t="s">
        <v>209</v>
      </c>
      <c r="C15" s="12">
        <f>C14*(1+'Fane 14. Nøgletal'!C14)</f>
        <v>96409.103600000002</v>
      </c>
      <c r="D15" s="13" t="s">
        <v>3</v>
      </c>
      <c r="E15" s="12">
        <f>E14*(1+'Fane 14. Nøgletal'!C14)</f>
        <v>755295.27630000003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jSf2Np4TXG0Ko8GqaXWdzpSZB32TTYQRArarNjRD+PZtI2dbCaxiQ8UywM4TukB89+eExjHbXbMobojgRpy5A==" saltValue="iNSPnR+5tVkJ4w1Q00gv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96</v>
      </c>
      <c r="C8" s="114"/>
      <c r="D8" s="114"/>
      <c r="E8" s="114"/>
      <c r="F8" s="115"/>
      <c r="G8" s="1"/>
    </row>
    <row r="9" spans="1:7" x14ac:dyDescent="0.25">
      <c r="A9" s="1"/>
      <c r="B9" s="42" t="s">
        <v>18</v>
      </c>
      <c r="C9" s="42" t="s">
        <v>12</v>
      </c>
      <c r="D9" s="43"/>
      <c r="E9" s="42" t="s">
        <v>34</v>
      </c>
      <c r="F9" s="64"/>
      <c r="G9" s="1"/>
    </row>
    <row r="10" spans="1:7" x14ac:dyDescent="0.25">
      <c r="A10" s="1"/>
      <c r="B10" s="24" t="s">
        <v>285</v>
      </c>
      <c r="C10" s="22">
        <v>739604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5" t="s">
        <v>210</v>
      </c>
      <c r="C11" s="12">
        <f>SUM(C10:C10)</f>
        <v>739604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6" t="s">
        <v>10</v>
      </c>
      <c r="C12" s="27">
        <f>-C11*'Fane 5. Individuelt eff. krav'!G11</f>
        <v>-4957.4918556654147</v>
      </c>
      <c r="D12" s="28" t="s">
        <v>3</v>
      </c>
      <c r="E12" s="27">
        <f>-E11*'Fane 5. Individuelt eff. krav'!G11</f>
        <v>0</v>
      </c>
      <c r="F12" s="28" t="s">
        <v>3</v>
      </c>
      <c r="G12" s="1"/>
    </row>
    <row r="13" spans="1:7" x14ac:dyDescent="0.25">
      <c r="A13" s="1"/>
      <c r="B13" s="26" t="s">
        <v>98</v>
      </c>
      <c r="C13" s="27">
        <f>-C11*'Fane 14. Nøgletal'!C29</f>
        <v>-14792.08</v>
      </c>
      <c r="D13" s="28" t="s">
        <v>3</v>
      </c>
      <c r="E13" s="27">
        <f>-E11*'Fane 14. Nøgletal'!C24</f>
        <v>0</v>
      </c>
      <c r="F13" s="28" t="s">
        <v>3</v>
      </c>
      <c r="G13" s="1"/>
    </row>
    <row r="14" spans="1:7" x14ac:dyDescent="0.25">
      <c r="A14" s="1"/>
      <c r="B14" s="35" t="s">
        <v>143</v>
      </c>
      <c r="C14" s="12">
        <f>SUM(C11:C13)*(1+'Fane 14. Nøgletal'!C14)^2</f>
        <v>724613.30658480979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97</v>
      </c>
      <c r="C16" s="114"/>
      <c r="D16" s="114"/>
      <c r="E16" s="114"/>
      <c r="F16" s="115"/>
      <c r="G16" s="1"/>
    </row>
    <row r="17" spans="1:7" x14ac:dyDescent="0.25">
      <c r="A17" s="1"/>
      <c r="B17" s="42" t="s">
        <v>18</v>
      </c>
      <c r="C17" s="42" t="s">
        <v>12</v>
      </c>
      <c r="D17" s="43"/>
      <c r="E17" s="42" t="s">
        <v>34</v>
      </c>
      <c r="F17" s="64"/>
      <c r="G17" s="1"/>
    </row>
    <row r="18" spans="1:7" x14ac:dyDescent="0.25">
      <c r="A18" s="1"/>
      <c r="B18" s="24" t="s">
        <v>289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6" t="s">
        <v>10</v>
      </c>
      <c r="C20" s="27">
        <f>-C19*'Fane 5. Individuelt eff. krav'!G11</f>
        <v>0</v>
      </c>
      <c r="D20" s="28" t="s">
        <v>3</v>
      </c>
      <c r="E20" s="27">
        <f>-E19*'Fane 5. Individuelt eff. krav'!G11</f>
        <v>0</v>
      </c>
      <c r="F20" s="28" t="s">
        <v>3</v>
      </c>
      <c r="G20" s="1"/>
    </row>
    <row r="21" spans="1:7" x14ac:dyDescent="0.25">
      <c r="A21" s="1"/>
      <c r="B21" s="26" t="s">
        <v>98</v>
      </c>
      <c r="C21" s="27">
        <f>-C19*'Fane 14. Nøgletal'!C29</f>
        <v>0</v>
      </c>
      <c r="D21" s="28" t="s">
        <v>3</v>
      </c>
      <c r="E21" s="27">
        <f>-E19*'Fane 14. Nøgletal'!C24</f>
        <v>0</v>
      </c>
      <c r="F21" s="28" t="s">
        <v>3</v>
      </c>
      <c r="G21" s="1"/>
    </row>
    <row r="22" spans="1:7" x14ac:dyDescent="0.2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144</v>
      </c>
      <c r="C24" s="114"/>
      <c r="D24" s="114"/>
      <c r="E24" s="114"/>
      <c r="F24" s="115"/>
      <c r="G24" s="1"/>
    </row>
    <row r="25" spans="1:7" x14ac:dyDescent="0.25">
      <c r="A25" s="1"/>
      <c r="B25" s="42" t="s">
        <v>18</v>
      </c>
      <c r="C25" s="42" t="s">
        <v>12</v>
      </c>
      <c r="D25" s="43"/>
      <c r="E25" s="42" t="s">
        <v>34</v>
      </c>
      <c r="F25" s="64"/>
      <c r="G25" s="1"/>
    </row>
    <row r="26" spans="1:7" x14ac:dyDescent="0.25">
      <c r="A26" s="1"/>
      <c r="B26" s="24" t="s">
        <v>289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6" t="s">
        <v>10</v>
      </c>
      <c r="C28" s="27">
        <f>-C27*'Fane 5. Individuelt eff. krav'!G11</f>
        <v>0</v>
      </c>
      <c r="D28" s="28" t="s">
        <v>3</v>
      </c>
      <c r="E28" s="27">
        <f>-E27*'Fane 5. Individuelt eff. krav'!G11</f>
        <v>0</v>
      </c>
      <c r="F28" s="28" t="s">
        <v>3</v>
      </c>
      <c r="G28" s="1"/>
    </row>
    <row r="29" spans="1:7" x14ac:dyDescent="0.25">
      <c r="A29" s="1"/>
      <c r="B29" s="26" t="s">
        <v>98</v>
      </c>
      <c r="C29" s="27">
        <f>-C27*'Fane 14. Nøgletal'!C29</f>
        <v>0</v>
      </c>
      <c r="D29" s="28" t="s">
        <v>3</v>
      </c>
      <c r="E29" s="27">
        <f>-E27*'Fane 14. Nøgletal'!C24</f>
        <v>0</v>
      </c>
      <c r="F29" s="28" t="s">
        <v>3</v>
      </c>
      <c r="G29" s="1"/>
    </row>
    <row r="30" spans="1:7" x14ac:dyDescent="0.2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212</v>
      </c>
      <c r="C32" s="114"/>
      <c r="D32" s="114"/>
      <c r="E32" s="114"/>
      <c r="F32" s="115"/>
      <c r="G32" s="1"/>
    </row>
    <row r="33" spans="1:7" x14ac:dyDescent="0.25">
      <c r="A33" s="1"/>
      <c r="B33" s="42" t="s">
        <v>18</v>
      </c>
      <c r="C33" s="42" t="s">
        <v>12</v>
      </c>
      <c r="D33" s="43"/>
      <c r="E33" s="42" t="s">
        <v>34</v>
      </c>
      <c r="F33" s="64"/>
      <c r="G33" s="1"/>
    </row>
    <row r="34" spans="1:7" x14ac:dyDescent="0.25">
      <c r="A34" s="1"/>
      <c r="B34" s="24" t="s">
        <v>289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6" t="s">
        <v>10</v>
      </c>
      <c r="C36" s="27">
        <f>-C35*'Fane 5. Individuelt eff. krav'!G11</f>
        <v>0</v>
      </c>
      <c r="D36" s="28" t="s">
        <v>3</v>
      </c>
      <c r="E36" s="27">
        <f>-E35*'Fane 5. Individuelt eff. krav'!G11</f>
        <v>0</v>
      </c>
      <c r="F36" s="28" t="s">
        <v>3</v>
      </c>
      <c r="G36" s="1"/>
    </row>
    <row r="37" spans="1:7" x14ac:dyDescent="0.25">
      <c r="A37" s="1"/>
      <c r="B37" s="26" t="s">
        <v>98</v>
      </c>
      <c r="C37" s="27">
        <f>-C35*'Fane 14. Nøgletal'!C29</f>
        <v>0</v>
      </c>
      <c r="D37" s="28" t="s">
        <v>3</v>
      </c>
      <c r="E37" s="27">
        <f>-E35*'Fane 14. Nøgletal'!C24</f>
        <v>0</v>
      </c>
      <c r="F37" s="28" t="s">
        <v>3</v>
      </c>
      <c r="G37" s="1"/>
    </row>
    <row r="38" spans="1:7" x14ac:dyDescent="0.2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QhoKkZJiwcIS4oJ5l2i1q0xCrU2orKS4TU9rT3owiu53PG1+wjaXOKODwP7Oe6kMGwVeL5H+DcyRTszHFtg8Q==" saltValue="ZaGsP8vlrs2JleMl+it6k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127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5"/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87</v>
      </c>
      <c r="C8" s="114"/>
      <c r="D8" s="114"/>
      <c r="E8" s="114"/>
      <c r="F8" s="115"/>
      <c r="G8" s="1"/>
    </row>
    <row r="9" spans="1:7" x14ac:dyDescent="0.2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2" t="s">
        <v>27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3" t="s">
        <v>89</v>
      </c>
      <c r="C12" s="114"/>
      <c r="D12" s="115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88</v>
      </c>
      <c r="C14" s="114"/>
      <c r="D14" s="114"/>
      <c r="E14" s="114"/>
      <c r="F14" s="115"/>
      <c r="G14" s="1"/>
    </row>
    <row r="15" spans="1:7" x14ac:dyDescent="0.2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2" t="s">
        <v>27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3" t="s">
        <v>90</v>
      </c>
      <c r="C18" s="114"/>
      <c r="D18" s="115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145</v>
      </c>
      <c r="C20" s="114"/>
      <c r="D20" s="114"/>
      <c r="E20" s="114"/>
      <c r="F20" s="115"/>
      <c r="G20" s="1"/>
    </row>
    <row r="21" spans="1:7" x14ac:dyDescent="0.2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2" t="s">
        <v>27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3" t="s">
        <v>146</v>
      </c>
      <c r="C24" s="114"/>
      <c r="D24" s="115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216</v>
      </c>
      <c r="C26" s="114"/>
      <c r="D26" s="114"/>
      <c r="E26" s="114"/>
      <c r="F26" s="115"/>
      <c r="G26" s="1"/>
    </row>
    <row r="27" spans="1:7" x14ac:dyDescent="0.2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2" t="s">
        <v>27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3" t="s">
        <v>217</v>
      </c>
      <c r="C30" s="114"/>
      <c r="D30" s="115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eyxuoh9jyg13r67byexkCRTmDix5ijG/es9m6TZuOGTpssqVhcLvDtpXgRFDp0n2QGYoU5a11wCM4m7n+cXVA==" saltValue="xspsE/LaSX4aoFNugU2gD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147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148</v>
      </c>
      <c r="C8" s="114"/>
      <c r="D8" s="114"/>
      <c r="E8" s="114"/>
      <c r="F8" s="115"/>
      <c r="G8" s="1"/>
    </row>
    <row r="9" spans="1:7" ht="15" customHeight="1" x14ac:dyDescent="0.25">
      <c r="A9" s="1"/>
      <c r="B9" s="63" t="s">
        <v>149</v>
      </c>
      <c r="C9" s="98" t="s">
        <v>12</v>
      </c>
      <c r="D9" s="100"/>
      <c r="E9" s="131" t="s">
        <v>34</v>
      </c>
      <c r="F9" s="132"/>
      <c r="G9" s="1"/>
    </row>
    <row r="10" spans="1:7" x14ac:dyDescent="0.25">
      <c r="A10" s="1"/>
      <c r="B10" s="24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GnDNM9KcDWy3B3wkfiEZKjowJ+R5+AHDiJ5vrp1PKjRARvnnNqjxtkkr7W23JBn+nYXaGhhWymkHVoS+E0hXw==" saltValue="a/aazPSiiwQkmtvslf+n/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116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91</v>
      </c>
      <c r="C8" s="114"/>
      <c r="D8" s="114"/>
      <c r="E8" s="114"/>
      <c r="F8" s="115"/>
      <c r="G8" s="1"/>
    </row>
    <row r="9" spans="1:7" ht="15" customHeight="1" x14ac:dyDescent="0.25">
      <c r="A9" s="1"/>
      <c r="B9" s="63" t="s">
        <v>19</v>
      </c>
      <c r="C9" s="63" t="s">
        <v>12</v>
      </c>
      <c r="D9" s="64"/>
      <c r="E9" s="63" t="s">
        <v>34</v>
      </c>
      <c r="F9" s="64"/>
      <c r="G9" s="1"/>
    </row>
    <row r="10" spans="1:7" x14ac:dyDescent="0.25">
      <c r="A10" s="1"/>
      <c r="B10" s="24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3" t="s">
        <v>92</v>
      </c>
      <c r="C14" s="114"/>
      <c r="D14" s="114"/>
      <c r="E14" s="114"/>
      <c r="F14" s="115"/>
      <c r="G14" s="1"/>
    </row>
    <row r="15" spans="1:7" ht="26.25" x14ac:dyDescent="0.25">
      <c r="A15" s="1"/>
      <c r="B15" s="63" t="s">
        <v>19</v>
      </c>
      <c r="C15" s="63" t="s">
        <v>12</v>
      </c>
      <c r="D15" s="64"/>
      <c r="E15" s="63" t="s">
        <v>34</v>
      </c>
      <c r="F15" s="64"/>
      <c r="G15" s="1"/>
    </row>
    <row r="16" spans="1:7" x14ac:dyDescent="0.25">
      <c r="A16" s="1"/>
      <c r="B16" s="24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3" t="s">
        <v>151</v>
      </c>
      <c r="C20" s="114"/>
      <c r="D20" s="114"/>
      <c r="E20" s="114"/>
      <c r="F20" s="115"/>
      <c r="G20" s="1"/>
    </row>
    <row r="21" spans="1:7" ht="26.25" x14ac:dyDescent="0.25">
      <c r="A21" s="1"/>
      <c r="B21" s="63" t="s">
        <v>19</v>
      </c>
      <c r="C21" s="63" t="s">
        <v>12</v>
      </c>
      <c r="D21" s="64"/>
      <c r="E21" s="63" t="s">
        <v>34</v>
      </c>
      <c r="F21" s="64"/>
      <c r="G21" s="1"/>
    </row>
    <row r="22" spans="1:7" x14ac:dyDescent="0.25">
      <c r="A22" s="1"/>
      <c r="B22" s="24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3" t="s">
        <v>219</v>
      </c>
      <c r="C26" s="114"/>
      <c r="D26" s="114"/>
      <c r="E26" s="114"/>
      <c r="F26" s="115"/>
      <c r="G26" s="1"/>
    </row>
    <row r="27" spans="1:7" ht="26.25" x14ac:dyDescent="0.25">
      <c r="A27" s="1"/>
      <c r="B27" s="63" t="s">
        <v>19</v>
      </c>
      <c r="C27" s="63" t="s">
        <v>12</v>
      </c>
      <c r="D27" s="64"/>
      <c r="E27" s="63" t="s">
        <v>34</v>
      </c>
      <c r="F27" s="64"/>
      <c r="G27" s="1"/>
    </row>
    <row r="28" spans="1:7" x14ac:dyDescent="0.25">
      <c r="A28" s="1"/>
      <c r="B28" s="24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zlUX5gbBfqVu8pDfvBvNRUYKuza9qSBZCp6sRWMDq8JmLXiUNDRAT9m2t7xLXYt19egYh9EASWZ22Fv9rpCTQ==" saltValue="8R5OJm0w5EBavCo0K6BDC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173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60" t="s">
        <v>264</v>
      </c>
      <c r="C9" s="25">
        <v>1.2699999999999999E-2</v>
      </c>
      <c r="D9" s="1"/>
    </row>
    <row r="10" spans="1:4" x14ac:dyDescent="0.25">
      <c r="A10" s="1"/>
      <c r="B10" s="60" t="s">
        <v>122</v>
      </c>
      <c r="C10" s="25">
        <v>1.7500000000000002E-2</v>
      </c>
      <c r="D10" s="1"/>
    </row>
    <row r="11" spans="1:4" x14ac:dyDescent="0.25">
      <c r="A11" s="1"/>
      <c r="B11" s="60" t="s">
        <v>24</v>
      </c>
      <c r="C11" s="25">
        <v>1.6899999999999998E-2</v>
      </c>
      <c r="D11" s="1"/>
    </row>
    <row r="12" spans="1:4" x14ac:dyDescent="0.25">
      <c r="A12" s="1"/>
      <c r="B12" s="30" t="s">
        <v>45</v>
      </c>
      <c r="C12" s="25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284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60" t="s">
        <v>265</v>
      </c>
      <c r="C19" s="23">
        <v>9.1000000000000004E-3</v>
      </c>
      <c r="D19" s="1"/>
    </row>
    <row r="20" spans="1:4" x14ac:dyDescent="0.25">
      <c r="A20" s="1"/>
      <c r="B20" s="60" t="s">
        <v>124</v>
      </c>
      <c r="C20" s="23">
        <v>1.77E-2</v>
      </c>
      <c r="D20" s="1"/>
    </row>
    <row r="21" spans="1:4" x14ac:dyDescent="0.25">
      <c r="A21" s="1"/>
      <c r="B21" s="60" t="s">
        <v>123</v>
      </c>
      <c r="C21" s="23">
        <v>8.6999999999999994E-3</v>
      </c>
      <c r="D21" s="1"/>
    </row>
    <row r="22" spans="1:4" x14ac:dyDescent="0.25">
      <c r="A22" s="1"/>
      <c r="B22" s="60" t="s">
        <v>125</v>
      </c>
      <c r="C22" s="23">
        <v>2.8400000000000002E-2</v>
      </c>
      <c r="D22" s="1"/>
    </row>
    <row r="23" spans="1:4" x14ac:dyDescent="0.25">
      <c r="A23" s="1"/>
      <c r="B23" s="60" t="s">
        <v>154</v>
      </c>
      <c r="C23" s="32">
        <v>2.75E-2</v>
      </c>
      <c r="D23" s="1"/>
    </row>
    <row r="24" spans="1:4" x14ac:dyDescent="0.25">
      <c r="A24" s="1"/>
      <c r="B24" s="60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60" t="s">
        <v>126</v>
      </c>
      <c r="C29" s="25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vG7JHyz3qS4zfKeMdsr2R/WVauAS5iIoLG608FdqiDKt2AKuIiZAvCPbS4F7GbmgJ6OrO00vQRV7VnhxqSIeDA==" saltValue="BxaKh+tF08WnIJbTgVwtl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181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3" t="s">
        <v>26</v>
      </c>
      <c r="C9" s="7">
        <f>'Fane 3. Omkostninger i ØR2021'!E24</f>
        <v>150792686.80836931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tillæg'!C15</f>
        <v>96409.103600000002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tillæg'!E15</f>
        <v>755295.27630000003</v>
      </c>
      <c r="D11" s="8" t="s">
        <v>3</v>
      </c>
      <c r="E11" s="1"/>
    </row>
    <row r="12" spans="1:5" ht="17.100000000000001" customHeight="1" x14ac:dyDescent="0.25">
      <c r="A12" s="1"/>
      <c r="B12" s="51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500426.49092128873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-SUM(C9,C10:C16)*'Fane 5. Individuelt eff. krav'!G11</f>
        <v>-1019811.5404003856</v>
      </c>
      <c r="D17" s="8" t="s">
        <v>3</v>
      </c>
      <c r="E17" s="1"/>
    </row>
    <row r="18" spans="1:5" ht="17.100000000000001" customHeight="1" x14ac:dyDescent="0.25">
      <c r="A18" s="1"/>
      <c r="B18" s="51" t="s">
        <v>27</v>
      </c>
      <c r="C18" s="9">
        <f>-'Fane 4.1. Gen. krav - drift'!G42</f>
        <v>-879868.17727551586</v>
      </c>
      <c r="D18" s="8" t="s">
        <v>3</v>
      </c>
      <c r="E18" s="1"/>
    </row>
    <row r="19" spans="1:5" ht="15" customHeight="1" x14ac:dyDescent="0.25">
      <c r="A19" s="1"/>
      <c r="B19" s="51" t="s">
        <v>28</v>
      </c>
      <c r="C19" s="9">
        <f>-'Fane 4.2. Gen. krav - anlæg'!G41</f>
        <v>-1608451.9504540358</v>
      </c>
      <c r="D19" s="8" t="s">
        <v>3</v>
      </c>
      <c r="E19" s="1"/>
    </row>
    <row r="20" spans="1:5" ht="15" customHeight="1" x14ac:dyDescent="0.25">
      <c r="A20" s="1"/>
      <c r="B20" s="48" t="s">
        <v>22</v>
      </c>
      <c r="C20" s="10">
        <f>SUM(C9,C10:C19)</f>
        <v>148636686.01106068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3" t="s">
        <v>13</v>
      </c>
      <c r="C22" s="10">
        <f>'Fane 6. Ikke-påvirkelige omk.'!C16+'Fane 6. Ikke-påvirkelige omk.'!C20+'Fane 6. Ikke-påvirkelige omk.'!C28</f>
        <v>4356595.8261457607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8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51" t="s">
        <v>73</v>
      </c>
      <c r="C26" s="9">
        <f>'Fane 10.2. Engangstillæg'!C14</f>
        <v>724613.30658480979</v>
      </c>
      <c r="D26" s="8" t="s">
        <v>3</v>
      </c>
      <c r="E26" s="1"/>
    </row>
    <row r="27" spans="1:5" ht="15" customHeight="1" x14ac:dyDescent="0.25">
      <c r="A27" s="1"/>
      <c r="B27" s="51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79</v>
      </c>
      <c r="C28" s="10">
        <f>SUM(C26:C27)</f>
        <v>724613.30658480979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3" t="s">
        <v>180</v>
      </c>
      <c r="C30" s="10">
        <f>'Fane 8. Korrektion af ØR2020'!E17</f>
        <v>-100231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3" t="s">
        <v>290</v>
      </c>
      <c r="C32" s="10">
        <f>'Fane 7. Kontrol af ØR2020'!E32</f>
        <v>0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61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153617664.14379126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56u52WM9CKabK5eVxI1BhP3B/K5omKQ7KRMsm/amJGSBFpHFn/Nm7587SDrzFcLCcdCyy7flFc4UA1MetxYIw==" saltValue="vN76CJEhOmpqCxJKuVtCo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1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182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/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ht="15" customHeight="1" x14ac:dyDescent="0.25">
      <c r="A9" s="1"/>
      <c r="B9" s="53" t="s">
        <v>109</v>
      </c>
      <c r="C9" s="7">
        <f>'Fane 2.1. Økonomisk ramme 2022'!C20</f>
        <v>148636686.01106068</v>
      </c>
      <c r="D9" s="8" t="s">
        <v>3</v>
      </c>
      <c r="E9" s="1"/>
    </row>
    <row r="10" spans="1:5" ht="15" customHeight="1" x14ac:dyDescent="0.25">
      <c r="A10" s="1"/>
      <c r="B10" s="51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4" t="s">
        <v>20</v>
      </c>
      <c r="C12" s="9">
        <f>SUM(C9:C11)*'Fane 14. Nøgletal'!C14</f>
        <v>490501.06383650028</v>
      </c>
      <c r="D12" s="8" t="s">
        <v>3</v>
      </c>
      <c r="E12" s="1"/>
    </row>
    <row r="13" spans="1:5" ht="15" customHeight="1" x14ac:dyDescent="0.25">
      <c r="A13" s="1"/>
      <c r="B13" s="44" t="s">
        <v>10</v>
      </c>
      <c r="C13" s="9">
        <f>-SUM(C9:C12)*'Fane 5. Individuelt eff. krav'!G11</f>
        <v>-999584.66339026764</v>
      </c>
      <c r="D13" s="8" t="s">
        <v>3</v>
      </c>
      <c r="E13" s="1"/>
    </row>
    <row r="14" spans="1:5" ht="15" customHeight="1" x14ac:dyDescent="0.25">
      <c r="A14" s="1"/>
      <c r="B14" s="44" t="s">
        <v>27</v>
      </c>
      <c r="C14" s="9">
        <f>-'Fane 4.1. Gen. krav - drift'!G49</f>
        <v>-865116.3074153146</v>
      </c>
      <c r="D14" s="8" t="s">
        <v>3</v>
      </c>
      <c r="E14" s="1"/>
    </row>
    <row r="15" spans="1:5" ht="15" customHeight="1" x14ac:dyDescent="0.25">
      <c r="A15" s="1"/>
      <c r="B15" s="44" t="s">
        <v>28</v>
      </c>
      <c r="C15" s="9">
        <f>-'Fane 4.2. Gen. krav - anlæg'!G48</f>
        <v>-1589876.1962305543</v>
      </c>
      <c r="D15" s="8" t="s">
        <v>3</v>
      </c>
      <c r="E15" s="1"/>
    </row>
    <row r="16" spans="1:5" ht="15" customHeight="1" x14ac:dyDescent="0.25">
      <c r="A16" s="1"/>
      <c r="B16" s="45" t="s">
        <v>22</v>
      </c>
      <c r="C16" s="10">
        <f>SUM(C9:C15)</f>
        <v>145672609.90786105</v>
      </c>
      <c r="D16" s="11" t="s">
        <v>3</v>
      </c>
      <c r="E16" s="1"/>
    </row>
    <row r="17" spans="1:5" ht="15" customHeight="1" x14ac:dyDescent="0.25">
      <c r="A17" s="1"/>
      <c r="B17" s="35" t="s">
        <v>13</v>
      </c>
      <c r="C17" s="36"/>
      <c r="D17" s="20"/>
      <c r="E17" s="1"/>
    </row>
    <row r="18" spans="1:5" ht="15" customHeight="1" x14ac:dyDescent="0.25">
      <c r="A18" s="1"/>
      <c r="B18" s="63" t="s">
        <v>13</v>
      </c>
      <c r="C18" s="10">
        <f>'Fane 6. Ikke-påvirkelige omk.'!C16*(1+'Fane 14. Nøgletal'!C14)+'Fane 6. Ikke-påvirkelige omk.'!C21+'Fane 6. Ikke-påvirkelige omk.'!C29</f>
        <v>4370972.5923720421</v>
      </c>
      <c r="D18" s="11" t="s">
        <v>3</v>
      </c>
      <c r="E18" s="1"/>
    </row>
    <row r="19" spans="1:5" ht="15" customHeight="1" x14ac:dyDescent="0.25">
      <c r="A19" s="1"/>
      <c r="B19" s="35" t="s">
        <v>78</v>
      </c>
      <c r="C19" s="36"/>
      <c r="D19" s="20"/>
      <c r="E19" s="1"/>
    </row>
    <row r="20" spans="1:5" ht="15" customHeight="1" x14ac:dyDescent="0.25">
      <c r="A20" s="1"/>
      <c r="B20" s="48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5" t="s">
        <v>77</v>
      </c>
      <c r="C21" s="36"/>
      <c r="D21" s="20"/>
      <c r="E21" s="1"/>
    </row>
    <row r="22" spans="1:5" ht="15" customHeight="1" x14ac:dyDescent="0.25">
      <c r="A22" s="1"/>
      <c r="B22" s="51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5" t="s">
        <v>171</v>
      </c>
      <c r="C25" s="36"/>
      <c r="D25" s="20"/>
      <c r="E25" s="1"/>
    </row>
    <row r="26" spans="1:5" ht="15" customHeight="1" x14ac:dyDescent="0.25">
      <c r="A26" s="1"/>
      <c r="B26" s="63" t="s">
        <v>290</v>
      </c>
      <c r="C26" s="10">
        <f>'Fane 7. Kontrol af ØR2020'!E32</f>
        <v>0</v>
      </c>
      <c r="D26" s="11" t="s">
        <v>3</v>
      </c>
      <c r="E26" s="1"/>
    </row>
    <row r="27" spans="1:5" x14ac:dyDescent="0.25">
      <c r="A27" s="1"/>
      <c r="B27" s="37" t="s">
        <v>262</v>
      </c>
      <c r="C27" s="36"/>
      <c r="D27" s="20"/>
      <c r="E27" s="1"/>
    </row>
    <row r="28" spans="1:5" x14ac:dyDescent="0.25">
      <c r="A28" s="1"/>
      <c r="B28" s="61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5" t="s">
        <v>86</v>
      </c>
      <c r="C29" s="12">
        <f>SUM(C16,C18,C20,C24,C26,C28)</f>
        <v>150043582.50023308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tDedTD3XRXKCmAMlaah90LNl6EPagYfE/H4h4T/o3+hRhjAxvogCU8YyewyeinBfMUVCMnWcDVHhosqhvBkQQ==" saltValue="IJzxuCQdggcw+7oyETyA8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2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183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3" t="s">
        <v>139</v>
      </c>
      <c r="C8" s="7">
        <f>'Fane 2.2. Økonomisk ramme 2023'!C16</f>
        <v>145672609.90786105</v>
      </c>
      <c r="D8" s="8" t="s">
        <v>3</v>
      </c>
      <c r="E8" s="1"/>
    </row>
    <row r="9" spans="1:5" ht="15" customHeight="1" x14ac:dyDescent="0.25">
      <c r="A9" s="1"/>
      <c r="B9" s="53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4" t="s">
        <v>20</v>
      </c>
      <c r="C11" s="9">
        <f>SUM(C8:C10)*'Fane 14. Nøgletal'!C14</f>
        <v>480719.61269594147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krav'!G11</f>
        <v>-979651.19276875851</v>
      </c>
      <c r="D12" s="8" t="s">
        <v>3</v>
      </c>
      <c r="E12" s="1"/>
    </row>
    <row r="13" spans="1:5" ht="15" customHeight="1" x14ac:dyDescent="0.25">
      <c r="A13" s="1"/>
      <c r="B13" s="44" t="s">
        <v>27</v>
      </c>
      <c r="C13" s="9">
        <f>-'Fane 4.1. Gen. krav - drift'!G56</f>
        <v>-850611.76740518957</v>
      </c>
      <c r="D13" s="8" t="s">
        <v>3</v>
      </c>
      <c r="E13" s="1"/>
    </row>
    <row r="14" spans="1:5" ht="15" customHeight="1" x14ac:dyDescent="0.25">
      <c r="A14" s="1"/>
      <c r="B14" s="44" t="s">
        <v>28</v>
      </c>
      <c r="C14" s="9">
        <f>-'Fane 4.2. Gen. krav - anlæg'!G54</f>
        <v>-1571514.9704204791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142751551.58996257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3" t="s">
        <v>13</v>
      </c>
      <c r="C17" s="10">
        <f>'Fane 6. Ikke-påvirkelige omk.'!C16*(1+'Fane 14. Nøgletal'!C14)^2+'Fane 6. Ikke-påvirkelige omk.'!C22+'Fane 6. Ikke-påvirkelige omk.'!C30</f>
        <v>4385396.8019268699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8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1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1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8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61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147136948.39188945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U38w+3n/U0IHufhYMqhdGdtD3+Zo04BmE+bIAzYBgPKx2b+hDtR2FqtG85N6kiRHNrnu6Md/hesQvXscphnVw==" saltValue="cCbtcvlPQ63u7C2znGIF5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3" t="s">
        <v>184</v>
      </c>
      <c r="C3" s="83"/>
      <c r="D3" s="83"/>
      <c r="E3" s="1"/>
    </row>
    <row r="4" spans="1:5" ht="15" customHeight="1" x14ac:dyDescent="0.25">
      <c r="A4" s="1"/>
      <c r="B4" s="83"/>
      <c r="C4" s="83"/>
      <c r="D4" s="83"/>
      <c r="E4" s="1"/>
    </row>
    <row r="5" spans="1:5" x14ac:dyDescent="0.25">
      <c r="A5" s="1"/>
      <c r="B5" s="84" t="s">
        <v>23</v>
      </c>
      <c r="C5" s="84"/>
      <c r="D5" s="8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3" t="s">
        <v>185</v>
      </c>
      <c r="C8" s="7">
        <f>'Fane 2.3. Økonomisk ramme 2024'!C15</f>
        <v>142751551.58996257</v>
      </c>
      <c r="D8" s="8" t="s">
        <v>3</v>
      </c>
      <c r="E8" s="1"/>
    </row>
    <row r="9" spans="1:5" ht="15" customHeight="1" x14ac:dyDescent="0.25">
      <c r="A9" s="1"/>
      <c r="B9" s="53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4" t="s">
        <v>20</v>
      </c>
      <c r="C11" s="9">
        <f>SUM(C8:C10)*'Fane 14. Nøgletal'!C14</f>
        <v>471080.1202468765</v>
      </c>
      <c r="D11" s="8" t="s">
        <v>3</v>
      </c>
      <c r="E11" s="1"/>
    </row>
    <row r="12" spans="1:5" ht="15" customHeight="1" x14ac:dyDescent="0.25">
      <c r="A12" s="1"/>
      <c r="B12" s="44" t="s">
        <v>10</v>
      </c>
      <c r="C12" s="9">
        <f>-SUM(C8:C11)*'Fane 5. Individuelt eff. krav'!G11</f>
        <v>-960007.0176071662</v>
      </c>
      <c r="D12" s="8" t="s">
        <v>3</v>
      </c>
      <c r="E12" s="1"/>
    </row>
    <row r="13" spans="1:5" ht="15" customHeight="1" x14ac:dyDescent="0.25">
      <c r="A13" s="1"/>
      <c r="B13" s="44" t="s">
        <v>27</v>
      </c>
      <c r="C13" s="9">
        <f>-'Fane 4.1. Gen. krav - drift'!G62</f>
        <v>-836350.41051287425</v>
      </c>
      <c r="D13" s="8" t="s">
        <v>3</v>
      </c>
      <c r="E13" s="1"/>
    </row>
    <row r="14" spans="1:5" ht="15" customHeight="1" x14ac:dyDescent="0.25">
      <c r="A14" s="1"/>
      <c r="B14" s="44" t="s">
        <v>28</v>
      </c>
      <c r="C14" s="9">
        <f>-'Fane 4.2. Gen. krav - anlæg'!G60</f>
        <v>-1553365.7954694883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139872908.48661995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3" t="s">
        <v>13</v>
      </c>
      <c r="C17" s="10">
        <f>'Fane 6. Ikke-påvirkelige omk.'!C16*(1+'Fane 14. Nøgletal'!C14)^3+'Fane 6. Ikke-påvirkelige omk.'!C23+'Fane 6. Ikke-påvirkelige omk.'!C31</f>
        <v>4399868.611373229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8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51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1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8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144272777.09799317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RdqBhTkRCdEhHkToTp9TxCB2iNN4PQmlTa1qanSK6pjLCT6akFNS80Zlzs9jpJeITOk8lQnduiGnKgO4DWgCQ==" saltValue="+F9hLx/tBreAhQveTa87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187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86" t="s">
        <v>25</v>
      </c>
      <c r="C9" s="87"/>
      <c r="D9" s="88"/>
      <c r="E9" s="7">
        <v>150025203.24440497</v>
      </c>
      <c r="F9" s="8" t="s">
        <v>3</v>
      </c>
      <c r="G9" s="1"/>
    </row>
    <row r="10" spans="1:7" ht="14.25" customHeight="1" x14ac:dyDescent="0.25">
      <c r="A10" s="1"/>
      <c r="B10" s="92" t="s">
        <v>227</v>
      </c>
      <c r="C10" s="93"/>
      <c r="D10" s="94"/>
      <c r="E10" s="7">
        <v>0</v>
      </c>
      <c r="F10" s="8" t="s">
        <v>3</v>
      </c>
      <c r="G10" s="1"/>
    </row>
    <row r="11" spans="1:7" ht="14.25" customHeight="1" x14ac:dyDescent="0.25">
      <c r="A11" s="1"/>
      <c r="B11" s="92" t="s">
        <v>228</v>
      </c>
      <c r="C11" s="93"/>
      <c r="D11" s="94"/>
      <c r="E11" s="7">
        <v>1672633.7565066919</v>
      </c>
      <c r="F11" s="8" t="s">
        <v>3</v>
      </c>
      <c r="G11" s="1"/>
    </row>
    <row r="12" spans="1:7" x14ac:dyDescent="0.25">
      <c r="A12" s="1"/>
      <c r="B12" s="92" t="s">
        <v>189</v>
      </c>
      <c r="C12" s="93"/>
      <c r="D12" s="94"/>
      <c r="E12" s="9">
        <v>21697.403644362603</v>
      </c>
      <c r="F12" s="8" t="s">
        <v>3</v>
      </c>
      <c r="G12" s="1"/>
    </row>
    <row r="13" spans="1:7" x14ac:dyDescent="0.25">
      <c r="A13" s="1"/>
      <c r="B13" s="92" t="s">
        <v>190</v>
      </c>
      <c r="C13" s="93"/>
      <c r="D13" s="94"/>
      <c r="E13" s="9">
        <v>833913.03622873919</v>
      </c>
      <c r="F13" s="8" t="s">
        <v>3</v>
      </c>
      <c r="G13" s="1"/>
    </row>
    <row r="14" spans="1:7" x14ac:dyDescent="0.25">
      <c r="A14" s="1"/>
      <c r="B14" s="89" t="s">
        <v>43</v>
      </c>
      <c r="C14" s="90"/>
      <c r="D14" s="91"/>
      <c r="E14" s="9">
        <v>59216.736599999997</v>
      </c>
      <c r="F14" s="8" t="s">
        <v>3</v>
      </c>
      <c r="G14" s="1"/>
    </row>
    <row r="15" spans="1:7" x14ac:dyDescent="0.25">
      <c r="A15" s="1"/>
      <c r="B15" s="89" t="s">
        <v>44</v>
      </c>
      <c r="C15" s="90"/>
      <c r="D15" s="91"/>
      <c r="E15" s="9">
        <v>904139.55240000004</v>
      </c>
      <c r="F15" s="8" t="s">
        <v>3</v>
      </c>
      <c r="G15" s="1"/>
    </row>
    <row r="16" spans="1:7" x14ac:dyDescent="0.25">
      <c r="A16" s="1"/>
      <c r="B16" s="89" t="s">
        <v>30</v>
      </c>
      <c r="C16" s="90"/>
      <c r="D16" s="91"/>
      <c r="E16" s="9">
        <v>0</v>
      </c>
      <c r="F16" s="8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v>0</v>
      </c>
      <c r="F17" s="8" t="s">
        <v>3</v>
      </c>
      <c r="G17" s="1"/>
    </row>
    <row r="18" spans="1:7" x14ac:dyDescent="0.25">
      <c r="A18" s="1"/>
      <c r="B18" s="89" t="s">
        <v>137</v>
      </c>
      <c r="C18" s="90"/>
      <c r="D18" s="91"/>
      <c r="E18" s="9">
        <v>0</v>
      </c>
      <c r="F18" s="8" t="s">
        <v>3</v>
      </c>
      <c r="G18" s="1"/>
    </row>
    <row r="19" spans="1:7" x14ac:dyDescent="0.25">
      <c r="A19" s="1"/>
      <c r="B19" s="89" t="s">
        <v>138</v>
      </c>
      <c r="C19" s="90"/>
      <c r="D19" s="91"/>
      <c r="E19" s="9">
        <v>0</v>
      </c>
      <c r="F19" s="8" t="s">
        <v>3</v>
      </c>
      <c r="G19" s="1"/>
    </row>
    <row r="20" spans="1:7" x14ac:dyDescent="0.25">
      <c r="A20" s="1"/>
      <c r="B20" s="89" t="s">
        <v>20</v>
      </c>
      <c r="C20" s="90"/>
      <c r="D20" s="91"/>
      <c r="E20" s="9">
        <v>2638072.7662167046</v>
      </c>
      <c r="F20" s="8" t="s">
        <v>3</v>
      </c>
      <c r="G20" s="1"/>
    </row>
    <row r="21" spans="1:7" x14ac:dyDescent="0.25">
      <c r="A21" s="1"/>
      <c r="B21" s="89" t="s">
        <v>10</v>
      </c>
      <c r="C21" s="90"/>
      <c r="D21" s="91"/>
      <c r="E21" s="9">
        <v>0</v>
      </c>
      <c r="F21" s="8" t="s">
        <v>3</v>
      </c>
      <c r="G21" s="1"/>
    </row>
    <row r="22" spans="1:7" x14ac:dyDescent="0.25">
      <c r="A22" s="1"/>
      <c r="B22" s="89" t="s">
        <v>27</v>
      </c>
      <c r="C22" s="90"/>
      <c r="D22" s="91"/>
      <c r="E22" s="9">
        <f>-'Fane 4.1. Gen. krav - drift'!G36</f>
        <v>-892904.06170115969</v>
      </c>
      <c r="F22" s="8" t="s">
        <v>3</v>
      </c>
      <c r="G22" s="1"/>
    </row>
    <row r="23" spans="1:7" x14ac:dyDescent="0.25">
      <c r="A23" s="1"/>
      <c r="B23" s="89" t="s">
        <v>28</v>
      </c>
      <c r="C23" s="90"/>
      <c r="D23" s="91"/>
      <c r="E23" s="9">
        <f>-'Fane 4.2. Gen. krav - anlæg'!G35</f>
        <v>-1941041.4295512286</v>
      </c>
      <c r="F23" s="8" t="s">
        <v>3</v>
      </c>
      <c r="G23" s="1"/>
    </row>
    <row r="24" spans="1:7" x14ac:dyDescent="0.25">
      <c r="A24" s="1"/>
      <c r="B24" s="101" t="s">
        <v>22</v>
      </c>
      <c r="C24" s="102"/>
      <c r="D24" s="103"/>
      <c r="E24" s="10">
        <f>SUM(E9,E14:E23)</f>
        <v>150792686.80836931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98" t="s">
        <v>13</v>
      </c>
      <c r="C26" s="99"/>
      <c r="D26" s="100"/>
      <c r="E26" s="10">
        <v>5683259.9136630399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104" t="s">
        <v>78</v>
      </c>
      <c r="C28" s="105"/>
      <c r="D28" s="106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92" t="s">
        <v>73</v>
      </c>
      <c r="C30" s="93"/>
      <c r="D30" s="94"/>
      <c r="E30" s="33">
        <v>0</v>
      </c>
      <c r="F30" s="8" t="s">
        <v>3</v>
      </c>
      <c r="G30" s="1"/>
    </row>
    <row r="31" spans="1:7" ht="15.75" customHeight="1" x14ac:dyDescent="0.25">
      <c r="A31" s="1"/>
      <c r="B31" s="92" t="s">
        <v>74</v>
      </c>
      <c r="C31" s="93"/>
      <c r="D31" s="94"/>
      <c r="E31" s="33">
        <v>0</v>
      </c>
      <c r="F31" s="8" t="s">
        <v>3</v>
      </c>
      <c r="G31" s="1"/>
    </row>
    <row r="32" spans="1:7" x14ac:dyDescent="0.25">
      <c r="A32" s="1"/>
      <c r="B32" s="48" t="s">
        <v>79</v>
      </c>
      <c r="C32" s="46"/>
      <c r="D32" s="47"/>
      <c r="E32" s="10">
        <v>0</v>
      </c>
      <c r="F32" s="11" t="s">
        <v>3</v>
      </c>
      <c r="G32" s="1"/>
    </row>
    <row r="33" spans="1:7" x14ac:dyDescent="0.25">
      <c r="A33" s="1"/>
      <c r="B33" s="35" t="s">
        <v>283</v>
      </c>
      <c r="C33" s="36"/>
      <c r="D33" s="36"/>
      <c r="E33" s="36"/>
      <c r="F33" s="20"/>
      <c r="G33" s="1"/>
    </row>
    <row r="34" spans="1:7" ht="15" customHeight="1" x14ac:dyDescent="0.25">
      <c r="A34" s="1"/>
      <c r="B34" s="98" t="s">
        <v>283</v>
      </c>
      <c r="C34" s="99"/>
      <c r="D34" s="100"/>
      <c r="E34" s="10">
        <v>-100231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156375715.72203234</v>
      </c>
      <c r="F35" s="13" t="s">
        <v>3</v>
      </c>
      <c r="G35" s="1"/>
    </row>
    <row r="36" spans="1:7" ht="26.85" customHeight="1" x14ac:dyDescent="0.25">
      <c r="A36" s="1"/>
      <c r="B36" s="95" t="s">
        <v>226</v>
      </c>
      <c r="C36" s="96"/>
      <c r="D36" s="96"/>
      <c r="E36" s="96"/>
      <c r="F36" s="9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0QKv+yw9XMMFlOxje/Af0HPaozuijxPm4qYz1YoTOABD0G4JTout7BVZN1SoQVw+mHHXyNl1pBP76jhHt9n5Q==" saltValue="FE2NHP7Fz913yWv8P9aq6w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85" t="s">
        <v>121</v>
      </c>
      <c r="C1" s="85"/>
      <c r="D1" s="85"/>
      <c r="E1" s="85"/>
      <c r="F1" s="85"/>
      <c r="G1" s="85"/>
      <c r="H1" s="85"/>
      <c r="I1" s="1"/>
    </row>
    <row r="2" spans="1:9" ht="15" customHeight="1" x14ac:dyDescent="0.25">
      <c r="A2" s="1"/>
      <c r="B2" s="85"/>
      <c r="C2" s="85"/>
      <c r="D2" s="85"/>
      <c r="E2" s="85"/>
      <c r="F2" s="85"/>
      <c r="G2" s="85"/>
      <c r="H2" s="85"/>
      <c r="I2" s="1"/>
    </row>
    <row r="3" spans="1:9" ht="15" customHeight="1" x14ac:dyDescent="0.25">
      <c r="A3" s="1"/>
      <c r="B3" s="85"/>
      <c r="C3" s="85"/>
      <c r="D3" s="85"/>
      <c r="E3" s="85"/>
      <c r="F3" s="85"/>
      <c r="G3" s="85"/>
      <c r="H3" s="85"/>
      <c r="I3" s="1"/>
    </row>
    <row r="4" spans="1:9" x14ac:dyDescent="0.25">
      <c r="A4" s="1"/>
      <c r="B4" s="113" t="s">
        <v>229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07" t="s">
        <v>230</v>
      </c>
      <c r="C5" s="108"/>
      <c r="D5" s="108"/>
      <c r="E5" s="108"/>
      <c r="F5" s="109"/>
      <c r="G5" s="41">
        <v>45109800</v>
      </c>
      <c r="H5" s="14" t="s">
        <v>3</v>
      </c>
      <c r="I5" s="1"/>
    </row>
    <row r="6" spans="1:9" ht="15" customHeight="1" x14ac:dyDescent="0.25">
      <c r="A6" s="1"/>
      <c r="B6" s="95" t="s">
        <v>231</v>
      </c>
      <c r="C6" s="96"/>
      <c r="D6" s="96"/>
      <c r="E6" s="96"/>
      <c r="F6" s="97"/>
      <c r="G6" s="33">
        <v>0</v>
      </c>
      <c r="H6" s="14" t="s">
        <v>3</v>
      </c>
      <c r="I6" s="1"/>
    </row>
    <row r="7" spans="1:9" x14ac:dyDescent="0.25">
      <c r="A7" s="1"/>
      <c r="B7" s="107" t="s">
        <v>232</v>
      </c>
      <c r="C7" s="108"/>
      <c r="D7" s="108"/>
      <c r="E7" s="108"/>
      <c r="F7" s="109"/>
      <c r="G7" s="41">
        <f>SUM(G5:G6)*'Fane 14. Nøgletal'!C29</f>
        <v>902196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3" t="s">
        <v>53</v>
      </c>
      <c r="C10" s="114"/>
      <c r="D10" s="114"/>
      <c r="E10" s="114"/>
      <c r="F10" s="114"/>
      <c r="G10" s="114"/>
      <c r="H10" s="115"/>
      <c r="I10" s="1"/>
    </row>
    <row r="11" spans="1:9" x14ac:dyDescent="0.25">
      <c r="A11" s="1"/>
      <c r="B11" s="107" t="s">
        <v>233</v>
      </c>
      <c r="C11" s="108"/>
      <c r="D11" s="108"/>
      <c r="E11" s="108"/>
      <c r="F11" s="109"/>
      <c r="G11" s="41">
        <f>(G5-G7)*(1+'Fane 14. Nøgletal'!C10)</f>
        <v>44981237.07</v>
      </c>
      <c r="H11" s="14" t="s">
        <v>3</v>
      </c>
      <c r="I11" s="1"/>
    </row>
    <row r="12" spans="1:9" x14ac:dyDescent="0.25">
      <c r="A12" s="1"/>
      <c r="B12" s="107" t="s">
        <v>133</v>
      </c>
      <c r="C12" s="108"/>
      <c r="D12" s="108"/>
      <c r="E12" s="108"/>
      <c r="F12" s="109"/>
      <c r="G12" s="41">
        <v>-34901.024410154503</v>
      </c>
      <c r="H12" s="14" t="s">
        <v>3</v>
      </c>
      <c r="I12" s="1"/>
    </row>
    <row r="13" spans="1:9" x14ac:dyDescent="0.25">
      <c r="A13" s="1"/>
      <c r="B13" s="95" t="s">
        <v>131</v>
      </c>
      <c r="C13" s="96"/>
      <c r="D13" s="96"/>
      <c r="E13" s="96"/>
      <c r="F13" s="97"/>
      <c r="G13" s="33">
        <v>0</v>
      </c>
      <c r="H13" s="14" t="s">
        <v>3</v>
      </c>
      <c r="I13" s="1"/>
    </row>
    <row r="14" spans="1:9" x14ac:dyDescent="0.25">
      <c r="A14" s="1"/>
      <c r="B14" s="118" t="s">
        <v>234</v>
      </c>
      <c r="C14" s="111"/>
      <c r="D14" s="111"/>
      <c r="E14" s="111"/>
      <c r="F14" s="112"/>
      <c r="G14" s="33">
        <v>0</v>
      </c>
      <c r="H14" s="14" t="s">
        <v>3</v>
      </c>
      <c r="I14" s="1"/>
    </row>
    <row r="15" spans="1:9" x14ac:dyDescent="0.25">
      <c r="A15" s="1"/>
      <c r="B15" s="107" t="s">
        <v>46</v>
      </c>
      <c r="C15" s="108"/>
      <c r="D15" s="108"/>
      <c r="E15" s="108"/>
      <c r="F15" s="109"/>
      <c r="G15" s="41">
        <f>SUM(G11:G14)*'Fane 14. Nøgletal'!C29</f>
        <v>898926.72091179702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3" t="s">
        <v>54</v>
      </c>
      <c r="C18" s="114"/>
      <c r="D18" s="114"/>
      <c r="E18" s="114"/>
      <c r="F18" s="114"/>
      <c r="G18" s="114"/>
      <c r="H18" s="115"/>
      <c r="I18" s="1"/>
    </row>
    <row r="19" spans="1:9" x14ac:dyDescent="0.25">
      <c r="A19" s="1"/>
      <c r="B19" s="107" t="s">
        <v>47</v>
      </c>
      <c r="C19" s="108"/>
      <c r="D19" s="108"/>
      <c r="E19" s="108"/>
      <c r="F19" s="109"/>
      <c r="G19" s="41">
        <f>(G11+G12+G14-G15)*(1+'Fane 14. Nøgletal'!C10)</f>
        <v>44818238.987859927</v>
      </c>
      <c r="H19" s="14" t="s">
        <v>3</v>
      </c>
      <c r="I19" s="1"/>
    </row>
    <row r="20" spans="1:9" x14ac:dyDescent="0.25">
      <c r="A20" s="1"/>
      <c r="B20" s="118" t="s">
        <v>48</v>
      </c>
      <c r="C20" s="111"/>
      <c r="D20" s="111"/>
      <c r="E20" s="111"/>
      <c r="F20" s="112"/>
      <c r="G20" s="33">
        <v>0</v>
      </c>
      <c r="H20" s="14" t="s">
        <v>3</v>
      </c>
      <c r="I20" s="1"/>
    </row>
    <row r="21" spans="1:9" x14ac:dyDescent="0.25">
      <c r="A21" s="1"/>
      <c r="B21" s="107" t="s">
        <v>49</v>
      </c>
      <c r="C21" s="108"/>
      <c r="D21" s="108"/>
      <c r="E21" s="108"/>
      <c r="F21" s="109"/>
      <c r="G21" s="41">
        <f>(G19+G20)*'Fane 14. Nøgletal'!C29</f>
        <v>896364.77975719853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3" t="s">
        <v>55</v>
      </c>
      <c r="C24" s="114"/>
      <c r="D24" s="114"/>
      <c r="E24" s="114"/>
      <c r="F24" s="114"/>
      <c r="G24" s="114"/>
      <c r="H24" s="115"/>
      <c r="I24" s="1"/>
    </row>
    <row r="25" spans="1:9" x14ac:dyDescent="0.25">
      <c r="A25" s="1"/>
      <c r="B25" s="107" t="s">
        <v>50</v>
      </c>
      <c r="C25" s="108"/>
      <c r="D25" s="108"/>
      <c r="E25" s="108"/>
      <c r="F25" s="109"/>
      <c r="G25" s="41">
        <f>G19*(1-'Fane 14. Nøgletal'!C29)*(1+'Fane 14. Nøgletal'!C10)+G20*(1-'Fane 14. Nøgletal'!C29)*(1+'Fane 14. Nøgletal'!C11)</f>
        <v>44690507.006744526</v>
      </c>
      <c r="H25" s="14" t="s">
        <v>3</v>
      </c>
      <c r="I25" s="1"/>
    </row>
    <row r="26" spans="1:9" x14ac:dyDescent="0.25">
      <c r="A26" s="1"/>
      <c r="B26" s="110" t="s">
        <v>235</v>
      </c>
      <c r="C26" s="116"/>
      <c r="D26" s="116"/>
      <c r="E26" s="116"/>
      <c r="F26" s="117"/>
      <c r="G26" s="33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18" t="s">
        <v>51</v>
      </c>
      <c r="C27" s="111"/>
      <c r="D27" s="111"/>
      <c r="E27" s="111"/>
      <c r="F27" s="112"/>
      <c r="G27" s="41">
        <v>22140.207800370004</v>
      </c>
      <c r="H27" s="14" t="s">
        <v>3</v>
      </c>
      <c r="I27" s="1"/>
    </row>
    <row r="28" spans="1:9" x14ac:dyDescent="0.25">
      <c r="A28" s="1"/>
      <c r="B28" s="107" t="s">
        <v>52</v>
      </c>
      <c r="C28" s="108"/>
      <c r="D28" s="108"/>
      <c r="E28" s="108"/>
      <c r="F28" s="109"/>
      <c r="G28" s="41">
        <f>SUM(G25,G27)*'Fane 14. Nøgletal'!C29</f>
        <v>894252.94429089804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3" t="s">
        <v>56</v>
      </c>
      <c r="C31" s="114"/>
      <c r="D31" s="114"/>
      <c r="E31" s="114"/>
      <c r="F31" s="114"/>
      <c r="G31" s="114"/>
      <c r="H31" s="115"/>
      <c r="I31" s="1"/>
    </row>
    <row r="32" spans="1:9" x14ac:dyDescent="0.25">
      <c r="A32" s="1"/>
      <c r="B32" s="107" t="s">
        <v>57</v>
      </c>
      <c r="C32" s="108"/>
      <c r="D32" s="108"/>
      <c r="E32" s="108"/>
      <c r="F32" s="109"/>
      <c r="G32" s="41">
        <f>(G25-G26)*(1-'Fane 14. Nøgletal'!C29)*(1+'Fane 14. Nøgletal'!C10)+G26*(1-'Fane 14. Nøgletal'!C29)*(1+'Fane 14. Nøgletal'!C11)+G27*(1-'Fane 14. Nøgletal'!C29)*(1+'Fane 14. Nøgletal'!C12)</f>
        <v>44585263.904271461</v>
      </c>
      <c r="H32" s="14" t="s">
        <v>3</v>
      </c>
      <c r="I32" s="1"/>
    </row>
    <row r="33" spans="1:9" x14ac:dyDescent="0.25">
      <c r="A33" s="1"/>
      <c r="B33" s="110" t="s">
        <v>235</v>
      </c>
      <c r="C33" s="111"/>
      <c r="D33" s="111"/>
      <c r="E33" s="111"/>
      <c r="F33" s="112"/>
      <c r="G33" s="33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0" t="s">
        <v>130</v>
      </c>
      <c r="C34" s="111"/>
      <c r="D34" s="111"/>
      <c r="E34" s="111"/>
      <c r="F34" s="112"/>
      <c r="G34" s="41">
        <f>G27*(1-'Fane 14. Nøgletal'!C29)*(1+'Fane 14. Nøgletal'!C12)</f>
        <v>22124.842496156547</v>
      </c>
      <c r="H34" s="14" t="s">
        <v>3</v>
      </c>
      <c r="I34" s="1"/>
    </row>
    <row r="35" spans="1:9" x14ac:dyDescent="0.25">
      <c r="A35" s="1"/>
      <c r="B35" s="107" t="s">
        <v>159</v>
      </c>
      <c r="C35" s="108"/>
      <c r="D35" s="108"/>
      <c r="E35" s="108"/>
      <c r="F35" s="109"/>
      <c r="G35" s="41">
        <v>59939.180786519995</v>
      </c>
      <c r="H35" s="14" t="s">
        <v>3</v>
      </c>
      <c r="I35" s="1"/>
    </row>
    <row r="36" spans="1:9" x14ac:dyDescent="0.25">
      <c r="A36" s="1"/>
      <c r="B36" s="107" t="s">
        <v>58</v>
      </c>
      <c r="C36" s="108"/>
      <c r="D36" s="108"/>
      <c r="E36" s="108"/>
      <c r="F36" s="109"/>
      <c r="G36" s="41">
        <f>SUM(G32,G35)*'Fane 14. Nøgletal'!C29</f>
        <v>892904.06170115969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3" t="s">
        <v>191</v>
      </c>
      <c r="C39" s="114"/>
      <c r="D39" s="114"/>
      <c r="E39" s="114"/>
      <c r="F39" s="114"/>
      <c r="G39" s="114"/>
      <c r="H39" s="115"/>
      <c r="I39" s="1"/>
    </row>
    <row r="40" spans="1:9" x14ac:dyDescent="0.25">
      <c r="A40" s="1"/>
      <c r="B40" s="107" t="s">
        <v>245</v>
      </c>
      <c r="C40" s="108"/>
      <c r="D40" s="108"/>
      <c r="E40" s="108"/>
      <c r="F40" s="109"/>
      <c r="G40" s="41">
        <f>(SUM(G32,G35)-G36)*(1+'Fane 14. Nøgletal'!C14)</f>
        <v>43896681.610133909</v>
      </c>
      <c r="H40" s="14" t="s">
        <v>3</v>
      </c>
      <c r="I40" s="1"/>
    </row>
    <row r="41" spans="1:9" x14ac:dyDescent="0.25">
      <c r="A41" s="1"/>
      <c r="B41" s="107" t="s">
        <v>244</v>
      </c>
      <c r="C41" s="108"/>
      <c r="D41" s="108"/>
      <c r="E41" s="108"/>
      <c r="F41" s="109"/>
      <c r="G41" s="41">
        <f>(SUM('Fane 2.1. Økonomisk ramme 2022'!C10,'Fane 2.1. Økonomisk ramme 2022'!C12,'Fane 2.1. Økonomisk ramme 2022'!C14)*(1+'Fane 14. Nøgletal'!C14))</f>
        <v>96727.253641880015</v>
      </c>
      <c r="H41" s="14" t="s">
        <v>3</v>
      </c>
      <c r="I41" s="1"/>
    </row>
    <row r="42" spans="1:9" x14ac:dyDescent="0.25">
      <c r="A42" s="1"/>
      <c r="B42" s="107" t="s">
        <v>243</v>
      </c>
      <c r="C42" s="108"/>
      <c r="D42" s="108"/>
      <c r="E42" s="108"/>
      <c r="F42" s="109"/>
      <c r="G42" s="41">
        <f>(G40+G41)*'Fane 14. Nøgletal'!C29</f>
        <v>879868.17727551586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3" t="s">
        <v>223</v>
      </c>
      <c r="C45" s="114"/>
      <c r="D45" s="114"/>
      <c r="E45" s="114"/>
      <c r="F45" s="114"/>
      <c r="G45" s="114"/>
      <c r="H45" s="115"/>
      <c r="I45" s="1"/>
    </row>
    <row r="46" spans="1:9" x14ac:dyDescent="0.25">
      <c r="A46" s="1"/>
      <c r="B46" s="107" t="s">
        <v>256</v>
      </c>
      <c r="C46" s="108"/>
      <c r="D46" s="108"/>
      <c r="E46" s="108"/>
      <c r="F46" s="109"/>
      <c r="G46" s="41">
        <f>(G40+G41-G42)*(1+'Fane 14. Nøgletal'!C14)</f>
        <v>43255815.370765731</v>
      </c>
      <c r="H46" s="14" t="s">
        <v>3</v>
      </c>
      <c r="I46" s="1"/>
    </row>
    <row r="47" spans="1:9" x14ac:dyDescent="0.25">
      <c r="A47" s="1"/>
      <c r="B47" s="110" t="s">
        <v>258</v>
      </c>
      <c r="C47" s="111"/>
      <c r="D47" s="111"/>
      <c r="E47" s="111"/>
      <c r="F47" s="112"/>
      <c r="G47" s="41">
        <f>G41*(1+'Fane 14. Nøgletal'!C14)</f>
        <v>97046.453578898232</v>
      </c>
      <c r="H47" s="14" t="s">
        <v>3</v>
      </c>
      <c r="I47" s="1"/>
    </row>
    <row r="48" spans="1:9" x14ac:dyDescent="0.25">
      <c r="A48" s="1"/>
      <c r="B48" s="107" t="s">
        <v>81</v>
      </c>
      <c r="C48" s="108"/>
      <c r="D48" s="108"/>
      <c r="E48" s="108"/>
      <c r="F48" s="109"/>
      <c r="G48" s="33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07" t="s">
        <v>257</v>
      </c>
      <c r="C49" s="108"/>
      <c r="D49" s="108"/>
      <c r="E49" s="108"/>
      <c r="F49" s="109"/>
      <c r="G49" s="41">
        <f>(G46+G48)*'Fane 14. Nøgletal'!C29</f>
        <v>865116.3074153146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13" t="s">
        <v>160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07" t="s">
        <v>161</v>
      </c>
      <c r="C54" s="108"/>
      <c r="D54" s="108"/>
      <c r="E54" s="108"/>
      <c r="F54" s="109"/>
      <c r="G54" s="41">
        <f>(G46+G48-G49)*(1+'Fane 14. Nøgletal'!C14)</f>
        <v>42530588.370259479</v>
      </c>
      <c r="H54" s="14" t="s">
        <v>3</v>
      </c>
      <c r="I54" s="1"/>
    </row>
    <row r="55" spans="1:9" x14ac:dyDescent="0.25">
      <c r="A55" s="1"/>
      <c r="B55" s="107" t="s">
        <v>162</v>
      </c>
      <c r="C55" s="108"/>
      <c r="D55" s="108"/>
      <c r="E55" s="108"/>
      <c r="F55" s="109"/>
      <c r="G55" s="33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07" t="s">
        <v>163</v>
      </c>
      <c r="C56" s="108"/>
      <c r="D56" s="108"/>
      <c r="E56" s="108"/>
      <c r="F56" s="109"/>
      <c r="G56" s="41">
        <f>(G54+G55)*'Fane 14. Nøgletal'!C29</f>
        <v>850611.76740518957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54" t="s">
        <v>224</v>
      </c>
      <c r="C59" s="55"/>
      <c r="D59" s="55"/>
      <c r="E59" s="55"/>
      <c r="F59" s="55"/>
      <c r="G59" s="55"/>
      <c r="H59" s="56"/>
      <c r="I59" s="1"/>
    </row>
    <row r="60" spans="1:9" x14ac:dyDescent="0.25">
      <c r="A60" s="1"/>
      <c r="B60" s="57" t="s">
        <v>236</v>
      </c>
      <c r="C60" s="58"/>
      <c r="D60" s="58"/>
      <c r="E60" s="58"/>
      <c r="F60" s="59"/>
      <c r="G60" s="41">
        <f>(G54+G55-G56)*(1+'Fane 14. Nøgletal'!C14)</f>
        <v>41817520.525643714</v>
      </c>
      <c r="H60" s="14" t="s">
        <v>3</v>
      </c>
      <c r="I60" s="1"/>
    </row>
    <row r="61" spans="1:9" x14ac:dyDescent="0.25">
      <c r="A61" s="1"/>
      <c r="B61" s="57" t="s">
        <v>237</v>
      </c>
      <c r="C61" s="58"/>
      <c r="D61" s="58"/>
      <c r="E61" s="58"/>
      <c r="F61" s="59"/>
      <c r="G61" s="33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7" t="s">
        <v>238</v>
      </c>
      <c r="C62" s="58"/>
      <c r="D62" s="58"/>
      <c r="E62" s="58"/>
      <c r="F62" s="59"/>
      <c r="G62" s="41">
        <f>(G60+G61)*'Fane 14. Nøgletal'!C29</f>
        <v>836350.41051287425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SR3a2qi1R+7phJi287Lfkdx9S2NCEH3jxy1qZVSgIvw+5CVnnnZPDFGgq0CseZHuUwTPyhI5C52QQKQGWrPlVQ==" saltValue="1L+yl+q66fL3sT5oELPDUA==" spinCount="100000" sheet="1" objects="1" scenarios="1"/>
  <mergeCells count="39"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1:H3"/>
    <mergeCell ref="B4:H4"/>
    <mergeCell ref="B5:F5"/>
    <mergeCell ref="B7:F7"/>
    <mergeCell ref="B11:F11"/>
    <mergeCell ref="B10:H10"/>
    <mergeCell ref="B6:F6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41:F41"/>
    <mergeCell ref="B47:F47"/>
    <mergeCell ref="B53:H53"/>
    <mergeCell ref="B54:F54"/>
    <mergeCell ref="B55:F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42578125" style="2" customWidth="1"/>
    <col min="8" max="8" width="8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25">
      <c r="A3" s="1"/>
      <c r="B3" s="119"/>
      <c r="C3" s="119"/>
      <c r="D3" s="119"/>
      <c r="E3" s="119"/>
      <c r="F3" s="119"/>
      <c r="G3" s="119"/>
      <c r="H3" s="119"/>
      <c r="I3" s="1"/>
    </row>
    <row r="4" spans="1:9" ht="18.75" x14ac:dyDescent="0.3">
      <c r="A4" s="1"/>
      <c r="B4" s="29"/>
      <c r="C4" s="29"/>
      <c r="D4" s="29"/>
      <c r="E4" s="29"/>
      <c r="F4" s="29"/>
      <c r="G4" s="29"/>
      <c r="H4" s="29"/>
      <c r="I4" s="1"/>
    </row>
    <row r="5" spans="1:9" x14ac:dyDescent="0.25">
      <c r="A5" s="1"/>
      <c r="B5" s="113" t="s">
        <v>246</v>
      </c>
      <c r="C5" s="114"/>
      <c r="D5" s="114"/>
      <c r="E5" s="114"/>
      <c r="F5" s="114"/>
      <c r="G5" s="114"/>
      <c r="H5" s="115"/>
      <c r="I5" s="1"/>
    </row>
    <row r="6" spans="1:9" x14ac:dyDescent="0.25">
      <c r="A6" s="1"/>
      <c r="B6" s="107" t="s">
        <v>247</v>
      </c>
      <c r="C6" s="108"/>
      <c r="D6" s="108"/>
      <c r="E6" s="108"/>
      <c r="F6" s="109"/>
      <c r="G6" s="41">
        <v>104140737.12993045</v>
      </c>
      <c r="H6" s="14" t="s">
        <v>3</v>
      </c>
      <c r="I6" s="1"/>
    </row>
    <row r="7" spans="1:9" x14ac:dyDescent="0.25">
      <c r="A7" s="1"/>
      <c r="B7" s="107" t="s">
        <v>239</v>
      </c>
      <c r="C7" s="108"/>
      <c r="D7" s="108"/>
      <c r="E7" s="108"/>
      <c r="F7" s="109"/>
      <c r="G7" s="41">
        <f>G6*'Fane 14. Nøgletal'!C19</f>
        <v>947680.70788236719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3" t="s">
        <v>59</v>
      </c>
      <c r="C10" s="114"/>
      <c r="D10" s="114"/>
      <c r="E10" s="114"/>
      <c r="F10" s="114"/>
      <c r="G10" s="114"/>
      <c r="H10" s="115"/>
      <c r="I10" s="1"/>
    </row>
    <row r="11" spans="1:9" x14ac:dyDescent="0.25">
      <c r="A11" s="1"/>
      <c r="B11" s="107" t="s">
        <v>248</v>
      </c>
      <c r="C11" s="108"/>
      <c r="D11" s="108"/>
      <c r="E11" s="108"/>
      <c r="F11" s="109"/>
      <c r="G11" s="41">
        <f>(G6-G7)*(1+'Fane 14. Nøgletal'!C10)</f>
        <v>104998934.90943393</v>
      </c>
      <c r="H11" s="14" t="s">
        <v>3</v>
      </c>
      <c r="I11" s="1"/>
    </row>
    <row r="12" spans="1:9" x14ac:dyDescent="0.25">
      <c r="A12" s="1"/>
      <c r="B12" s="107" t="s">
        <v>134</v>
      </c>
      <c r="C12" s="108"/>
      <c r="D12" s="108"/>
      <c r="E12" s="108"/>
      <c r="F12" s="109"/>
      <c r="G12" s="41">
        <v>1204451.7044014877</v>
      </c>
      <c r="H12" s="14" t="s">
        <v>3</v>
      </c>
      <c r="I12" s="1"/>
    </row>
    <row r="13" spans="1:9" x14ac:dyDescent="0.25">
      <c r="A13" s="1"/>
      <c r="B13" s="118" t="s">
        <v>249</v>
      </c>
      <c r="C13" s="111"/>
      <c r="D13" s="111"/>
      <c r="E13" s="111"/>
      <c r="F13" s="112"/>
      <c r="G13" s="33">
        <v>0</v>
      </c>
      <c r="H13" s="14" t="s">
        <v>3</v>
      </c>
      <c r="I13" s="1"/>
    </row>
    <row r="14" spans="1:9" x14ac:dyDescent="0.25">
      <c r="A14" s="1"/>
      <c r="B14" s="107" t="s">
        <v>60</v>
      </c>
      <c r="C14" s="108"/>
      <c r="D14" s="108"/>
      <c r="E14" s="108"/>
      <c r="F14" s="109"/>
      <c r="G14" s="41">
        <f>SUM(G11:G13)*'Fane 14. Nøgletal'!C20</f>
        <v>1879799.9430648871</v>
      </c>
      <c r="H14" s="14" t="s">
        <v>3</v>
      </c>
      <c r="I14" s="1"/>
    </row>
    <row r="15" spans="1:9" x14ac:dyDescent="0.25">
      <c r="A15" s="1"/>
      <c r="B15" s="35"/>
      <c r="C15" s="36"/>
      <c r="D15" s="36"/>
      <c r="E15" s="36"/>
      <c r="F15" s="36"/>
      <c r="G15" s="36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13" t="s">
        <v>61</v>
      </c>
      <c r="C17" s="114"/>
      <c r="D17" s="114"/>
      <c r="E17" s="114"/>
      <c r="F17" s="114"/>
      <c r="G17" s="114"/>
      <c r="H17" s="115"/>
      <c r="I17" s="1"/>
    </row>
    <row r="18" spans="1:9" x14ac:dyDescent="0.25">
      <c r="A18" s="1"/>
      <c r="B18" s="107" t="s">
        <v>62</v>
      </c>
      <c r="C18" s="108"/>
      <c r="D18" s="108"/>
      <c r="E18" s="108"/>
      <c r="F18" s="109"/>
      <c r="G18" s="41">
        <f>(G11+G12+G13-G14)*(1+'Fane 14. Nøgletal'!C10)</f>
        <v>106149249.43750903</v>
      </c>
      <c r="H18" s="14" t="s">
        <v>3</v>
      </c>
      <c r="I18" s="1"/>
    </row>
    <row r="19" spans="1:9" x14ac:dyDescent="0.25">
      <c r="A19" s="1"/>
      <c r="B19" s="118" t="s">
        <v>63</v>
      </c>
      <c r="C19" s="111"/>
      <c r="D19" s="111"/>
      <c r="E19" s="111"/>
      <c r="F19" s="112"/>
      <c r="G19" s="41">
        <v>1673834.0475682097</v>
      </c>
      <c r="H19" s="14" t="s">
        <v>3</v>
      </c>
      <c r="I19" s="1"/>
    </row>
    <row r="20" spans="1:9" x14ac:dyDescent="0.25">
      <c r="A20" s="1"/>
      <c r="B20" s="107" t="s">
        <v>64</v>
      </c>
      <c r="C20" s="108"/>
      <c r="D20" s="108"/>
      <c r="E20" s="108"/>
      <c r="F20" s="109"/>
      <c r="G20" s="41">
        <f>G18*'Fane 14. Nøgletal'!C20+G19*'Fane 14. Nøgletal'!C21</f>
        <v>1893404.0712577533</v>
      </c>
      <c r="H20" s="14" t="s">
        <v>3</v>
      </c>
      <c r="I20" s="1"/>
    </row>
    <row r="21" spans="1:9" x14ac:dyDescent="0.25">
      <c r="A21" s="1"/>
      <c r="B21" s="35"/>
      <c r="C21" s="36"/>
      <c r="D21" s="36"/>
      <c r="E21" s="36"/>
      <c r="F21" s="36"/>
      <c r="G21" s="36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3" t="s">
        <v>222</v>
      </c>
      <c r="C23" s="114"/>
      <c r="D23" s="114"/>
      <c r="E23" s="114"/>
      <c r="F23" s="114"/>
      <c r="G23" s="114"/>
      <c r="H23" s="115"/>
      <c r="I23" s="1"/>
    </row>
    <row r="24" spans="1:9" x14ac:dyDescent="0.25">
      <c r="A24" s="1"/>
      <c r="B24" s="107" t="s">
        <v>65</v>
      </c>
      <c r="C24" s="108"/>
      <c r="D24" s="108"/>
      <c r="E24" s="108"/>
      <c r="F24" s="109"/>
      <c r="G24" s="41">
        <f>G18*(1-'Fane 14. Nøgletal'!C20)*(1+'Fane 14. Nøgletal'!C10)+G19*(1-'Fane 14. Nøgletal'!C21)*(1+'Fane 14. Nøgletal'!C11)</f>
        <v>107782453.24054651</v>
      </c>
      <c r="H24" s="14" t="s">
        <v>3</v>
      </c>
      <c r="I24" s="1"/>
    </row>
    <row r="25" spans="1:9" x14ac:dyDescent="0.25">
      <c r="A25" s="1"/>
      <c r="B25" s="110" t="s">
        <v>250</v>
      </c>
      <c r="C25" s="111"/>
      <c r="D25" s="111"/>
      <c r="E25" s="111"/>
      <c r="F25" s="112"/>
      <c r="G25" s="41">
        <f>G19*(1-'Fane 14. Nøgletal'!C21)*(1+'Fane 14. Nøgletal'!C11)</f>
        <v>1687313.3829382549</v>
      </c>
      <c r="H25" s="14" t="s">
        <v>3</v>
      </c>
      <c r="I25" s="1"/>
    </row>
    <row r="26" spans="1:9" x14ac:dyDescent="0.25">
      <c r="A26" s="1"/>
      <c r="B26" s="118" t="s">
        <v>66</v>
      </c>
      <c r="C26" s="111"/>
      <c r="D26" s="111"/>
      <c r="E26" s="111"/>
      <c r="F26" s="112"/>
      <c r="G26" s="41">
        <v>858288.4275717776</v>
      </c>
      <c r="H26" s="14" t="s">
        <v>3</v>
      </c>
      <c r="I26" s="1"/>
    </row>
    <row r="27" spans="1:9" x14ac:dyDescent="0.25">
      <c r="A27" s="1"/>
      <c r="B27" s="107" t="s">
        <v>67</v>
      </c>
      <c r="C27" s="108"/>
      <c r="D27" s="108"/>
      <c r="E27" s="108"/>
      <c r="F27" s="109"/>
      <c r="G27" s="41">
        <f>(G24-G25)*'Fane 14. Nøgletal'!C21+G25*'Fane 14. Nøgletal'!C22+G26*'Fane 14. Nøgletal'!C23</f>
        <v>994550.34859486215</v>
      </c>
      <c r="H27" s="14" t="s">
        <v>3</v>
      </c>
      <c r="I27" s="1"/>
    </row>
    <row r="28" spans="1:9" x14ac:dyDescent="0.25">
      <c r="A28" s="1"/>
      <c r="B28" s="35"/>
      <c r="C28" s="36"/>
      <c r="D28" s="36"/>
      <c r="E28" s="36"/>
      <c r="F28" s="36"/>
      <c r="G28" s="36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13" t="s">
        <v>68</v>
      </c>
      <c r="C30" s="114"/>
      <c r="D30" s="114"/>
      <c r="E30" s="114"/>
      <c r="F30" s="114"/>
      <c r="G30" s="114"/>
      <c r="H30" s="115"/>
      <c r="I30" s="1"/>
    </row>
    <row r="31" spans="1:9" x14ac:dyDescent="0.25">
      <c r="A31" s="1"/>
      <c r="B31" s="107" t="s">
        <v>69</v>
      </c>
      <c r="C31" s="108"/>
      <c r="D31" s="108"/>
      <c r="E31" s="108"/>
      <c r="F31" s="109"/>
      <c r="G31" s="41">
        <f>(G24-G25)*(1-'Fane 14. Nøgletal'!C20)*(1+'Fane 14. Nøgletal'!C10)+G25*(1-'Fane 14. Nøgletal'!C21)*(1+'Fane 14. Nøgletal'!C11)+G26*(1-'Fane 14. Nøgletal'!C22)*(1+'Fane 14. Nøgletal'!C12)</f>
        <v>108592300.25009994</v>
      </c>
      <c r="H31" s="14" t="s">
        <v>3</v>
      </c>
      <c r="I31" s="1"/>
    </row>
    <row r="32" spans="1:9" x14ac:dyDescent="0.25">
      <c r="A32" s="1"/>
      <c r="B32" s="110" t="s">
        <v>251</v>
      </c>
      <c r="C32" s="111"/>
      <c r="D32" s="111"/>
      <c r="E32" s="111"/>
      <c r="F32" s="112"/>
      <c r="G32" s="41">
        <f>G25*(1-'Fane 14. Nøgletal'!C21)*(1+'Fane 14. Nøgletal'!C11)</f>
        <v>1700901.2669916549</v>
      </c>
      <c r="H32" s="14" t="s">
        <v>3</v>
      </c>
      <c r="I32" s="1"/>
    </row>
    <row r="33" spans="1:9" x14ac:dyDescent="0.25">
      <c r="A33" s="1"/>
      <c r="B33" s="110" t="s">
        <v>129</v>
      </c>
      <c r="C33" s="111"/>
      <c r="D33" s="111"/>
      <c r="E33" s="111"/>
      <c r="F33" s="112"/>
      <c r="G33" s="41">
        <f>G26*(1-'Fane 14. Nøgletal'!C22)*(1+'Fane 14. Nøgletal'!C12)</f>
        <v>850341.1230424454</v>
      </c>
      <c r="H33" s="14" t="s">
        <v>3</v>
      </c>
      <c r="I33" s="1"/>
    </row>
    <row r="34" spans="1:9" x14ac:dyDescent="0.25">
      <c r="A34" s="1"/>
      <c r="B34" s="107" t="s">
        <v>164</v>
      </c>
      <c r="C34" s="108"/>
      <c r="D34" s="108"/>
      <c r="E34" s="108"/>
      <c r="F34" s="109"/>
      <c r="G34" s="41">
        <v>915170.05493928003</v>
      </c>
      <c r="H34" s="14" t="s">
        <v>3</v>
      </c>
      <c r="I34" s="1"/>
    </row>
    <row r="35" spans="1:9" x14ac:dyDescent="0.25">
      <c r="A35" s="1"/>
      <c r="B35" s="107" t="s">
        <v>70</v>
      </c>
      <c r="C35" s="108"/>
      <c r="D35" s="108"/>
      <c r="E35" s="108"/>
      <c r="F35" s="109"/>
      <c r="G35" s="41">
        <f>(G31-SUM(G32:G33))*'Fane 14. Nøgletal'!C20+G32*'Fane 14. Nøgletal'!C21+G33*'Fane 14. Nøgletal'!C22+G34*'Fane 14. Nøgletal'!C23</f>
        <v>1941041.4295512286</v>
      </c>
      <c r="H35" s="14" t="s">
        <v>3</v>
      </c>
      <c r="I35" s="1"/>
    </row>
    <row r="36" spans="1:9" x14ac:dyDescent="0.25">
      <c r="A36" s="1"/>
      <c r="B36" s="35"/>
      <c r="C36" s="36"/>
      <c r="D36" s="36"/>
      <c r="E36" s="36"/>
      <c r="F36" s="36"/>
      <c r="G36" s="36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13" t="s">
        <v>192</v>
      </c>
      <c r="C38" s="114"/>
      <c r="D38" s="114"/>
      <c r="E38" s="114"/>
      <c r="F38" s="114"/>
      <c r="G38" s="114"/>
      <c r="H38" s="115"/>
      <c r="I38" s="1"/>
    </row>
    <row r="39" spans="1:9" x14ac:dyDescent="0.25">
      <c r="A39" s="1"/>
      <c r="B39" s="107" t="s">
        <v>252</v>
      </c>
      <c r="C39" s="108"/>
      <c r="D39" s="108"/>
      <c r="E39" s="108"/>
      <c r="F39" s="109"/>
      <c r="G39" s="41">
        <f>(SUM(G31,G34)-G35)*(1+'Fane 14. Nøgletal'!C14)</f>
        <v>107921398.09077711</v>
      </c>
      <c r="H39" s="14" t="s">
        <v>3</v>
      </c>
      <c r="I39" s="1"/>
    </row>
    <row r="40" spans="1:9" x14ac:dyDescent="0.25">
      <c r="A40" s="1"/>
      <c r="B40" s="107" t="s">
        <v>193</v>
      </c>
      <c r="C40" s="108"/>
      <c r="D40" s="108"/>
      <c r="E40" s="108"/>
      <c r="F40" s="109"/>
      <c r="G40" s="41">
        <f>SUM('Fane 2.1. Økonomisk ramme 2022'!C11,'Fane 2.1. Økonomisk ramme 2022'!C13,'Fane 2.1. Økonomisk ramme 2022'!C15)*(1+'Fane 14. Nøgletal'!C14)</f>
        <v>757787.75071179005</v>
      </c>
      <c r="H40" s="14" t="s">
        <v>3</v>
      </c>
      <c r="I40" s="1"/>
    </row>
    <row r="41" spans="1:9" x14ac:dyDescent="0.25">
      <c r="A41" s="1"/>
      <c r="B41" s="107" t="s">
        <v>194</v>
      </c>
      <c r="C41" s="108"/>
      <c r="D41" s="108"/>
      <c r="E41" s="108"/>
      <c r="F41" s="109"/>
      <c r="G41" s="41">
        <f>(G39+G40)*'Fane 14. Nøgletal'!C24</f>
        <v>1608451.9504540358</v>
      </c>
      <c r="H41" s="14" t="s">
        <v>3</v>
      </c>
      <c r="I41" s="1"/>
    </row>
    <row r="42" spans="1:9" x14ac:dyDescent="0.25">
      <c r="A42" s="1"/>
      <c r="B42" s="35"/>
      <c r="C42" s="36"/>
      <c r="D42" s="36"/>
      <c r="E42" s="36"/>
      <c r="F42" s="36"/>
      <c r="G42" s="36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3" t="s">
        <v>253</v>
      </c>
      <c r="C44" s="114"/>
      <c r="D44" s="114"/>
      <c r="E44" s="114"/>
      <c r="F44" s="114"/>
      <c r="G44" s="114"/>
      <c r="H44" s="115"/>
      <c r="I44" s="1"/>
    </row>
    <row r="45" spans="1:9" x14ac:dyDescent="0.25">
      <c r="A45" s="1"/>
      <c r="B45" s="107" t="s">
        <v>71</v>
      </c>
      <c r="C45" s="108"/>
      <c r="D45" s="108"/>
      <c r="E45" s="108"/>
      <c r="F45" s="109"/>
      <c r="G45" s="41">
        <f>(G39+G40-G41)*(1+'Fane 14. Nøgletal'!C14)</f>
        <v>107424067.31287529</v>
      </c>
      <c r="H45" s="14" t="s">
        <v>3</v>
      </c>
      <c r="I45" s="1"/>
    </row>
    <row r="46" spans="1:9" x14ac:dyDescent="0.25">
      <c r="A46" s="1"/>
      <c r="B46" s="110" t="s">
        <v>260</v>
      </c>
      <c r="C46" s="111"/>
      <c r="D46" s="111"/>
      <c r="E46" s="111"/>
      <c r="F46" s="112"/>
      <c r="G46" s="41">
        <f>G40*(1+'Fane 14. Nøgletal'!C14)</f>
        <v>760288.45028913906</v>
      </c>
      <c r="H46" s="14" t="s">
        <v>3</v>
      </c>
      <c r="I46" s="1"/>
    </row>
    <row r="47" spans="1:9" x14ac:dyDescent="0.25">
      <c r="A47" s="1"/>
      <c r="B47" s="107" t="s">
        <v>85</v>
      </c>
      <c r="C47" s="108"/>
      <c r="D47" s="108"/>
      <c r="E47" s="108"/>
      <c r="F47" s="109"/>
      <c r="G47" s="33">
        <f>-'Fane 13. Bortfald'!E18*(1+'Fane 14. Nøgletal'!C14)</f>
        <v>0</v>
      </c>
      <c r="H47" s="14" t="s">
        <v>3</v>
      </c>
      <c r="I47" s="1"/>
    </row>
    <row r="48" spans="1:9" x14ac:dyDescent="0.25">
      <c r="A48" s="1"/>
      <c r="B48" s="107" t="s">
        <v>259</v>
      </c>
      <c r="C48" s="108"/>
      <c r="D48" s="108"/>
      <c r="E48" s="108"/>
      <c r="F48" s="109"/>
      <c r="G48" s="41">
        <f>(G45+G47)*'Fane 14. Nøgletal'!C24</f>
        <v>1589876.1962305543</v>
      </c>
      <c r="H48" s="14" t="s">
        <v>3</v>
      </c>
      <c r="I48" s="1"/>
    </row>
    <row r="49" spans="1:9" x14ac:dyDescent="0.25">
      <c r="A49" s="1"/>
      <c r="B49" s="35"/>
      <c r="C49" s="36"/>
      <c r="D49" s="36"/>
      <c r="E49" s="36"/>
      <c r="F49" s="36"/>
      <c r="G49" s="36"/>
      <c r="H49" s="20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3" t="s">
        <v>165</v>
      </c>
      <c r="C51" s="114"/>
      <c r="D51" s="114"/>
      <c r="E51" s="114"/>
      <c r="F51" s="114"/>
      <c r="G51" s="114"/>
      <c r="H51" s="115"/>
      <c r="I51" s="1"/>
    </row>
    <row r="52" spans="1:9" x14ac:dyDescent="0.25">
      <c r="A52" s="1"/>
      <c r="B52" s="107" t="s">
        <v>166</v>
      </c>
      <c r="C52" s="108"/>
      <c r="D52" s="108"/>
      <c r="E52" s="108"/>
      <c r="F52" s="109"/>
      <c r="G52" s="41">
        <f>(G45+G47-G48)*(1+'Fane 14. Nøgletal'!C14)</f>
        <v>106183443.94732966</v>
      </c>
      <c r="H52" s="14" t="s">
        <v>3</v>
      </c>
      <c r="I52" s="1"/>
    </row>
    <row r="53" spans="1:9" x14ac:dyDescent="0.25">
      <c r="A53" s="1"/>
      <c r="B53" s="107" t="s">
        <v>167</v>
      </c>
      <c r="C53" s="108"/>
      <c r="D53" s="108"/>
      <c r="E53" s="108"/>
      <c r="F53" s="109"/>
      <c r="G53" s="33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07" t="s">
        <v>168</v>
      </c>
      <c r="C54" s="108"/>
      <c r="D54" s="108"/>
      <c r="E54" s="108"/>
      <c r="F54" s="109"/>
      <c r="G54" s="41">
        <f>(G52+G53)*'Fane 14. Nøgletal'!C24</f>
        <v>1571514.9704204791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3" t="s">
        <v>225</v>
      </c>
      <c r="C57" s="114"/>
      <c r="D57" s="114"/>
      <c r="E57" s="114"/>
      <c r="F57" s="114"/>
      <c r="G57" s="114"/>
      <c r="H57" s="115"/>
      <c r="I57" s="1"/>
    </row>
    <row r="58" spans="1:9" x14ac:dyDescent="0.25">
      <c r="A58" s="1"/>
      <c r="B58" s="107" t="s">
        <v>166</v>
      </c>
      <c r="C58" s="108"/>
      <c r="D58" s="108"/>
      <c r="E58" s="108"/>
      <c r="F58" s="109"/>
      <c r="G58" s="41">
        <f>(G52+G53-G54)*(1+'Fane 14. Nøgletal'!C14)</f>
        <v>104957148.34253298</v>
      </c>
      <c r="H58" s="14" t="s">
        <v>3</v>
      </c>
      <c r="I58" s="1"/>
    </row>
    <row r="59" spans="1:9" x14ac:dyDescent="0.25">
      <c r="A59" s="1"/>
      <c r="B59" s="107" t="s">
        <v>254</v>
      </c>
      <c r="C59" s="108"/>
      <c r="D59" s="108"/>
      <c r="E59" s="108"/>
      <c r="F59" s="109"/>
      <c r="G59" s="33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07" t="s">
        <v>255</v>
      </c>
      <c r="C60" s="108"/>
      <c r="D60" s="108"/>
      <c r="E60" s="108"/>
      <c r="F60" s="109"/>
      <c r="G60" s="41">
        <f>(G58+G59)*'Fane 14. Nøgletal'!C24</f>
        <v>1553365.7954694883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+IlmurHcymTCj9GGbBFZm2ucrepVhEPPFuPfmWQ5LV3Pn6//aH1kS7SuWOEpYuKRtUUlWsyNSwOrf/RM7UtwBw==" saltValue="lTyFOPA+YILO3KQLEPtiQw==" spinCount="100000" sheet="1" objects="1" scenarios="1"/>
  <mergeCells count="41"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41:F41"/>
    <mergeCell ref="B44:H44"/>
    <mergeCell ref="B25:F25"/>
    <mergeCell ref="B30:H30"/>
    <mergeCell ref="B31:F31"/>
    <mergeCell ref="B35:F35"/>
    <mergeCell ref="B38:H38"/>
    <mergeCell ref="B34:F34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10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07" t="s">
        <v>261</v>
      </c>
      <c r="C9" s="108"/>
      <c r="D9" s="108"/>
      <c r="E9" s="108"/>
      <c r="F9" s="109"/>
      <c r="G9" s="23">
        <v>3.2890154756529243E-3</v>
      </c>
      <c r="H9" s="14"/>
      <c r="I9" s="1"/>
    </row>
    <row r="10" spans="1:9" x14ac:dyDescent="0.25">
      <c r="A10" s="1"/>
      <c r="B10" s="107" t="s">
        <v>105</v>
      </c>
      <c r="C10" s="108"/>
      <c r="D10" s="108"/>
      <c r="E10" s="108"/>
      <c r="F10" s="109"/>
      <c r="G10" s="23">
        <v>0</v>
      </c>
      <c r="H10" s="14"/>
      <c r="I10" s="1"/>
    </row>
    <row r="11" spans="1:9" x14ac:dyDescent="0.25">
      <c r="A11" s="1"/>
      <c r="B11" s="107" t="s">
        <v>195</v>
      </c>
      <c r="C11" s="108"/>
      <c r="D11" s="108"/>
      <c r="E11" s="108"/>
      <c r="F11" s="109"/>
      <c r="G11" s="23">
        <v>6.7029002759117235E-3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WiYmXSwepdL2jvuVlg+nBPp+mD9RFCc1wlfJCtDiSPh3yT+g7Arc1WVG8TrFx0x7PzUNBOO2ZZkyvxQZYVowA==" saltValue="fkpKGTBkCvIp1W+L6O0h4A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2022-12-22T10:32:14Z</dcterms:modified>
</cp:coreProperties>
</file>