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uresø Vandforsyning a.m.b.a. (V05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<sst xmlns="http://schemas.openxmlformats.org/spreadsheetml/2006/main" count="509" uniqueCount="254">
  <si>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</si>
  <si>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</si>
  <si>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</si>
  <si>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</si>
  <si>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</si>
  <si>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</si>
  <si>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</si>
  <si>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</si>
  <si>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</si>
  <si>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</si>
  <si>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</si>
  <si>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</si>
  <si>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</si>
  <si>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</si>
  <si>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</si>
  <si>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</si>
  <si>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</si>
  <si>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</si>
  <si>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</si>
  <si>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</si>
  <si>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</si>
  <si>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</si>
  <si>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</si>
  <si>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</si>
  <si>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</si>
  <si>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</si>
  <si>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</si>
  <si>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</si>
  <si>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</si>
  <si>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</si>
  <si>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</si>
  <si>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</si>
  <si>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</si>
  <si>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</si>
  <si>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</si>
  <si>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</si>
  <si>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</si>
  <si>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</si>
  <si>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</si>
  <si>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</si>
  <si>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</si>
  <si>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</si>
  <si>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</si>
  <si>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</si>
  <si>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</si>
  <si>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</si>
  <si>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</si>
  <si>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</si>
  <si>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</si>
  <si>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</si>
  <si>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</si>
  <si>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</si>
  <si>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</si>
  <si>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</si>
  <si>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</si>
  <si>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</si>
  <si>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</si>
  <si>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</si>
  <si>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</si>
  <si>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</si>
  <si>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</si>
  <si>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</si>
  <si>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</si>
  <si>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</si>
  <si>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</si>
  <si>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</si>
  <si>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</si>
  <si>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</si>
  <si>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</si>
  <si>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</si>
  <si>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</si>
  <si>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</si>
  <si>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</si>
  <si>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</si>
  <si>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</si>
  <si>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</si>
  <si>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</si>
  <si>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</si>
  <si>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</si>
  <si>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</si>
  <si>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</si>
  <si>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</si>
  <si>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</si>
  <si>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</si>
  <si>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</si>
  <si>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</si>
  <si>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</si>
  <si>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</si>
  <si>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</si>
  <si>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</si>
  <si>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</si>
  <si>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</si>
  <si>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</si>
  <si>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</si>
  <si>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</si>
  <si>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</si>
  <si>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</si>
  <si>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</si>
  <si>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</si>
  <si>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</si>
  <si>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</si>
  <si>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</si>
  <si>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</si>
  <si>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</si>
  <si>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</si>
  <si>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</si>
  <si>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</si>
  <si>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</si>
  <si>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</si>
  <si>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</si>
  <si>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</si>
  <si>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</si>
  <si>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</si>
  <si>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</si>
  <si>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</si>
  <si>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</si>
  <si>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</si>
  <si>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</si>
  <si>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</si>
  <si>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</si>
  <si>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</si>
  <si>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</si>
  <si>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</si>
  <si>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</si>
  <si>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</si>
  <si>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</si>
  <si>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</si>
  <si>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</si>
  <si>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</si>
  <si>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</si>
  <si>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</si>
  <si>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</si>
  <si>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</si>
  <si>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</si>
  <si>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</si>
  <si>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</si>
  <si>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</si>
  <si>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</si>
  <si>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</si>
  <si>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</si>
  <si>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</si>
  <si>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</si>
  <si>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</si>
  <si>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</si>
  <si>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</si>
  <si>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</si>
  <si>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</si>
  <si>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</si>
  <si>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</si>
  <si>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</si>
  <si>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</si>
  <si>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</si>
  <si>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</si>
  <si>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</si>
  <si>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</si>
  <si>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</si>
  <si>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</si>
  <si>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</si>
  <si>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</si>
  <si>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</si>
  <si>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</si>
  <si>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</si>
  <si>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</si>
  <si>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</si>
  <si>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</si>
  <si>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</si>
  <si>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</si>
  <si>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</si>
  <si>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</si>
  <si>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</si>
  <si>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</si>
  <si>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</si>
  <si>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</si>
  <si>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</si>
  <si>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</si>
  <si>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</si>
  <si>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</si>
  <si>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</si>
  <si>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</si>
  <si>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</si>
  <si>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</si>
  <si>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</si>
  <si>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</si>
  <si>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</si>
  <si>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</si>
  <si>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</si>
  <si>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</si>
  <si>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</si>
  <si>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</si>
  <si>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</si>
  <si>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</si>
  <si>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</si>
  <si>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</si>
  <si>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</si>
  <si>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</si>
  <si>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</si>
  <si>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</si>
  <si>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</si>
  <si>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</si>
  <si>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</si>
  <si>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</si>
  <si>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</si>
  <si>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</si>
  <si>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</si>
  <si>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</si>
  <si>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</si>
  <si>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</si>
  <si>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</si>
  <si>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</si>
  <si>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</si>
  <si>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</si>
  <si>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</si>
  <si>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</si>
  <si>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</si>
  <si>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</si>
  <si>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</si>
  <si>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</si>
  <si>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</si>
  <si>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</si>
  <si>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</si>
  <si>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</si>
  <si>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</si>
  <si>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</si>
  <si>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</si>
  <si>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</si>
  <si>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</si>
  <si>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</si>
  <si>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</si>
  <si>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</si>
  <si>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</si>
  <si>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Afgift for ledningsført vand</t>
  </si>
  <si>
    <t>Afgift til Forsyningssekretariatet</t>
  </si>
  <si>
    <t>Køb af ydelser og produkter fra andre vandselskaber reguleret af vandsektorloven</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</si>
  <si>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</si>
  <si>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</si>
  <si>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</si>
  <si>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</si>
  <si>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</si>
  <si>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</si>
  <si>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</si>
  <si>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</si>
  <si>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</si>
  <si>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</si>
  <si>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</si>
  <si>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</si>
  <si>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</si>
  <si>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</si>
  <si>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</si>
  <si>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</si>
  <si>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</si>
  <si>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</si>
  <si>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</si>
  <si>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anlægsprojekter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</si>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</sst>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2"/>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0" t="s">
        <v>194</v>
      </c>
      <c r="E8" s="100"/>
      <c r="F8" s="100"/>
      <c r="G8" s="10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1"/>
      <c r="I12" s="1"/>
    </row>
    <row r="13" spans="1:9" x14ac:dyDescent="0.25">
      <c r="A13" s="1"/>
      <c r="B13" s="1"/>
      <c r="C13" s="6" t="s">
        <v>6</v>
      </c>
      <c r="D13" s="95" t="s">
        <v>161</v>
      </c>
      <c r="E13" s="96"/>
      <c r="F13" s="96"/>
      <c r="G13" s="97"/>
      <c r="H13" s="1"/>
      <c r="I13" s="1"/>
    </row>
    <row r="14" spans="1:9" x14ac:dyDescent="0.25">
      <c r="A14" s="1"/>
      <c r="B14" s="1"/>
      <c r="C14" s="6" t="s">
        <v>14</v>
      </c>
      <c r="D14" s="95" t="s">
        <v>204</v>
      </c>
      <c r="E14" s="96"/>
      <c r="F14" s="96"/>
      <c r="G14" s="97"/>
      <c r="H14" s="1"/>
      <c r="I14" s="1"/>
    </row>
    <row r="15" spans="1:9" x14ac:dyDescent="0.25">
      <c r="A15" s="1"/>
      <c r="B15" s="1"/>
      <c r="C15" s="6" t="s">
        <v>32</v>
      </c>
      <c r="D15" s="95" t="s">
        <v>137</v>
      </c>
      <c r="E15" s="96"/>
      <c r="F15" s="96"/>
      <c r="G15" s="97"/>
      <c r="H15" s="1"/>
      <c r="I15" s="1"/>
    </row>
    <row r="16" spans="1:9" x14ac:dyDescent="0.25">
      <c r="A16" s="1"/>
      <c r="B16" s="1"/>
      <c r="C16" s="6" t="s">
        <v>33</v>
      </c>
      <c r="D16" s="95" t="s">
        <v>162</v>
      </c>
      <c r="E16" s="96"/>
      <c r="F16" s="96"/>
      <c r="G16" s="97"/>
      <c r="H16" s="1"/>
      <c r="I16" s="1"/>
    </row>
    <row r="17" spans="1:9" x14ac:dyDescent="0.25">
      <c r="A17" s="1"/>
      <c r="B17" s="1"/>
      <c r="C17" s="6" t="s">
        <v>110</v>
      </c>
      <c r="D17" s="95" t="s">
        <v>163</v>
      </c>
      <c r="E17" s="96"/>
      <c r="F17" s="96"/>
      <c r="G17" s="97"/>
      <c r="H17" s="1"/>
      <c r="I17" s="1"/>
    </row>
    <row r="18" spans="1:9" x14ac:dyDescent="0.25">
      <c r="A18" s="1"/>
      <c r="B18" s="1"/>
      <c r="C18" s="6" t="s">
        <v>94</v>
      </c>
      <c r="D18" s="101" t="s">
        <v>86</v>
      </c>
      <c r="E18" s="102"/>
      <c r="F18" s="102"/>
      <c r="G18" s="103"/>
      <c r="H18" s="1"/>
      <c r="I18" s="1"/>
    </row>
    <row r="19" spans="1:9" x14ac:dyDescent="0.25">
      <c r="A19" s="1"/>
      <c r="B19" s="1"/>
      <c r="C19" s="6" t="s">
        <v>95</v>
      </c>
      <c r="D19" s="101" t="s">
        <v>87</v>
      </c>
      <c r="E19" s="102"/>
      <c r="F19" s="102"/>
      <c r="G19" s="103"/>
      <c r="H19" s="1"/>
      <c r="I19" s="1"/>
    </row>
    <row r="20" spans="1:9" x14ac:dyDescent="0.25">
      <c r="A20" s="1"/>
      <c r="B20" s="1"/>
      <c r="C20" s="6" t="s">
        <v>7</v>
      </c>
      <c r="D20" s="101" t="s">
        <v>9</v>
      </c>
      <c r="E20" s="102"/>
      <c r="F20" s="102"/>
      <c r="G20" s="103"/>
      <c r="H20" s="1"/>
      <c r="I20" s="1"/>
    </row>
    <row r="21" spans="1:9" x14ac:dyDescent="0.25">
      <c r="A21" s="1"/>
      <c r="B21" s="1"/>
      <c r="C21" s="6" t="s">
        <v>96</v>
      </c>
      <c r="D21" s="92" t="s">
        <v>11</v>
      </c>
      <c r="E21" s="93"/>
      <c r="F21" s="93"/>
      <c r="G21" s="94"/>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89" t="s">
        <v>92</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row r="52" spans="1:9" x14ac:dyDescent="0.25">
      <c r="A52" s="55"/>
      <c r="B52" s="55"/>
      <c r="C52" s="55"/>
      <c r="D52" s="55"/>
      <c r="E52" s="55"/>
      <c r="F52" s="55"/>
      <c r="G52" s="55"/>
      <c r="H52" s="55"/>
      <c r="I52" s="55"/>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 defaultRowHeight="15" x14ac:dyDescent="0.25"/>
  <cols>
    <col min="1" max="1" width="4.85546875" style="2" customWidth="1"/>
    <col min="2" max="2" width="45" style="2" customWidth="1"/>
    <col min="3" max="3" width="24.85546875" style="2" customWidth="1"/>
    <col min="4" max="4" width="3.28515625" style="2" customWidth="1"/>
    <col min="5" max="5" width="1.85546875" style="2" customWidth="1"/>
    <col min="6" max="6" width="2.7109375"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4" t="s">
        <v>100</v>
      </c>
      <c r="C3" s="104"/>
      <c r="D3" s="104"/>
      <c r="E3" s="1"/>
      <c r="F3" s="1"/>
    </row>
    <row r="4" spans="1:6" ht="15" customHeight="1" x14ac:dyDescent="0.25">
      <c r="A4" s="1"/>
      <c r="B4" s="104"/>
      <c r="C4" s="104"/>
      <c r="D4" s="10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3" t="s">
        <v>30</v>
      </c>
      <c r="C9" s="11" t="s">
        <v>212</v>
      </c>
      <c r="D9" s="11"/>
      <c r="E9" s="1"/>
      <c r="F9" s="1"/>
    </row>
    <row r="10" spans="1:6" x14ac:dyDescent="0.25">
      <c r="A10" s="1"/>
      <c r="B10" s="79" t="s">
        <v>230</v>
      </c>
      <c r="C10" s="9">
        <v>11012800</v>
      </c>
      <c r="D10" s="14" t="s">
        <v>3</v>
      </c>
      <c r="E10" s="1"/>
      <c r="F10" s="1"/>
    </row>
    <row r="11" spans="1:6" x14ac:dyDescent="0.25">
      <c r="A11" s="1"/>
      <c r="B11" s="79" t="s">
        <v>231</v>
      </c>
      <c r="C11" s="9">
        <v>100216</v>
      </c>
      <c r="D11" s="14" t="s">
        <v>3</v>
      </c>
      <c r="E11" s="1"/>
      <c r="F11" s="1"/>
    </row>
    <row r="12" spans="1:6" x14ac:dyDescent="0.25">
      <c r="A12" s="1"/>
      <c r="B12" s="79" t="s">
        <v>232</v>
      </c>
      <c r="C12" s="9">
        <v>414718.78</v>
      </c>
      <c r="D12" s="14" t="s">
        <v>3</v>
      </c>
      <c r="E12" s="1"/>
      <c r="F12" s="1"/>
    </row>
    <row r="13" spans="1:6" x14ac:dyDescent="0.25">
      <c r="A13" s="1"/>
      <c r="B13" s="79" t="s">
        <v>233</v>
      </c>
      <c r="C13" s="9">
        <v>82092.649999999994</v>
      </c>
      <c r="D13" s="14" t="s">
        <v>3</v>
      </c>
      <c r="E13" s="1"/>
      <c r="F13" s="1"/>
    </row>
    <row r="14" spans="1:6" x14ac:dyDescent="0.25">
      <c r="A14" s="1"/>
      <c r="B14" s="71" t="s">
        <v>182</v>
      </c>
      <c r="C14" s="12">
        <f>SUM(C10:C13)</f>
        <v>11609827.43</v>
      </c>
      <c r="D14" s="13" t="s">
        <v>3</v>
      </c>
      <c r="E14" s="1"/>
      <c r="F14" s="1"/>
    </row>
    <row r="15" spans="1:6" x14ac:dyDescent="0.25">
      <c r="A15" s="1"/>
      <c r="B15" s="71" t="s">
        <v>183</v>
      </c>
      <c r="C15" s="12">
        <f>C14*(1+'Fane 13. Nøgletal'!C15)^2</f>
        <v>12451160.973907685</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184</v>
      </c>
      <c r="C3" s="112"/>
      <c r="D3" s="112"/>
      <c r="E3" s="112"/>
      <c r="F3" s="112"/>
      <c r="G3" s="1"/>
    </row>
    <row r="4" spans="1:7" ht="15" customHeight="1" x14ac:dyDescent="0.25">
      <c r="A4" s="1"/>
      <c r="B4" s="112"/>
      <c r="C4" s="112"/>
      <c r="D4" s="112"/>
      <c r="E4" s="112"/>
      <c r="F4" s="112"/>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0" t="s">
        <v>156</v>
      </c>
      <c r="C9" s="131"/>
      <c r="D9" s="132"/>
      <c r="E9" s="9">
        <v>-747775</v>
      </c>
      <c r="F9" s="14" t="s">
        <v>3</v>
      </c>
      <c r="G9" s="1"/>
    </row>
    <row r="10" spans="1:7" x14ac:dyDescent="0.25">
      <c r="A10" s="1"/>
      <c r="B10" s="145" t="s">
        <v>234</v>
      </c>
      <c r="C10" s="146"/>
      <c r="D10" s="147"/>
      <c r="E10" s="9">
        <v>-747775</v>
      </c>
      <c r="F10" s="54" t="s">
        <v>3</v>
      </c>
      <c r="G10" s="1"/>
    </row>
    <row r="11" spans="1:7" x14ac:dyDescent="0.25">
      <c r="A11" s="1"/>
      <c r="B11" s="130" t="s">
        <v>185</v>
      </c>
      <c r="C11" s="131"/>
      <c r="D11" s="132"/>
      <c r="E11" s="9">
        <v>1729953.133327473</v>
      </c>
      <c r="F11" s="14" t="s">
        <v>3</v>
      </c>
      <c r="G11" s="1"/>
    </row>
    <row r="12" spans="1:7" x14ac:dyDescent="0.25">
      <c r="A12" s="1"/>
      <c r="B12" s="71"/>
      <c r="C12" s="72"/>
      <c r="D12" s="72"/>
      <c r="E12" s="72"/>
      <c r="F12" s="19"/>
      <c r="G12" s="1"/>
    </row>
    <row r="13" spans="1:7" ht="64.900000000000006" customHeight="1" x14ac:dyDescent="0.25">
      <c r="A13" s="1"/>
      <c r="B13" s="116" t="s">
        <v>250</v>
      </c>
      <c r="C13" s="117"/>
      <c r="D13" s="117"/>
      <c r="E13" s="117"/>
      <c r="F13" s="118"/>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0" t="s">
        <v>235</v>
      </c>
      <c r="C16" s="131"/>
      <c r="D16" s="132"/>
      <c r="E16" s="9">
        <v>0</v>
      </c>
      <c r="F16" s="14" t="s">
        <v>3</v>
      </c>
      <c r="G16" s="1"/>
    </row>
    <row r="17" spans="1:7" x14ac:dyDescent="0.25">
      <c r="A17" s="1"/>
      <c r="B17" s="130" t="s">
        <v>236</v>
      </c>
      <c r="C17" s="131"/>
      <c r="D17" s="132"/>
      <c r="E17" s="9">
        <v>0</v>
      </c>
      <c r="F17" s="14" t="s">
        <v>3</v>
      </c>
      <c r="G17" s="1"/>
    </row>
    <row r="18" spans="1:7" x14ac:dyDescent="0.25">
      <c r="A18" s="1"/>
      <c r="B18" s="71"/>
      <c r="C18" s="72"/>
      <c r="D18" s="72"/>
      <c r="E18" s="72"/>
      <c r="F18" s="19"/>
      <c r="G18" s="1"/>
    </row>
    <row r="19" spans="1:7" ht="31.5" customHeight="1" x14ac:dyDescent="0.25">
      <c r="A19" s="1"/>
      <c r="B19" s="116" t="s">
        <v>158</v>
      </c>
      <c r="C19" s="117"/>
      <c r="D19" s="117"/>
      <c r="E19" s="117"/>
      <c r="F19" s="118"/>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237</v>
      </c>
      <c r="C22" s="77"/>
      <c r="D22" s="78"/>
      <c r="E22" s="9">
        <v>27638788.904449746</v>
      </c>
      <c r="F22" s="14" t="s">
        <v>3</v>
      </c>
      <c r="G22" s="1"/>
    </row>
    <row r="23" spans="1:7" x14ac:dyDescent="0.25">
      <c r="A23" s="1"/>
      <c r="B23" s="76" t="s">
        <v>187</v>
      </c>
      <c r="C23" s="77"/>
      <c r="D23" s="78"/>
      <c r="E23" s="9">
        <v>33049041</v>
      </c>
      <c r="F23" s="14" t="s">
        <v>3</v>
      </c>
      <c r="G23" s="1"/>
    </row>
    <row r="24" spans="1:7" x14ac:dyDescent="0.25">
      <c r="A24" s="1"/>
      <c r="B24" s="76" t="s">
        <v>31</v>
      </c>
      <c r="C24" s="77"/>
      <c r="D24" s="78"/>
      <c r="E24" s="9">
        <v>0</v>
      </c>
      <c r="F24" s="14" t="s">
        <v>3</v>
      </c>
      <c r="G24" s="1"/>
    </row>
    <row r="25" spans="1:7" x14ac:dyDescent="0.25">
      <c r="A25" s="1"/>
      <c r="B25" s="51" t="s">
        <v>251</v>
      </c>
      <c r="C25" s="52"/>
      <c r="D25" s="53"/>
      <c r="E25" s="57">
        <f>E22-(E23-E24)</f>
        <v>-5410252.095550254</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7" t="s">
        <v>238</v>
      </c>
      <c r="C28" s="128"/>
      <c r="D28" s="128"/>
      <c r="E28" s="128"/>
      <c r="F28" s="129"/>
      <c r="G28" s="1"/>
    </row>
    <row r="29" spans="1:7" x14ac:dyDescent="0.25">
      <c r="A29" s="1"/>
      <c r="B29" s="148" t="s">
        <v>128</v>
      </c>
      <c r="C29" s="149"/>
      <c r="D29" s="150"/>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-4428073.962222781</v>
      </c>
      <c r="F29" s="14" t="s">
        <v>3</v>
      </c>
      <c r="G29" s="1"/>
    </row>
    <row r="30" spans="1:7" x14ac:dyDescent="0.25">
      <c r="A30" s="1"/>
      <c r="B30" s="148" t="s">
        <v>93</v>
      </c>
      <c r="C30" s="149"/>
      <c r="D30" s="150"/>
      <c r="E30" s="9">
        <v>2</v>
      </c>
      <c r="F30" s="14" t="s">
        <v>18</v>
      </c>
      <c r="G30" s="1"/>
    </row>
    <row r="31" spans="1:7" x14ac:dyDescent="0.25">
      <c r="A31" s="1"/>
      <c r="B31" s="141" t="s">
        <v>127</v>
      </c>
      <c r="C31" s="141"/>
      <c r="D31" s="141"/>
      <c r="E31" s="10">
        <f>E29/E30</f>
        <v>-2214036.9811113905</v>
      </c>
      <c r="F31" s="17" t="s">
        <v>3</v>
      </c>
      <c r="G31" s="1"/>
    </row>
    <row r="32" spans="1:7" x14ac:dyDescent="0.25">
      <c r="A32" s="1"/>
      <c r="B32" s="142"/>
      <c r="C32" s="143"/>
      <c r="D32" s="143"/>
      <c r="E32" s="143"/>
      <c r="F32" s="144"/>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HI43MnaK1Nh7gWbyIeJ4bqRI0wJYwZxqYIo+c5jeGP38tdXBS/lRpWciv+EjlBEOPLgr8tb1ZZ2jEBW3ghZrPA==" saltValue="pKL1AE1FTmsCQt+JC7NDtA=="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4" t="s">
        <v>226</v>
      </c>
      <c r="C3" s="104"/>
      <c r="D3" s="104"/>
      <c r="E3" s="104"/>
      <c r="F3" s="104"/>
      <c r="G3" s="104"/>
      <c r="H3" s="104"/>
      <c r="I3" s="1"/>
    </row>
    <row r="4" spans="1:9" ht="15" customHeight="1" x14ac:dyDescent="0.25">
      <c r="A4" s="1"/>
      <c r="B4" s="104"/>
      <c r="C4" s="104"/>
      <c r="D4" s="104"/>
      <c r="E4" s="104"/>
      <c r="F4" s="104"/>
      <c r="G4" s="104"/>
      <c r="H4" s="10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22" t="s">
        <v>228</v>
      </c>
      <c r="C9" s="123"/>
      <c r="D9" s="123"/>
      <c r="E9" s="123"/>
      <c r="F9" s="123"/>
      <c r="G9" s="123"/>
      <c r="H9" s="124"/>
      <c r="I9" s="1"/>
    </row>
    <row r="10" spans="1:9" x14ac:dyDescent="0.25">
      <c r="A10" s="1"/>
      <c r="B10" s="151" t="s">
        <v>242</v>
      </c>
      <c r="C10" s="152"/>
      <c r="D10" s="152"/>
      <c r="E10" s="152"/>
      <c r="F10" s="153"/>
      <c r="G10" s="56">
        <v>0</v>
      </c>
      <c r="H10" s="9" t="s">
        <v>3</v>
      </c>
      <c r="I10" s="1"/>
    </row>
    <row r="11" spans="1:9" x14ac:dyDescent="0.25">
      <c r="A11" s="1"/>
      <c r="B11" s="151" t="s">
        <v>243</v>
      </c>
      <c r="C11" s="152"/>
      <c r="D11" s="152"/>
      <c r="E11" s="152"/>
      <c r="F11" s="153"/>
      <c r="G11" s="56">
        <v>0</v>
      </c>
      <c r="H11" s="9" t="s">
        <v>3</v>
      </c>
      <c r="I11" s="1"/>
    </row>
    <row r="12" spans="1:9" x14ac:dyDescent="0.25">
      <c r="A12" s="1"/>
      <c r="B12" s="151" t="s">
        <v>244</v>
      </c>
      <c r="C12" s="152"/>
      <c r="D12" s="152"/>
      <c r="E12" s="152"/>
      <c r="F12" s="153"/>
      <c r="G12" s="9">
        <v>0</v>
      </c>
      <c r="H12" s="9" t="s">
        <v>3</v>
      </c>
      <c r="I12" s="1"/>
    </row>
    <row r="13" spans="1:9" x14ac:dyDescent="0.25">
      <c r="A13" s="1"/>
      <c r="B13" s="151" t="s">
        <v>245</v>
      </c>
      <c r="C13" s="152"/>
      <c r="D13" s="152"/>
      <c r="E13" s="152"/>
      <c r="F13" s="153"/>
      <c r="G13" s="9">
        <v>0</v>
      </c>
      <c r="H13" s="9" t="s">
        <v>3</v>
      </c>
      <c r="I13" s="1"/>
    </row>
    <row r="14" spans="1:9" x14ac:dyDescent="0.25">
      <c r="A14" s="1"/>
      <c r="B14" s="151" t="s">
        <v>246</v>
      </c>
      <c r="C14" s="152"/>
      <c r="D14" s="152"/>
      <c r="E14" s="152"/>
      <c r="F14" s="153"/>
      <c r="G14" s="9">
        <v>0</v>
      </c>
      <c r="H14" s="9" t="s">
        <v>3</v>
      </c>
      <c r="I14" s="1"/>
    </row>
    <row r="15" spans="1:9" x14ac:dyDescent="0.25">
      <c r="A15" s="1"/>
      <c r="B15" s="151" t="s">
        <v>247</v>
      </c>
      <c r="C15" s="152"/>
      <c r="D15" s="152"/>
      <c r="E15" s="152"/>
      <c r="F15" s="153"/>
      <c r="G15" s="9">
        <v>0</v>
      </c>
      <c r="H15" s="9" t="s">
        <v>3</v>
      </c>
      <c r="I15" s="1"/>
    </row>
    <row r="16" spans="1:9" x14ac:dyDescent="0.25">
      <c r="A16" s="1"/>
      <c r="B16" s="151" t="s">
        <v>248</v>
      </c>
      <c r="C16" s="152"/>
      <c r="D16" s="152"/>
      <c r="E16" s="152"/>
      <c r="F16" s="153"/>
      <c r="G16" s="9">
        <v>0</v>
      </c>
      <c r="H16" s="9" t="s">
        <v>3</v>
      </c>
      <c r="I16" s="1"/>
    </row>
    <row r="17" spans="1:9" x14ac:dyDescent="0.25">
      <c r="A17" s="1"/>
      <c r="B17" s="151" t="s">
        <v>249</v>
      </c>
      <c r="C17" s="152"/>
      <c r="D17" s="152"/>
      <c r="E17" s="152"/>
      <c r="F17" s="153"/>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dAOlAVlljUf3RD8Jx2FlF8Gklf1CWde/O+dRRj8v2UMNle4TI2k8s3IIizFDsgoz1Ow6UruVd4TBPLgyezik/g==" saltValue="9o21zQr1IUkvqzUFCNYAI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1.5703125" style="2" customWidth="1"/>
    <col min="2" max="2" width="26.42578125" style="2" customWidth="1"/>
    <col min="3" max="3" width="7.28515625" style="2" customWidth="1"/>
    <col min="4" max="4" width="9"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1.57031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220</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4" t="s">
        <v>213</v>
      </c>
      <c r="E9" s="155"/>
      <c r="F9" s="154" t="s">
        <v>2</v>
      </c>
      <c r="G9" s="155"/>
      <c r="H9" s="154" t="s">
        <v>214</v>
      </c>
      <c r="I9" s="155"/>
      <c r="J9" s="154" t="s">
        <v>28</v>
      </c>
      <c r="K9" s="155"/>
      <c r="L9" s="1"/>
    </row>
    <row r="10" spans="1:12" x14ac:dyDescent="0.25">
      <c r="A10" s="1"/>
      <c r="B10" s="81" t="s">
        <v>252</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YmjQcSk++LHtEETa4xN/KfpllMD7dmV3IrchkydaHcUbFQAY8sG6Cf/6ChGk+OmFjL8R9BZeZOSjOHye+pRA==" saltValue="3SP0X//1h8IJxTaiiHAI5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221</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0</v>
      </c>
      <c r="D11" s="14" t="s">
        <v>3</v>
      </c>
      <c r="E11" s="9">
        <v>8210</v>
      </c>
      <c r="F11" s="14" t="s">
        <v>3</v>
      </c>
      <c r="G11" s="1"/>
    </row>
    <row r="12" spans="1:7" x14ac:dyDescent="0.25">
      <c r="A12" s="1"/>
      <c r="B12" s="71" t="s">
        <v>148</v>
      </c>
      <c r="C12" s="12">
        <f>SUM(C10:C11)</f>
        <v>0</v>
      </c>
      <c r="D12" s="13" t="s">
        <v>3</v>
      </c>
      <c r="E12" s="12">
        <f>SUM(E10:E11)</f>
        <v>8210</v>
      </c>
      <c r="F12" s="13" t="s">
        <v>3</v>
      </c>
      <c r="G12" s="1"/>
    </row>
    <row r="13" spans="1:7" x14ac:dyDescent="0.25">
      <c r="A13" s="1"/>
      <c r="B13" s="71" t="s">
        <v>188</v>
      </c>
      <c r="C13" s="12">
        <f>C12*(1+'Fane 13. Nøgletal'!C15)</f>
        <v>0</v>
      </c>
      <c r="D13" s="13" t="s">
        <v>3</v>
      </c>
      <c r="E13" s="12">
        <f>E12*(1+'Fane 13. Nøgletal'!C15)</f>
        <v>8502.2759999999998</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c4b/t/MFtLfEg14qHs1s5641e0Kh38nHuPn7aMbXThinoQtOAdcDDYvAMZaVEisO72pOStnHhC4SjAA8JOHIw==" saltValue="oopafqcmk5puWSLT58LIe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222</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9" t="s">
        <v>15</v>
      </c>
      <c r="C10" s="69" t="s">
        <v>10</v>
      </c>
      <c r="D10" s="70"/>
      <c r="E10" s="69" t="s">
        <v>29</v>
      </c>
      <c r="F10" s="66"/>
      <c r="G10" s="1"/>
    </row>
    <row r="11" spans="1:7" x14ac:dyDescent="0.25">
      <c r="A11" s="1"/>
      <c r="B11" s="22" t="s">
        <v>253</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223</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65" t="s">
        <v>113</v>
      </c>
      <c r="C9" s="122" t="s">
        <v>10</v>
      </c>
      <c r="D9" s="124"/>
      <c r="E9" s="122" t="s">
        <v>29</v>
      </c>
      <c r="F9" s="124"/>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3.28515625" style="2" customWidth="1"/>
    <col min="2" max="2" width="36.28515625" style="2" customWidth="1"/>
    <col min="3" max="3" width="18.28515625" style="2" customWidth="1"/>
    <col min="4" max="4" width="3.28515625" style="2" customWidth="1"/>
    <col min="5" max="5" width="19.42578125" style="2" customWidth="1"/>
    <col min="6" max="6" width="3.28515625" style="2" customWidth="1"/>
    <col min="7" max="7" width="3.140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224</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x14ac:dyDescent="0.25">
      <c r="A11" s="1"/>
      <c r="B11" s="65" t="s">
        <v>16</v>
      </c>
      <c r="C11" s="65" t="s">
        <v>10</v>
      </c>
      <c r="D11" s="66"/>
      <c r="E11" s="65" t="s">
        <v>29</v>
      </c>
      <c r="F11" s="66"/>
      <c r="G11" s="1"/>
    </row>
    <row r="12" spans="1:7" x14ac:dyDescent="0.25">
      <c r="A12" s="1"/>
      <c r="B12" s="22" t="s">
        <v>240</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2" t="s">
        <v>225</v>
      </c>
      <c r="C3" s="112"/>
      <c r="D3" s="1"/>
    </row>
    <row r="4" spans="1:4" ht="25.5" customHeight="1" x14ac:dyDescent="0.25">
      <c r="A4" s="1"/>
      <c r="B4" s="112"/>
      <c r="C4" s="11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5"/>
      <c r="D50" s="55"/>
    </row>
    <row r="51" spans="1:4" x14ac:dyDescent="0.25">
      <c r="A51" s="55"/>
      <c r="B51" s="55"/>
      <c r="C51" s="85"/>
      <c r="D51" s="55"/>
    </row>
    <row r="52" spans="1:4" x14ac:dyDescent="0.25">
      <c r="A52" s="55"/>
      <c r="B52" s="55"/>
      <c r="C52" s="85"/>
      <c r="D52" s="55"/>
    </row>
    <row r="53" spans="1:4" x14ac:dyDescent="0.25">
      <c r="A53" s="55"/>
      <c r="B53" s="55"/>
      <c r="C53" s="85"/>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15843006.358994987</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8502.2759999999998</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564313.70740582154</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-191487.1274894758</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16224335.214911334</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omk.'!C15</f>
        <v>12451160.973907685</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-2214036.9811113905</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26461459.207707629</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jBLTHAAgZjjQgcbGq06VXJINnyVCcMsgHLWjtWHEYe5PtJrEOOEzxsc2Sa7GEdyY5lmT0G3lNNZdnvpPPKA0Q==" saltValue="3TSVs2Uap1LAkfMfRTYi8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166</v>
      </c>
      <c r="C3" s="104"/>
      <c r="D3" s="104"/>
      <c r="E3" s="1"/>
    </row>
    <row r="4" spans="1:5" ht="15" customHeight="1" x14ac:dyDescent="0.25">
      <c r="A4" s="1"/>
      <c r="B4" s="104"/>
      <c r="C4" s="104"/>
      <c r="D4" s="104"/>
      <c r="E4" s="1"/>
    </row>
    <row r="5" spans="1:5" x14ac:dyDescent="0.25">
      <c r="A5" s="1"/>
      <c r="B5" s="105"/>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16224335.214911334</v>
      </c>
      <c r="D8" s="8" t="s">
        <v>3</v>
      </c>
      <c r="E8" s="1"/>
    </row>
    <row r="9" spans="1:5" ht="15" customHeight="1" x14ac:dyDescent="0.25">
      <c r="A9" s="1"/>
      <c r="B9" s="64" t="s">
        <v>17</v>
      </c>
      <c r="C9" s="9">
        <f>SUM(C8:C8)*'Fane 13. Nøgletal'!C15</f>
        <v>577586.33365084347</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-194337.98784353913</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16607583.560718637</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f>
        <v>12894422.3045788</v>
      </c>
      <c r="D15" s="11" t="s">
        <v>3</v>
      </c>
      <c r="E15" s="1"/>
    </row>
    <row r="16" spans="1:5" x14ac:dyDescent="0.25">
      <c r="A16" s="1"/>
      <c r="B16" s="25" t="s">
        <v>128</v>
      </c>
      <c r="C16" s="72"/>
      <c r="D16" s="19"/>
      <c r="E16" s="1"/>
    </row>
    <row r="17" spans="1:5" ht="15" customHeight="1" x14ac:dyDescent="0.25">
      <c r="A17" s="1"/>
      <c r="B17" s="80" t="s">
        <v>129</v>
      </c>
      <c r="C17" s="10">
        <f>'Fane 7. Kontrol af ØR2021'!E31</f>
        <v>-2214036.9811113905</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27287968.884186044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Is1vTvQR2P/vX60Y/4/dtDzQKc15fG274xp34gTeItr8kHGdSEXcaoDcDs/a9j8ZpiwtMZxONbDkPS90ZqAK9Q==" saltValue="d6AdBPSR4BwNtlCmvemb9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167</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16607583.560718637</v>
      </c>
      <c r="D8" s="8" t="s">
        <v>3</v>
      </c>
      <c r="E8" s="1"/>
    </row>
    <row r="9" spans="1:5" ht="15" customHeight="1" x14ac:dyDescent="0.25">
      <c r="A9" s="1"/>
      <c r="B9" s="64" t="s">
        <v>17</v>
      </c>
      <c r="C9" s="9">
        <f>SUM(C8:C8)*'Fane 13. Nøgletal'!C15</f>
        <v>591229.97476158349</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-197231.29180655375</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17001582.243673667</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Nøgletal'!C15)^2</f>
        <v>13353463.738621805</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30355045.982295472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tr3zshQxLm/w4ZTeBsQUERdzpQBAO4CQncQPvmZuUo/0xZIMT+ztiilYo1JT/jxIoIQ9uSTO47KEnn22PV0yoQ==" saltValue="f2+iYCOzlCLreI1wHaGno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168</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17001582.243673667</v>
      </c>
      <c r="D8" s="8" t="s">
        <v>3</v>
      </c>
      <c r="E8" s="1"/>
    </row>
    <row r="9" spans="1:5" ht="15" customHeight="1" x14ac:dyDescent="0.25">
      <c r="A9" s="1"/>
      <c r="B9" s="64" t="s">
        <v>17</v>
      </c>
      <c r="C9" s="9">
        <f>SUM(C8:C8)*'Fane 13. Nøgletal'!C15</f>
        <v>605256.3278747825</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-200167.67127896973</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17406670.900269482</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Nøgletal'!C15)^3</f>
        <v>13828847.047716742</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31235517.947986223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V/RZcYu2XqgFKKlijkjCgl/6pRth9P8hhQcJvR7l8WXJJfCUMLptliPAa8hxl+Apdd5IaDZVQIWF+50JT6SS/Q==" saltValue="l4nvFA1Oz75ihHlfqzRMF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171</v>
      </c>
      <c r="C3" s="112"/>
      <c r="D3" s="112"/>
      <c r="E3" s="112"/>
      <c r="F3" s="112"/>
      <c r="G3" s="1"/>
    </row>
    <row r="4" spans="1:7" ht="29.2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3" t="s">
        <v>22</v>
      </c>
      <c r="C9" s="114"/>
      <c r="D9" s="115"/>
      <c r="E9" s="7">
        <v>16138848.452554809</v>
      </c>
      <c r="F9" s="8" t="s">
        <v>3</v>
      </c>
      <c r="G9" s="1"/>
    </row>
    <row r="10" spans="1:7" ht="15" customHeight="1" x14ac:dyDescent="0.25">
      <c r="A10" s="1"/>
      <c r="B10" s="106" t="s">
        <v>35</v>
      </c>
      <c r="C10" s="107"/>
      <c r="D10" s="108"/>
      <c r="E10" s="9">
        <v>0</v>
      </c>
      <c r="F10" s="8" t="s">
        <v>3</v>
      </c>
      <c r="G10" s="1"/>
    </row>
    <row r="11" spans="1:7" ht="15" customHeight="1" x14ac:dyDescent="0.25">
      <c r="A11" s="1"/>
      <c r="B11" s="106" t="s">
        <v>36</v>
      </c>
      <c r="C11" s="107"/>
      <c r="D11" s="108"/>
      <c r="E11" s="9">
        <v>9920.6304</v>
      </c>
      <c r="F11" s="8" t="s">
        <v>3</v>
      </c>
      <c r="G11" s="1"/>
    </row>
    <row r="12" spans="1:7" x14ac:dyDescent="0.25">
      <c r="A12" s="1"/>
      <c r="B12" s="106" t="s">
        <v>26</v>
      </c>
      <c r="C12" s="107"/>
      <c r="D12" s="108"/>
      <c r="E12" s="9">
        <v>0</v>
      </c>
      <c r="F12" s="8" t="s">
        <v>3</v>
      </c>
      <c r="G12" s="1"/>
    </row>
    <row r="13" spans="1:7" x14ac:dyDescent="0.25">
      <c r="A13" s="1"/>
      <c r="B13" s="106" t="s">
        <v>25</v>
      </c>
      <c r="C13" s="107"/>
      <c r="D13" s="108"/>
      <c r="E13" s="9">
        <v>0</v>
      </c>
      <c r="F13" s="8" t="s">
        <v>3</v>
      </c>
      <c r="G13" s="1"/>
    </row>
    <row r="14" spans="1:7" x14ac:dyDescent="0.25">
      <c r="A14" s="1"/>
      <c r="B14" s="106" t="s">
        <v>114</v>
      </c>
      <c r="C14" s="107"/>
      <c r="D14" s="108"/>
      <c r="E14" s="9">
        <v>0</v>
      </c>
      <c r="F14" s="8" t="s">
        <v>3</v>
      </c>
      <c r="G14" s="1"/>
    </row>
    <row r="15" spans="1:7" x14ac:dyDescent="0.25">
      <c r="A15" s="1"/>
      <c r="B15" s="106" t="s">
        <v>115</v>
      </c>
      <c r="C15" s="107"/>
      <c r="D15" s="108"/>
      <c r="E15" s="9">
        <v>0</v>
      </c>
      <c r="F15" s="8" t="s">
        <v>3</v>
      </c>
      <c r="G15" s="1"/>
    </row>
    <row r="16" spans="1:7" x14ac:dyDescent="0.25">
      <c r="A16" s="1"/>
      <c r="B16" s="106" t="s">
        <v>17</v>
      </c>
      <c r="C16" s="107"/>
      <c r="D16" s="108"/>
      <c r="E16" s="9">
        <v>196926.68920148865</v>
      </c>
      <c r="F16" s="8" t="s">
        <v>3</v>
      </c>
      <c r="G16" s="30"/>
    </row>
    <row r="17" spans="1:7" x14ac:dyDescent="0.25">
      <c r="A17" s="1"/>
      <c r="B17" s="106" t="s">
        <v>9</v>
      </c>
      <c r="C17" s="107"/>
      <c r="D17" s="108"/>
      <c r="E17" s="9">
        <v>-112705.09459371804</v>
      </c>
      <c r="F17" s="8" t="s">
        <v>3</v>
      </c>
      <c r="G17" s="1"/>
    </row>
    <row r="18" spans="1:7" x14ac:dyDescent="0.25">
      <c r="A18" s="1"/>
      <c r="B18" s="106" t="s">
        <v>23</v>
      </c>
      <c r="C18" s="107"/>
      <c r="D18" s="108"/>
      <c r="E18" s="9">
        <v>-188678.08811363991</v>
      </c>
      <c r="F18" s="8" t="s">
        <v>3</v>
      </c>
      <c r="G18" s="1"/>
    </row>
    <row r="19" spans="1:7" x14ac:dyDescent="0.25">
      <c r="A19" s="1"/>
      <c r="B19" s="106" t="s">
        <v>24</v>
      </c>
      <c r="C19" s="107"/>
      <c r="D19" s="108"/>
      <c r="E19" s="9">
        <v>-201306.23045395396</v>
      </c>
      <c r="F19" s="8" t="s">
        <v>3</v>
      </c>
      <c r="G19" s="1"/>
    </row>
    <row r="20" spans="1:7" x14ac:dyDescent="0.25">
      <c r="A20" s="1"/>
      <c r="B20" s="119" t="s">
        <v>19</v>
      </c>
      <c r="C20" s="120"/>
      <c r="D20" s="121"/>
      <c r="E20" s="31">
        <f>SUM(E9:E19)</f>
        <v>15843006.358994987</v>
      </c>
      <c r="F20" s="34" t="s">
        <v>3</v>
      </c>
      <c r="G20" s="1"/>
    </row>
    <row r="21" spans="1:7" x14ac:dyDescent="0.25">
      <c r="A21" s="1"/>
      <c r="B21" s="82" t="s">
        <v>11</v>
      </c>
      <c r="C21" s="83"/>
      <c r="D21" s="83"/>
      <c r="E21" s="83"/>
      <c r="F21" s="19"/>
      <c r="G21" s="1"/>
    </row>
    <row r="22" spans="1:7" x14ac:dyDescent="0.25">
      <c r="A22" s="1"/>
      <c r="B22" s="109" t="s">
        <v>11</v>
      </c>
      <c r="C22" s="110"/>
      <c r="D22" s="111"/>
      <c r="E22" s="10">
        <v>11418888.242016552</v>
      </c>
      <c r="F22" s="11" t="s">
        <v>3</v>
      </c>
      <c r="G22" s="1"/>
    </row>
    <row r="23" spans="1:7" ht="15" customHeight="1" x14ac:dyDescent="0.25">
      <c r="A23" s="1"/>
      <c r="B23" s="125" t="s">
        <v>80</v>
      </c>
      <c r="C23" s="126"/>
      <c r="D23" s="126"/>
      <c r="E23" s="83"/>
      <c r="F23" s="19"/>
      <c r="G23" s="1"/>
    </row>
    <row r="24" spans="1:7" ht="14.25" customHeight="1" x14ac:dyDescent="0.25">
      <c r="A24" s="1"/>
      <c r="B24" s="116" t="s">
        <v>76</v>
      </c>
      <c r="C24" s="117"/>
      <c r="D24" s="118"/>
      <c r="E24" s="9">
        <v>0</v>
      </c>
      <c r="F24" s="8" t="s">
        <v>3</v>
      </c>
      <c r="G24" s="1"/>
    </row>
    <row r="25" spans="1:7" ht="14.25" customHeight="1" x14ac:dyDescent="0.25">
      <c r="A25" s="1"/>
      <c r="B25" s="116" t="s">
        <v>77</v>
      </c>
      <c r="C25" s="117"/>
      <c r="D25" s="118"/>
      <c r="E25" s="9">
        <v>0</v>
      </c>
      <c r="F25" s="8" t="s">
        <v>3</v>
      </c>
      <c r="G25" s="1"/>
    </row>
    <row r="26" spans="1:7" x14ac:dyDescent="0.25">
      <c r="A26" s="1"/>
      <c r="B26" s="122" t="s">
        <v>81</v>
      </c>
      <c r="C26" s="123"/>
      <c r="D26" s="123"/>
      <c r="E26" s="10">
        <v>0</v>
      </c>
      <c r="F26" s="11" t="s">
        <v>3</v>
      </c>
      <c r="G26" s="1"/>
    </row>
    <row r="27" spans="1:7" x14ac:dyDescent="0.25">
      <c r="A27" s="1"/>
      <c r="B27" s="82" t="s">
        <v>128</v>
      </c>
      <c r="C27" s="83"/>
      <c r="D27" s="83"/>
      <c r="E27" s="83"/>
      <c r="F27" s="19"/>
      <c r="G27" s="1"/>
    </row>
    <row r="28" spans="1:7" ht="15" customHeight="1" x14ac:dyDescent="0.25">
      <c r="A28" s="1"/>
      <c r="B28" s="122" t="s">
        <v>129</v>
      </c>
      <c r="C28" s="123"/>
      <c r="D28" s="124"/>
      <c r="E28" s="10">
        <v>218967.59624184854</v>
      </c>
      <c r="F28" s="11" t="s">
        <v>3</v>
      </c>
      <c r="G28" s="1"/>
    </row>
    <row r="29" spans="1:7" x14ac:dyDescent="0.25">
      <c r="A29" s="1"/>
      <c r="B29" s="82" t="s">
        <v>159</v>
      </c>
      <c r="C29" s="83"/>
      <c r="D29" s="83"/>
      <c r="E29" s="83"/>
      <c r="F29" s="19"/>
      <c r="G29" s="1"/>
    </row>
    <row r="30" spans="1:7" ht="15.75" customHeight="1" x14ac:dyDescent="0.25">
      <c r="A30" s="1"/>
      <c r="B30" s="109" t="s">
        <v>160</v>
      </c>
      <c r="C30" s="110"/>
      <c r="D30" s="111"/>
      <c r="E30" s="10">
        <v>0</v>
      </c>
      <c r="F30" s="11" t="s">
        <v>3</v>
      </c>
      <c r="G30" s="1"/>
    </row>
    <row r="31" spans="1:7" ht="15.75" customHeight="1" x14ac:dyDescent="0.25">
      <c r="A31" s="1"/>
      <c r="B31" s="127" t="s">
        <v>153</v>
      </c>
      <c r="C31" s="128"/>
      <c r="D31" s="128"/>
      <c r="E31" s="128"/>
      <c r="F31" s="129"/>
      <c r="G31" s="1"/>
    </row>
    <row r="32" spans="1:7" ht="15.75" customHeight="1" x14ac:dyDescent="0.25">
      <c r="A32" s="1"/>
      <c r="B32" s="84" t="s">
        <v>154</v>
      </c>
      <c r="C32" s="10"/>
      <c r="D32" s="11"/>
      <c r="E32" s="10">
        <f>'Fane 8. Skattesagen'!G11</f>
        <v>0</v>
      </c>
      <c r="F32" s="11" t="s">
        <v>3</v>
      </c>
      <c r="G32" s="1"/>
    </row>
    <row r="33" spans="1:7" x14ac:dyDescent="0.25">
      <c r="A33" s="1"/>
      <c r="B33" s="35" t="s">
        <v>27</v>
      </c>
      <c r="C33" s="38"/>
      <c r="D33" s="38"/>
      <c r="E33" s="32">
        <f>E20+E22+E26+E28+E30+E32</f>
        <v>27480862.197253384</v>
      </c>
      <c r="F33" s="37" t="s">
        <v>3</v>
      </c>
      <c r="G33" s="1"/>
    </row>
    <row r="34" spans="1:7" ht="27.75" customHeight="1" x14ac:dyDescent="0.25">
      <c r="A34" s="1"/>
      <c r="B34" s="116" t="s">
        <v>173</v>
      </c>
      <c r="C34" s="117"/>
      <c r="D34" s="117"/>
      <c r="E34" s="117"/>
      <c r="F34" s="11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42578125" style="2" customWidth="1"/>
    <col min="2" max="5" width="9" style="2"/>
    <col min="6" max="6" width="26.85546875" style="2" customWidth="1"/>
    <col min="7" max="7" width="13.28515625" style="43" customWidth="1"/>
    <col min="8" max="8" width="3.7109375" style="2" customWidth="1"/>
    <col min="9" max="9" width="2.42578125" style="2" customWidth="1"/>
    <col min="10" max="16384" width="9" style="2"/>
  </cols>
  <sheetData>
    <row r="1" spans="1:9" ht="15" customHeight="1" x14ac:dyDescent="0.25">
      <c r="A1" s="1"/>
      <c r="B1" s="112" t="s">
        <v>98</v>
      </c>
      <c r="C1" s="112"/>
      <c r="D1" s="112"/>
      <c r="E1" s="112"/>
      <c r="F1" s="112"/>
      <c r="G1" s="112"/>
      <c r="H1" s="112"/>
      <c r="I1" s="1"/>
    </row>
    <row r="2" spans="1:9" ht="15" customHeight="1" x14ac:dyDescent="0.25">
      <c r="A2" s="1"/>
      <c r="B2" s="112"/>
      <c r="C2" s="112"/>
      <c r="D2" s="112"/>
      <c r="E2" s="112"/>
      <c r="F2" s="112"/>
      <c r="G2" s="112"/>
      <c r="H2" s="112"/>
      <c r="I2" s="1"/>
    </row>
    <row r="3" spans="1:9" ht="15" customHeight="1" x14ac:dyDescent="0.25">
      <c r="A3" s="1"/>
      <c r="B3" s="112"/>
      <c r="C3" s="112"/>
      <c r="D3" s="112"/>
      <c r="E3" s="112"/>
      <c r="F3" s="112"/>
      <c r="G3" s="112"/>
      <c r="H3" s="112"/>
      <c r="I3" s="1"/>
    </row>
    <row r="4" spans="1:9" x14ac:dyDescent="0.25">
      <c r="A4" s="1"/>
      <c r="B4" s="127" t="s">
        <v>49</v>
      </c>
      <c r="C4" s="128"/>
      <c r="D4" s="128"/>
      <c r="E4" s="128"/>
      <c r="F4" s="128"/>
      <c r="G4" s="128"/>
      <c r="H4" s="129"/>
      <c r="I4" s="1"/>
    </row>
    <row r="5" spans="1:9" x14ac:dyDescent="0.25">
      <c r="A5" s="1"/>
      <c r="B5" s="130" t="s">
        <v>38</v>
      </c>
      <c r="C5" s="131"/>
      <c r="D5" s="131"/>
      <c r="E5" s="131"/>
      <c r="F5" s="132"/>
      <c r="G5" s="58">
        <v>9727273</v>
      </c>
      <c r="H5" s="14" t="s">
        <v>3</v>
      </c>
      <c r="I5" s="1"/>
    </row>
    <row r="6" spans="1:9" x14ac:dyDescent="0.25">
      <c r="A6" s="1"/>
      <c r="B6" s="130" t="s">
        <v>39</v>
      </c>
      <c r="C6" s="131"/>
      <c r="D6" s="131"/>
      <c r="E6" s="131"/>
      <c r="F6" s="132"/>
      <c r="G6" s="58">
        <f>G5*'Fane 13. Nøgletal'!C31</f>
        <v>194545.46</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7" t="s">
        <v>50</v>
      </c>
      <c r="C9" s="128"/>
      <c r="D9" s="128"/>
      <c r="E9" s="128"/>
      <c r="F9" s="128"/>
      <c r="G9" s="133"/>
      <c r="H9" s="129"/>
      <c r="I9" s="1"/>
    </row>
    <row r="10" spans="1:9" x14ac:dyDescent="0.25">
      <c r="A10" s="1"/>
      <c r="B10" s="130" t="s">
        <v>40</v>
      </c>
      <c r="C10" s="131"/>
      <c r="D10" s="131"/>
      <c r="E10" s="131"/>
      <c r="F10" s="132"/>
      <c r="G10" s="58">
        <f>(G5-G6)*(1+'Fane 13. Nøgletal'!C9)</f>
        <v>9653793.1797579993</v>
      </c>
      <c r="H10" s="14" t="s">
        <v>3</v>
      </c>
      <c r="I10" s="1"/>
    </row>
    <row r="11" spans="1:9" x14ac:dyDescent="0.25">
      <c r="A11" s="1"/>
      <c r="B11" s="134" t="s">
        <v>41</v>
      </c>
      <c r="C11" s="135"/>
      <c r="D11" s="135"/>
      <c r="E11" s="135"/>
      <c r="F11" s="136"/>
      <c r="G11" s="58">
        <v>0</v>
      </c>
      <c r="H11" s="14" t="s">
        <v>3</v>
      </c>
      <c r="I11" s="1"/>
    </row>
    <row r="12" spans="1:9" x14ac:dyDescent="0.25">
      <c r="A12" s="1"/>
      <c r="B12" s="130" t="s">
        <v>42</v>
      </c>
      <c r="C12" s="131"/>
      <c r="D12" s="131"/>
      <c r="E12" s="131"/>
      <c r="F12" s="132"/>
      <c r="G12" s="58">
        <f>(G10+G11)*'Fane 13. Nøgletal'!C31</f>
        <v>193075.86359515999</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7" t="s">
        <v>51</v>
      </c>
      <c r="C15" s="128"/>
      <c r="D15" s="128"/>
      <c r="E15" s="128"/>
      <c r="F15" s="128"/>
      <c r="G15" s="133"/>
      <c r="H15" s="129"/>
      <c r="I15" s="1"/>
    </row>
    <row r="16" spans="1:9" x14ac:dyDescent="0.25">
      <c r="A16" s="1"/>
      <c r="B16" s="130" t="s">
        <v>43</v>
      </c>
      <c r="C16" s="131"/>
      <c r="D16" s="131"/>
      <c r="E16" s="131"/>
      <c r="F16" s="132"/>
      <c r="G16" s="58">
        <f>(G10+G11-G12)*(1+'Fane 13. Nøgletal'!C11)</f>
        <v>9620603.4388059899</v>
      </c>
      <c r="H16" s="14" t="s">
        <v>3</v>
      </c>
      <c r="I16" s="1"/>
    </row>
    <row r="17" spans="1:9" x14ac:dyDescent="0.25">
      <c r="A17" s="1"/>
      <c r="B17" s="130" t="s">
        <v>108</v>
      </c>
      <c r="C17" s="131"/>
      <c r="D17" s="131"/>
      <c r="E17" s="131"/>
      <c r="F17" s="132"/>
      <c r="G17" s="58">
        <v>0.38634940250020416</v>
      </c>
      <c r="H17" s="14" t="s">
        <v>3</v>
      </c>
      <c r="I17" s="1"/>
    </row>
    <row r="18" spans="1:9" x14ac:dyDescent="0.25">
      <c r="A18" s="1"/>
      <c r="B18" s="134" t="s">
        <v>44</v>
      </c>
      <c r="C18" s="135"/>
      <c r="D18" s="135"/>
      <c r="E18" s="135"/>
      <c r="F18" s="136"/>
      <c r="G18" s="58">
        <v>0</v>
      </c>
      <c r="H18" s="14" t="s">
        <v>3</v>
      </c>
      <c r="I18" s="1"/>
    </row>
    <row r="19" spans="1:9" x14ac:dyDescent="0.25">
      <c r="A19" s="1"/>
      <c r="B19" s="130" t="s">
        <v>45</v>
      </c>
      <c r="C19" s="131"/>
      <c r="D19" s="131"/>
      <c r="E19" s="131"/>
      <c r="F19" s="132"/>
      <c r="G19" s="58">
        <f>SUM(G16:G18)*'Fane 13. Nøgletal'!C31</f>
        <v>192412.07650310785</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7" t="s">
        <v>52</v>
      </c>
      <c r="C22" s="128"/>
      <c r="D22" s="128"/>
      <c r="E22" s="128"/>
      <c r="F22" s="128"/>
      <c r="G22" s="133"/>
      <c r="H22" s="129"/>
      <c r="I22" s="1"/>
    </row>
    <row r="23" spans="1:9" x14ac:dyDescent="0.25">
      <c r="A23" s="1"/>
      <c r="B23" s="130" t="s">
        <v>46</v>
      </c>
      <c r="C23" s="131"/>
      <c r="D23" s="131"/>
      <c r="E23" s="131"/>
      <c r="F23" s="132"/>
      <c r="G23" s="58">
        <f>(SUM(G16:G18)-G19)*(1+'Fane 13. Nøgletal'!C11)</f>
        <v>9587528.1892045084</v>
      </c>
      <c r="H23" s="14" t="s">
        <v>3</v>
      </c>
      <c r="I23" s="1"/>
    </row>
    <row r="24" spans="1:9" x14ac:dyDescent="0.25">
      <c r="A24" s="1"/>
      <c r="B24" s="134" t="s">
        <v>47</v>
      </c>
      <c r="C24" s="135"/>
      <c r="D24" s="135"/>
      <c r="E24" s="135"/>
      <c r="F24" s="136"/>
      <c r="G24" s="58">
        <v>0</v>
      </c>
      <c r="H24" s="14" t="s">
        <v>3</v>
      </c>
      <c r="I24" s="1"/>
    </row>
    <row r="25" spans="1:9" x14ac:dyDescent="0.25">
      <c r="A25" s="1"/>
      <c r="B25" s="130" t="s">
        <v>48</v>
      </c>
      <c r="C25" s="131"/>
      <c r="D25" s="131"/>
      <c r="E25" s="131"/>
      <c r="F25" s="132"/>
      <c r="G25" s="58">
        <f>(G23+G24)*'Fane 13. Nøgletal'!C31</f>
        <v>191750.56378409016</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7" t="s">
        <v>132</v>
      </c>
      <c r="C28" s="128"/>
      <c r="D28" s="128"/>
      <c r="E28" s="128"/>
      <c r="F28" s="128"/>
      <c r="G28" s="133"/>
      <c r="H28" s="129"/>
      <c r="I28" s="1"/>
    </row>
    <row r="29" spans="1:9" x14ac:dyDescent="0.25">
      <c r="A29" s="1"/>
      <c r="B29" s="130" t="s">
        <v>55</v>
      </c>
      <c r="C29" s="131"/>
      <c r="D29" s="131"/>
      <c r="E29" s="131"/>
      <c r="F29" s="132"/>
      <c r="G29" s="58">
        <f>(G23+G24-G25)*(1+'Fane 13. Nøgletal'!C13)</f>
        <v>9510406.1124505475</v>
      </c>
      <c r="H29" s="14" t="s">
        <v>3</v>
      </c>
      <c r="I29" s="1"/>
    </row>
    <row r="30" spans="1:9" x14ac:dyDescent="0.25">
      <c r="A30" s="1"/>
      <c r="B30" s="130" t="s">
        <v>121</v>
      </c>
      <c r="C30" s="131"/>
      <c r="D30" s="131"/>
      <c r="E30" s="131"/>
      <c r="F30" s="132"/>
      <c r="G30" s="58">
        <v>0</v>
      </c>
      <c r="H30" s="14" t="s">
        <v>3</v>
      </c>
      <c r="I30" s="1"/>
    </row>
    <row r="31" spans="1:9" x14ac:dyDescent="0.25">
      <c r="A31" s="1"/>
      <c r="B31" s="130" t="s">
        <v>126</v>
      </c>
      <c r="C31" s="131"/>
      <c r="D31" s="131"/>
      <c r="E31" s="131"/>
      <c r="F31" s="132"/>
      <c r="G31" s="58">
        <f>(G29+G30)*'Fane 13. Nøgletal'!C31</f>
        <v>190208.12224901095</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7" t="s">
        <v>133</v>
      </c>
      <c r="C34" s="128"/>
      <c r="D34" s="128"/>
      <c r="E34" s="128"/>
      <c r="F34" s="128"/>
      <c r="G34" s="133"/>
      <c r="H34" s="129"/>
      <c r="I34" s="1"/>
    </row>
    <row r="35" spans="1:9" x14ac:dyDescent="0.25">
      <c r="A35" s="1"/>
      <c r="B35" s="130" t="s">
        <v>74</v>
      </c>
      <c r="C35" s="131"/>
      <c r="D35" s="131"/>
      <c r="E35" s="131"/>
      <c r="F35" s="132"/>
      <c r="G35" s="58">
        <f>(G29+G30-G31)*(1+'Fane 13. Nøgletal'!C13)</f>
        <v>9433904.4056819957</v>
      </c>
      <c r="H35" s="14" t="s">
        <v>3</v>
      </c>
      <c r="I35" s="1"/>
    </row>
    <row r="36" spans="1:9" x14ac:dyDescent="0.25">
      <c r="A36" s="1"/>
      <c r="B36" s="130" t="s">
        <v>152</v>
      </c>
      <c r="C36" s="131"/>
      <c r="D36" s="131"/>
      <c r="E36" s="131"/>
      <c r="F36" s="132"/>
      <c r="G36" s="58">
        <f>('Fane 3. Omkostninger i ØR2022'!E10+'Fane 3. Omkostninger i ØR2022'!E12+'Fane 3. Omkostninger i ØR2022'!E14)*(1+'Fane 13. Nøgletal'!C14)</f>
        <v>0</v>
      </c>
      <c r="H36" s="14" t="s">
        <v>3</v>
      </c>
      <c r="I36" s="1"/>
    </row>
    <row r="37" spans="1:9" x14ac:dyDescent="0.25">
      <c r="A37" s="1"/>
      <c r="B37" s="130" t="s">
        <v>134</v>
      </c>
      <c r="C37" s="131"/>
      <c r="D37" s="131"/>
      <c r="E37" s="131"/>
      <c r="F37" s="132"/>
      <c r="G37" s="58">
        <f>(G35+G36)*'Fane 13. Nøgletal'!C31</f>
        <v>188678.08811363991</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7" t="s">
        <v>198</v>
      </c>
      <c r="C40" s="128"/>
      <c r="D40" s="128"/>
      <c r="E40" s="128"/>
      <c r="F40" s="128"/>
      <c r="G40" s="133"/>
      <c r="H40" s="129"/>
      <c r="I40" s="1"/>
    </row>
    <row r="41" spans="1:9" x14ac:dyDescent="0.25">
      <c r="A41" s="1"/>
      <c r="B41" s="130" t="s">
        <v>73</v>
      </c>
      <c r="C41" s="131"/>
      <c r="D41" s="131"/>
      <c r="E41" s="131"/>
      <c r="F41" s="132"/>
      <c r="G41" s="58">
        <f>(G35+G36-G37)*(1+'Fane 13. Nøgletal'!C15)</f>
        <v>9574356.3744737897</v>
      </c>
      <c r="H41" s="14" t="s">
        <v>3</v>
      </c>
      <c r="I41" s="1"/>
    </row>
    <row r="42" spans="1:9" x14ac:dyDescent="0.25">
      <c r="A42" s="1"/>
      <c r="B42" s="130" t="s">
        <v>197</v>
      </c>
      <c r="C42" s="131"/>
      <c r="D42" s="131"/>
      <c r="E42" s="131"/>
      <c r="F42" s="132"/>
      <c r="G42" s="58">
        <f>('Fane 2.1. Økonomisk ramme 2023'!C9+'Fane 2.1. Økonomisk ramme 2023'!C11+'Fane 2.1. Økonomisk ramme 2023'!C13)*(1+'Fane 13. Nøgletal'!C15)</f>
        <v>0</v>
      </c>
      <c r="H42" s="14" t="s">
        <v>3</v>
      </c>
      <c r="I42" s="1"/>
    </row>
    <row r="43" spans="1:9" x14ac:dyDescent="0.25">
      <c r="A43" s="1"/>
      <c r="B43" s="130" t="s">
        <v>208</v>
      </c>
      <c r="C43" s="131"/>
      <c r="D43" s="131"/>
      <c r="E43" s="131"/>
      <c r="F43" s="132"/>
      <c r="G43" s="58">
        <f>(G41+G42)*'Fane 13. Nøgletal'!C31</f>
        <v>191487.1274894758</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7" t="s">
        <v>199</v>
      </c>
      <c r="C46" s="128"/>
      <c r="D46" s="128"/>
      <c r="E46" s="128"/>
      <c r="F46" s="128"/>
      <c r="G46" s="133"/>
      <c r="H46" s="129"/>
      <c r="I46" s="1"/>
    </row>
    <row r="47" spans="1:9" x14ac:dyDescent="0.25">
      <c r="A47" s="1"/>
      <c r="B47" s="130" t="s">
        <v>122</v>
      </c>
      <c r="C47" s="131"/>
      <c r="D47" s="131"/>
      <c r="E47" s="131"/>
      <c r="F47" s="132"/>
      <c r="G47" s="58">
        <f>(G41+G42-G43)*(1+'Fane 13. Nøgletal'!C15)</f>
        <v>9716899.3921769559</v>
      </c>
      <c r="H47" s="14" t="s">
        <v>3</v>
      </c>
      <c r="I47" s="1"/>
    </row>
    <row r="48" spans="1:9" x14ac:dyDescent="0.25">
      <c r="A48" s="1"/>
      <c r="B48" s="130" t="s">
        <v>209</v>
      </c>
      <c r="C48" s="131"/>
      <c r="D48" s="131"/>
      <c r="E48" s="131"/>
      <c r="F48" s="132"/>
      <c r="G48" s="58">
        <f>(G47)*'Fane 13. Nøgletal'!C31</f>
        <v>194337.98784353913</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7" t="s">
        <v>145</v>
      </c>
      <c r="C51" s="128"/>
      <c r="D51" s="128"/>
      <c r="E51" s="128"/>
      <c r="F51" s="128"/>
      <c r="G51" s="133"/>
      <c r="H51" s="129"/>
      <c r="I51" s="1"/>
    </row>
    <row r="52" spans="1:9" x14ac:dyDescent="0.25">
      <c r="A52" s="1"/>
      <c r="B52" s="130" t="s">
        <v>146</v>
      </c>
      <c r="C52" s="131"/>
      <c r="D52" s="131"/>
      <c r="E52" s="131"/>
      <c r="F52" s="132"/>
      <c r="G52" s="58">
        <f>(G47-G48)*(1+'Fane 13. Nøgletal'!C15)</f>
        <v>9861564.5903276876</v>
      </c>
      <c r="H52" s="14" t="s">
        <v>3</v>
      </c>
      <c r="I52" s="1"/>
    </row>
    <row r="53" spans="1:9" x14ac:dyDescent="0.25">
      <c r="A53" s="1"/>
      <c r="B53" s="130" t="s">
        <v>147</v>
      </c>
      <c r="C53" s="131"/>
      <c r="D53" s="131"/>
      <c r="E53" s="131"/>
      <c r="F53" s="132"/>
      <c r="G53" s="58">
        <f>(G52)*'Fane 13. Nøgletal'!C31</f>
        <v>197231.29180655375</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7" t="s">
        <v>174</v>
      </c>
      <c r="C56" s="128"/>
      <c r="D56" s="128"/>
      <c r="E56" s="128"/>
      <c r="F56" s="128"/>
      <c r="G56" s="133"/>
      <c r="H56" s="129"/>
      <c r="I56" s="1"/>
    </row>
    <row r="57" spans="1:9" x14ac:dyDescent="0.25">
      <c r="A57" s="1"/>
      <c r="B57" s="130" t="s">
        <v>175</v>
      </c>
      <c r="C57" s="131"/>
      <c r="D57" s="131"/>
      <c r="E57" s="131"/>
      <c r="F57" s="132"/>
      <c r="G57" s="58">
        <f>(G52-G53)*(1+'Fane 13. Nøgletal'!C15)</f>
        <v>10008383.563948486</v>
      </c>
      <c r="H57" s="14" t="s">
        <v>3</v>
      </c>
      <c r="I57" s="1"/>
    </row>
    <row r="58" spans="1:9" x14ac:dyDescent="0.25">
      <c r="A58" s="1"/>
      <c r="B58" s="130" t="s">
        <v>176</v>
      </c>
      <c r="C58" s="131"/>
      <c r="D58" s="131"/>
      <c r="E58" s="131"/>
      <c r="F58" s="132"/>
      <c r="G58" s="58">
        <f>(G57)*'Fane 13. Nøgletal'!C31</f>
        <v>200167.67127896973</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42578125" style="2" customWidth="1"/>
    <col min="2" max="5" width="9" style="2"/>
    <col min="6" max="6" width="28.140625" style="2" customWidth="1"/>
    <col min="7" max="7" width="10.28515625" style="2" customWidth="1"/>
    <col min="8" max="8" width="2.85546875" style="2" bestFit="1" customWidth="1"/>
    <col min="9" max="9" width="2.85546875" style="2" customWidth="1"/>
    <col min="10" max="16384" width="9" style="2"/>
  </cols>
  <sheetData>
    <row r="1" spans="1:9" x14ac:dyDescent="0.25">
      <c r="A1" s="1"/>
      <c r="B1" s="137" t="s">
        <v>99</v>
      </c>
      <c r="C1" s="138"/>
      <c r="D1" s="138"/>
      <c r="E1" s="138"/>
      <c r="F1" s="138"/>
      <c r="G1" s="138"/>
      <c r="H1" s="138"/>
      <c r="I1" s="1"/>
    </row>
    <row r="2" spans="1:9" ht="19.899999999999999" customHeight="1" x14ac:dyDescent="0.25">
      <c r="A2" s="1"/>
      <c r="B2" s="138"/>
      <c r="C2" s="138"/>
      <c r="D2" s="138"/>
      <c r="E2" s="138"/>
      <c r="F2" s="138"/>
      <c r="G2" s="138"/>
      <c r="H2" s="138"/>
      <c r="I2" s="1"/>
    </row>
    <row r="3" spans="1:9" ht="15" customHeight="1" x14ac:dyDescent="0.25">
      <c r="A3" s="1"/>
      <c r="B3" s="139"/>
      <c r="C3" s="139"/>
      <c r="D3" s="139"/>
      <c r="E3" s="139"/>
      <c r="F3" s="139"/>
      <c r="G3" s="139"/>
      <c r="H3" s="139"/>
      <c r="I3" s="1"/>
    </row>
    <row r="4" spans="1:9" x14ac:dyDescent="0.25">
      <c r="A4" s="1"/>
      <c r="B4" s="127" t="s">
        <v>53</v>
      </c>
      <c r="C4" s="128"/>
      <c r="D4" s="128"/>
      <c r="E4" s="128"/>
      <c r="F4" s="128"/>
      <c r="G4" s="128"/>
      <c r="H4" s="129"/>
      <c r="I4" s="1"/>
    </row>
    <row r="5" spans="1:9" x14ac:dyDescent="0.25">
      <c r="A5" s="1"/>
      <c r="B5" s="130" t="s">
        <v>56</v>
      </c>
      <c r="C5" s="131"/>
      <c r="D5" s="131"/>
      <c r="E5" s="131"/>
      <c r="F5" s="132"/>
      <c r="G5" s="58">
        <v>6762099</v>
      </c>
      <c r="H5" s="14" t="s">
        <v>3</v>
      </c>
      <c r="I5" s="1"/>
    </row>
    <row r="6" spans="1:9" x14ac:dyDescent="0.25">
      <c r="A6" s="1"/>
      <c r="B6" s="130" t="s">
        <v>54</v>
      </c>
      <c r="C6" s="131"/>
      <c r="D6" s="131"/>
      <c r="E6" s="131"/>
      <c r="F6" s="132"/>
      <c r="G6" s="58">
        <f>G5*'Fane 13. Nøgletal'!C20</f>
        <v>61535.100900000005</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7" t="s">
        <v>57</v>
      </c>
      <c r="C9" s="128"/>
      <c r="D9" s="128"/>
      <c r="E9" s="128"/>
      <c r="F9" s="128"/>
      <c r="G9" s="133"/>
      <c r="H9" s="129"/>
      <c r="I9" s="1"/>
    </row>
    <row r="10" spans="1:9" x14ac:dyDescent="0.25">
      <c r="A10" s="1"/>
      <c r="B10" s="130" t="s">
        <v>58</v>
      </c>
      <c r="C10" s="131"/>
      <c r="D10" s="131"/>
      <c r="E10" s="131"/>
      <c r="F10" s="132"/>
      <c r="G10" s="58">
        <f>(G5-G6)*(1+'Fane 13. Nøgletal'!C9)</f>
        <v>6785661.0606185691</v>
      </c>
      <c r="H10" s="14" t="s">
        <v>3</v>
      </c>
      <c r="I10" s="1"/>
    </row>
    <row r="11" spans="1:9" x14ac:dyDescent="0.25">
      <c r="A11" s="1"/>
      <c r="B11" s="134" t="s">
        <v>59</v>
      </c>
      <c r="C11" s="135"/>
      <c r="D11" s="135"/>
      <c r="E11" s="135"/>
      <c r="F11" s="136"/>
      <c r="G11" s="63">
        <v>0</v>
      </c>
      <c r="H11" s="14" t="s">
        <v>3</v>
      </c>
      <c r="I11" s="1"/>
    </row>
    <row r="12" spans="1:9" x14ac:dyDescent="0.25">
      <c r="A12" s="1"/>
      <c r="B12" s="130" t="s">
        <v>60</v>
      </c>
      <c r="C12" s="131"/>
      <c r="D12" s="131"/>
      <c r="E12" s="131"/>
      <c r="F12" s="132"/>
      <c r="G12" s="58">
        <f>G10*'Fane 13. Nøgletal'!C20+G11*'Fane 13. Nøgletal'!C21</f>
        <v>61749.515651628979</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7" t="s">
        <v>61</v>
      </c>
      <c r="C15" s="128"/>
      <c r="D15" s="128"/>
      <c r="E15" s="128"/>
      <c r="F15" s="128"/>
      <c r="G15" s="133"/>
      <c r="H15" s="129"/>
      <c r="I15" s="1"/>
    </row>
    <row r="16" spans="1:9" x14ac:dyDescent="0.25">
      <c r="A16" s="1"/>
      <c r="B16" s="130" t="s">
        <v>62</v>
      </c>
      <c r="C16" s="131"/>
      <c r="D16" s="131"/>
      <c r="E16" s="131"/>
      <c r="F16" s="132"/>
      <c r="G16" s="58">
        <f>(G10+G11-G12)*(1+'Fane 13. Nøgletal'!C11)</f>
        <v>6837545.6500768801</v>
      </c>
      <c r="H16" s="14" t="s">
        <v>3</v>
      </c>
      <c r="I16" s="1"/>
    </row>
    <row r="17" spans="1:9" x14ac:dyDescent="0.25">
      <c r="A17" s="1"/>
      <c r="B17" s="130" t="s">
        <v>109</v>
      </c>
      <c r="C17" s="131"/>
      <c r="D17" s="131"/>
      <c r="E17" s="131"/>
      <c r="F17" s="132"/>
      <c r="G17" s="58">
        <v>278023.44281723525</v>
      </c>
      <c r="H17" s="14" t="s">
        <v>3</v>
      </c>
      <c r="I17" s="1"/>
    </row>
    <row r="18" spans="1:9" x14ac:dyDescent="0.25">
      <c r="A18" s="1"/>
      <c r="B18" s="134" t="s">
        <v>63</v>
      </c>
      <c r="C18" s="135"/>
      <c r="D18" s="135"/>
      <c r="E18" s="135"/>
      <c r="F18" s="136"/>
      <c r="G18" s="58">
        <v>0</v>
      </c>
      <c r="H18" s="14" t="s">
        <v>3</v>
      </c>
      <c r="I18" s="1"/>
    </row>
    <row r="19" spans="1:9" x14ac:dyDescent="0.25">
      <c r="A19" s="1"/>
      <c r="B19" s="130" t="s">
        <v>64</v>
      </c>
      <c r="C19" s="131"/>
      <c r="D19" s="131"/>
      <c r="E19" s="131"/>
      <c r="F19" s="132"/>
      <c r="G19" s="58">
        <f>(G16+G17+G18)*'Fane 13. Nøgletal'!C22</f>
        <v>61905.4511081788</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7" t="s">
        <v>65</v>
      </c>
      <c r="C22" s="128"/>
      <c r="D22" s="128"/>
      <c r="E22" s="128"/>
      <c r="F22" s="128"/>
      <c r="G22" s="133"/>
      <c r="H22" s="129"/>
      <c r="I22" s="1"/>
    </row>
    <row r="23" spans="1:9" x14ac:dyDescent="0.25">
      <c r="A23" s="1"/>
      <c r="B23" s="130" t="s">
        <v>66</v>
      </c>
      <c r="C23" s="131"/>
      <c r="D23" s="131"/>
      <c r="E23" s="131"/>
      <c r="F23" s="132"/>
      <c r="G23" s="58">
        <f>(SUM(G16:G18)-G19)*(1+'Fane 13. Nøgletal'!C11)</f>
        <v>7172870.557332118</v>
      </c>
      <c r="H23" s="14" t="s">
        <v>3</v>
      </c>
      <c r="I23" s="1"/>
    </row>
    <row r="24" spans="1:9" x14ac:dyDescent="0.25">
      <c r="A24" s="1"/>
      <c r="B24" s="134" t="s">
        <v>67</v>
      </c>
      <c r="C24" s="135"/>
      <c r="D24" s="135"/>
      <c r="E24" s="135"/>
      <c r="F24" s="136"/>
      <c r="G24" s="58">
        <v>198221.62460657037</v>
      </c>
      <c r="H24" s="14" t="s">
        <v>3</v>
      </c>
      <c r="I24" s="1"/>
    </row>
    <row r="25" spans="1:9" x14ac:dyDescent="0.25">
      <c r="A25" s="1"/>
      <c r="B25" s="130" t="s">
        <v>68</v>
      </c>
      <c r="C25" s="131"/>
      <c r="D25" s="131"/>
      <c r="E25" s="131"/>
      <c r="F25" s="132"/>
      <c r="G25" s="58">
        <f>G23*'Fane 13. Nøgletal'!C22+G24*'Fane 13. Nøgletal'!C23</f>
        <v>68033.467987616023</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7" t="s">
        <v>130</v>
      </c>
      <c r="C28" s="128"/>
      <c r="D28" s="128"/>
      <c r="E28" s="128"/>
      <c r="F28" s="128"/>
      <c r="G28" s="133"/>
      <c r="H28" s="129"/>
      <c r="I28" s="1"/>
    </row>
    <row r="29" spans="1:9" x14ac:dyDescent="0.25">
      <c r="A29" s="1"/>
      <c r="B29" s="130" t="s">
        <v>69</v>
      </c>
      <c r="C29" s="131"/>
      <c r="D29" s="131"/>
      <c r="E29" s="131"/>
      <c r="F29" s="132"/>
      <c r="G29" s="58">
        <f>(G23+G24-G25)*(1+'Fane 13. Nøgletal'!C13)</f>
        <v>7392156.0302612754</v>
      </c>
      <c r="H29" s="14" t="s">
        <v>3</v>
      </c>
      <c r="I29" s="1"/>
    </row>
    <row r="30" spans="1:9" x14ac:dyDescent="0.25">
      <c r="A30" s="1"/>
      <c r="B30" s="130" t="s">
        <v>123</v>
      </c>
      <c r="C30" s="131"/>
      <c r="D30" s="131"/>
      <c r="E30" s="131"/>
      <c r="F30" s="132"/>
      <c r="G30" s="58">
        <v>38902.119454799998</v>
      </c>
      <c r="H30" s="14" t="s">
        <v>3</v>
      </c>
      <c r="I30" s="1"/>
    </row>
    <row r="31" spans="1:9" x14ac:dyDescent="0.25">
      <c r="A31" s="1"/>
      <c r="B31" s="130" t="s">
        <v>131</v>
      </c>
      <c r="C31" s="131"/>
      <c r="D31" s="131"/>
      <c r="E31" s="131"/>
      <c r="F31" s="132"/>
      <c r="G31" s="58">
        <f>(G29+G30)*'Fane 13. Nøgletal'!C24</f>
        <v>204354.09911719209</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7" t="s">
        <v>135</v>
      </c>
      <c r="C34" s="128"/>
      <c r="D34" s="128"/>
      <c r="E34" s="128"/>
      <c r="F34" s="128"/>
      <c r="G34" s="133"/>
      <c r="H34" s="129"/>
      <c r="I34" s="1"/>
    </row>
    <row r="35" spans="1:9" x14ac:dyDescent="0.25">
      <c r="A35" s="1"/>
      <c r="B35" s="130" t="s">
        <v>72</v>
      </c>
      <c r="C35" s="131"/>
      <c r="D35" s="131"/>
      <c r="E35" s="131"/>
      <c r="F35" s="132"/>
      <c r="G35" s="58">
        <f>(G29+G30-G31)*(1+'Fane 13. Nøgletal'!C13)</f>
        <v>7314869.840016189</v>
      </c>
      <c r="H35" s="14" t="s">
        <v>3</v>
      </c>
      <c r="I35" s="1"/>
    </row>
    <row r="36" spans="1:9" x14ac:dyDescent="0.25">
      <c r="A36" s="1"/>
      <c r="B36" s="130" t="s">
        <v>141</v>
      </c>
      <c r="C36" s="131"/>
      <c r="D36" s="131"/>
      <c r="E36" s="131"/>
      <c r="F36" s="132"/>
      <c r="G36" s="58">
        <f>SUM('Fane 3. Omkostninger i ØR2022'!E11)*(1+'Fane 13. Nøgletal'!C14)</f>
        <v>9953.3684803200013</v>
      </c>
      <c r="H36" s="14" t="s">
        <v>3</v>
      </c>
      <c r="I36" s="1"/>
    </row>
    <row r="37" spans="1:9" x14ac:dyDescent="0.25">
      <c r="A37" s="1"/>
      <c r="B37" s="130" t="s">
        <v>136</v>
      </c>
      <c r="C37" s="131"/>
      <c r="D37" s="131"/>
      <c r="E37" s="131"/>
      <c r="F37" s="132"/>
      <c r="G37" s="58">
        <f>G35*'Fane 13. Nøgletal'!C24+G36*'Fane 13. Nøgletal'!C25</f>
        <v>201306.23045395396</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7" t="s">
        <v>200</v>
      </c>
      <c r="C40" s="128"/>
      <c r="D40" s="128"/>
      <c r="E40" s="128"/>
      <c r="F40" s="128"/>
      <c r="G40" s="133"/>
      <c r="H40" s="129"/>
      <c r="I40" s="1"/>
    </row>
    <row r="41" spans="1:9" x14ac:dyDescent="0.25">
      <c r="A41" s="1"/>
      <c r="B41" s="130" t="s">
        <v>71</v>
      </c>
      <c r="C41" s="131"/>
      <c r="D41" s="131"/>
      <c r="E41" s="131"/>
      <c r="F41" s="132"/>
      <c r="G41" s="58">
        <f>(G35+G36-G37)*(1+'Fane 13. Nøgletal'!C15)</f>
        <v>7377114.1824608706</v>
      </c>
      <c r="H41" s="14" t="s">
        <v>3</v>
      </c>
      <c r="I41" s="1"/>
    </row>
    <row r="42" spans="1:9" x14ac:dyDescent="0.25">
      <c r="A42" s="1"/>
      <c r="B42" s="130" t="s">
        <v>211</v>
      </c>
      <c r="C42" s="131"/>
      <c r="D42" s="131"/>
      <c r="E42" s="131"/>
      <c r="F42" s="132"/>
      <c r="G42" s="63">
        <f>SUM('Fane 2.1. Økonomisk ramme 2023'!C10+'Fane 2.1. Økonomisk ramme 2023'!C12+'Fane 2.1. Økonomisk ramme 2023'!C14)*(1+'Fane 13. Nøgletal'!C15)</f>
        <v>8804.9570256000006</v>
      </c>
      <c r="H42" s="14" t="s">
        <v>3</v>
      </c>
      <c r="I42" s="1"/>
    </row>
    <row r="43" spans="1:9" x14ac:dyDescent="0.25">
      <c r="A43" s="1"/>
      <c r="B43" s="130" t="s">
        <v>70</v>
      </c>
      <c r="C43" s="131"/>
      <c r="D43" s="131"/>
      <c r="E43" s="131"/>
      <c r="F43" s="132"/>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7" t="s">
        <v>201</v>
      </c>
      <c r="C46" s="128"/>
      <c r="D46" s="128"/>
      <c r="E46" s="128"/>
      <c r="F46" s="128"/>
      <c r="G46" s="133"/>
      <c r="H46" s="129"/>
      <c r="I46" s="1"/>
    </row>
    <row r="47" spans="1:9" x14ac:dyDescent="0.25">
      <c r="A47" s="1"/>
      <c r="B47" s="130" t="s">
        <v>124</v>
      </c>
      <c r="C47" s="131"/>
      <c r="D47" s="131"/>
      <c r="E47" s="131"/>
      <c r="F47" s="132"/>
      <c r="G47" s="58">
        <f>(G41+G42-G43)*(1+'Fane 13. Nøgletal'!C15)</f>
        <v>7648857.8608521894</v>
      </c>
      <c r="H47" s="14" t="s">
        <v>3</v>
      </c>
      <c r="I47" s="1"/>
    </row>
    <row r="48" spans="1:9" x14ac:dyDescent="0.25">
      <c r="A48" s="1"/>
      <c r="B48" s="130" t="s">
        <v>125</v>
      </c>
      <c r="C48" s="131"/>
      <c r="D48" s="131"/>
      <c r="E48" s="131"/>
      <c r="F48" s="132"/>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7" t="s">
        <v>142</v>
      </c>
      <c r="C51" s="128"/>
      <c r="D51" s="128"/>
      <c r="E51" s="128"/>
      <c r="F51" s="128"/>
      <c r="G51" s="133"/>
      <c r="H51" s="129"/>
      <c r="I51" s="1"/>
    </row>
    <row r="52" spans="1:9" x14ac:dyDescent="0.25">
      <c r="A52" s="1"/>
      <c r="B52" s="130" t="s">
        <v>143</v>
      </c>
      <c r="C52" s="131"/>
      <c r="D52" s="131"/>
      <c r="E52" s="131"/>
      <c r="F52" s="132"/>
      <c r="G52" s="58">
        <f>(G47-G48)*(1+'Fane 13. Nøgletal'!C15)</f>
        <v>7921157.2006985275</v>
      </c>
      <c r="H52" s="14" t="s">
        <v>3</v>
      </c>
      <c r="I52" s="1"/>
    </row>
    <row r="53" spans="1:9" x14ac:dyDescent="0.25">
      <c r="A53" s="1"/>
      <c r="B53" s="130" t="s">
        <v>144</v>
      </c>
      <c r="C53" s="131"/>
      <c r="D53" s="131"/>
      <c r="E53" s="131"/>
      <c r="F53" s="132"/>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7" t="s">
        <v>177</v>
      </c>
      <c r="C56" s="128"/>
      <c r="D56" s="128"/>
      <c r="E56" s="128"/>
      <c r="F56" s="128"/>
      <c r="G56" s="133"/>
      <c r="H56" s="129"/>
      <c r="I56" s="1"/>
    </row>
    <row r="57" spans="1:9" x14ac:dyDescent="0.25">
      <c r="A57" s="1"/>
      <c r="B57" s="130" t="s">
        <v>178</v>
      </c>
      <c r="C57" s="131"/>
      <c r="D57" s="131"/>
      <c r="E57" s="131"/>
      <c r="F57" s="132"/>
      <c r="G57" s="58">
        <f>(G52-G53)*(1+'Fane 13. Nøgletal'!C15)</f>
        <v>8203150.3970433958</v>
      </c>
      <c r="H57" s="14" t="s">
        <v>3</v>
      </c>
      <c r="I57" s="1"/>
    </row>
    <row r="58" spans="1:9" x14ac:dyDescent="0.25">
      <c r="A58" s="1"/>
      <c r="B58" s="130" t="s">
        <v>179</v>
      </c>
      <c r="C58" s="131"/>
      <c r="D58" s="131"/>
      <c r="E58" s="131"/>
      <c r="F58" s="132"/>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4" t="s">
        <v>82</v>
      </c>
      <c r="C3" s="104"/>
      <c r="D3" s="104"/>
      <c r="E3" s="104"/>
      <c r="F3" s="104"/>
      <c r="G3" s="104"/>
      <c r="H3" s="1"/>
    </row>
    <row r="4" spans="1:8" ht="15" customHeight="1" x14ac:dyDescent="0.25">
      <c r="A4" s="1"/>
      <c r="B4" s="104"/>
      <c r="C4" s="104"/>
      <c r="D4" s="104"/>
      <c r="E4" s="104"/>
      <c r="F4" s="104"/>
      <c r="G4" s="10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9"/>
      <c r="H8" s="1"/>
    </row>
    <row r="9" spans="1:8" x14ac:dyDescent="0.25">
      <c r="A9" s="1"/>
      <c r="B9" s="76" t="s">
        <v>180</v>
      </c>
      <c r="C9" s="77"/>
      <c r="D9" s="77"/>
      <c r="E9" s="77"/>
      <c r="F9" s="78"/>
      <c r="G9" s="28">
        <v>0</v>
      </c>
      <c r="H9" s="1"/>
    </row>
    <row r="10" spans="1:8" x14ac:dyDescent="0.25">
      <c r="A10" s="1"/>
      <c r="B10" s="71"/>
      <c r="C10" s="72"/>
      <c r="D10" s="72"/>
      <c r="E10" s="72"/>
      <c r="F10" s="72"/>
      <c r="G10" s="19"/>
      <c r="H10" s="1"/>
    </row>
    <row r="11" spans="1:8" x14ac:dyDescent="0.25">
      <c r="A11" s="1"/>
      <c r="B11" s="1"/>
      <c r="C11" s="1"/>
      <c r="D11" s="1"/>
      <c r="E11" s="1"/>
      <c r="F11" s="1"/>
      <c r="G11" s="1"/>
      <c r="H11" s="1"/>
    </row>
    <row r="12" spans="1:8" ht="31.5" customHeight="1" x14ac:dyDescent="0.25">
      <c r="A12" s="1"/>
      <c r="B12" s="140" t="s">
        <v>202</v>
      </c>
      <c r="C12" s="140"/>
      <c r="D12" s="140"/>
      <c r="E12" s="140"/>
      <c r="F12" s="140"/>
      <c r="G12" s="140"/>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htrL+pFgFuwlwbRGm8ytr/WFF0UKD+ocZ05a4ZGBMC9p8/9Ht5WVJ4WemjzdJ+cLCa0rLmcnroHS8n661vENdw==" saltValue="DfoUc7PXQoj70lGL1ypZI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2022-12-01T08:58:01Z</dcterms:modified>
</cp:coreProperties>
</file>