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Brøndby AS (V087)\ØR2025\"/>
    </mc:Choice>
  </mc:AlternateContent>
  <xr:revisionPtr revIDLastSave="0" documentId="13_ncr:1_{D6657499-C772-483B-9D79-1AB78CC873C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<sst xmlns="http://schemas.openxmlformats.org/spreadsheetml/2006/main" count="451" uniqueCount="207">
  <si>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</si>
  <si>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</si>
  <si>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</si>
  <si>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</si>
  <si>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</si>
  <si>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</si>
  <si>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</si>
  <si>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</si>
  <si>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</si>
  <si>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</si>
  <si>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</si>
  <si>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</si>
  <si>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</si>
  <si>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</si>
  <si>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</si>
  <si>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</si>
  <si>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</si>
  <si>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</si>
  <si>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</si>
  <si>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</si>
  <si>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</si>
  <si>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</si>
  <si>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</si>
  <si>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</si>
  <si>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</si>
  <si>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</si>
  <si>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</si>
  <si>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</si>
  <si>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</si>
  <si>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</si>
  <si>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</si>
  <si>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</si>
  <si>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</si>
  <si>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</si>
  <si>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</si>
  <si>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</si>
  <si>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</si>
  <si>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</si>
  <si>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</si>
  <si>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</si>
  <si>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</si>
  <si>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</si>
  <si>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</si>
  <si>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</si>
  <si>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</si>
  <si>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</si>
  <si>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</si>
  <si>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</si>
  <si>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</si>
  <si>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</si>
  <si>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</si>
  <si>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</si>
  <si>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</si>
  <si>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</si>
  <si>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</si>
  <si>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</si>
  <si>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</si>
  <si>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</si>
  <si>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</si>
  <si>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</si>
  <si>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</si>
  <si>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</si>
  <si>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</si>
  <si>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</si>
  <si>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</si>
  <si>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</si>
  <si>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</si>
  <si>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</si>
  <si>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</si>
  <si>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</si>
  <si>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</si>
  <si>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</si>
  <si>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</si>
  <si>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</si>
  <si>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</si>
  <si>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</si>
  <si>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</si>
  <si>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</si>
  <si>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</si>
  <si>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</si>
  <si>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</si>
  <si>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</si>
  <si>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</si>
  <si>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</si>
  <si>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</si>
  <si>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</si>
  <si>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</si>
  <si>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</si>
  <si>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</si>
  <si>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</si>
  <si>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</si>
  <si>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</si>
  <si>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</si>
  <si>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</si>
  <si>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</si>
  <si>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</si>
  <si>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</si>
  <si>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</si>
  <si>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</si>
  <si>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</si>
  <si>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</si>
  <si>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</si>
  <si>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</si>
  <si>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</si>
  <si>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</si>
  <si>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</si>
  <si>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</si>
  <si>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</si>
  <si>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</si>
  <si>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</si>
  <si>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</si>
  <si>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</si>
  <si>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</si>
  <si>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</si>
  <si>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</si>
  <si>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</si>
  <si>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</si>
  <si>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</si>
  <si>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</si>
  <si>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</si>
  <si>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</si>
  <si>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</si>
  <si>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</si>
  <si>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</si>
  <si>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</si>
  <si>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</si>
  <si>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</si>
  <si>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</si>
  <si>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</si>
  <si>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</si>
  <si>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</si>
  <si>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</si>
  <si>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</si>
  <si>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</si>
  <si>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</si>
  <si>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</si>
  <si>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</si>
  <si>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</si>
  <si>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</si>
  <si>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</si>
  <si>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</si>
  <si>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</si>
  <si>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</si>
  <si>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</si>
  <si>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</si>
  <si>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</si>
  <si>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</si>
  <si>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</si>
  <si>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</si>
  <si>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</si>
  <si>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</si>
  <si>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</si>
  <si>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</si>
  <si>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</si>
  <si>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</si>
  <si>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</si>
  <si>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</si>
  <si>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</si>
  <si>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</si>
  <si>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</si>
  <si>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</si>
  <si>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</si>
  <si>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</si>
  <si>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</si>
  <si>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</si>
  <si>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</si>
  <si>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</si>
  <si>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</si>
  <si>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</si>
  <si>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</si>
  <si>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</si>
  <si>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</si>
  <si>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</si>
  <si>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</si>
  <si>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</si>
  <si>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</si>
  <si>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</si>
  <si>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</si>
  <si>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</si>
  <si>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</si>
  <si>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</si>
  <si>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</si>
  <si>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</si>
  <si>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</si>
  <si>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</si>
  <si>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</si>
  <si>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</si>
  <si>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</si>
  <si>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</si>
  <si>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</si>
  <si>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</si>
  <si>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</si>
  <si>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</si>
  <si>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</si>
  <si>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</si>
  <si>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</si>
  <si>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</si>
  <si>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</si>
  <si>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</si>
  <si>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</si>
  <si>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</si>
  <si>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Undersøgelsesudgifter i forbindelse med fusion</t>
  </si>
  <si>
    <t>Letbanen ring 3</t>
  </si>
  <si>
    <t>Byudvikling Banemarkvej</t>
  </si>
  <si>
    <t>flere indbyggere</t>
  </si>
  <si>
    <t>Mekanikervej</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</si>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</sst>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8" t="s">
        <v>4</v>
      </c>
      <c r="D6" s="78"/>
      <c r="E6" s="78"/>
      <c r="F6" s="78"/>
      <c r="G6" s="1"/>
    </row>
    <row r="7" spans="1:7" ht="15" customHeight="1" x14ac:dyDescent="0.25">
      <c r="A7" s="1"/>
      <c r="B7" s="3"/>
      <c r="C7" s="78"/>
      <c r="D7" s="78"/>
      <c r="E7" s="78"/>
      <c r="F7" s="78"/>
      <c r="G7" s="1"/>
    </row>
    <row r="8" spans="1:7" ht="15.75" x14ac:dyDescent="0.25">
      <c r="A8" s="1"/>
      <c r="B8" s="4"/>
      <c r="C8" s="83" t="s">
        <v>196</v>
      </c>
      <c r="D8" s="83"/>
      <c r="E8" s="83"/>
      <c r="F8" s="83"/>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2" t="s">
        <v>5</v>
      </c>
      <c r="D11" s="82"/>
      <c r="E11" s="82"/>
      <c r="F11" s="82"/>
      <c r="G11" s="1"/>
    </row>
    <row r="12" spans="1:7" x14ac:dyDescent="0.25">
      <c r="A12" s="1"/>
      <c r="B12" s="1"/>
      <c r="C12" s="1"/>
      <c r="D12" s="1"/>
      <c r="E12" s="1"/>
      <c r="F12" s="1"/>
      <c r="G12" s="1"/>
    </row>
    <row r="13" spans="1:7" x14ac:dyDescent="0.25">
      <c r="A13" s="1"/>
      <c r="B13" s="6" t="s">
        <v>6</v>
      </c>
      <c r="C13" s="75" t="s">
        <v>124</v>
      </c>
      <c r="D13" s="76"/>
      <c r="E13" s="76"/>
      <c r="F13" s="77"/>
      <c r="G13" s="1"/>
    </row>
    <row r="14" spans="1:7" x14ac:dyDescent="0.25">
      <c r="A14" s="1"/>
      <c r="B14" s="6" t="s">
        <v>14</v>
      </c>
      <c r="C14" s="75" t="s">
        <v>159</v>
      </c>
      <c r="D14" s="76"/>
      <c r="E14" s="76"/>
      <c r="F14" s="77"/>
      <c r="G14" s="1"/>
    </row>
    <row r="15" spans="1:7" x14ac:dyDescent="0.25">
      <c r="A15" s="1"/>
      <c r="B15" s="6" t="s">
        <v>29</v>
      </c>
      <c r="C15" s="75" t="s">
        <v>107</v>
      </c>
      <c r="D15" s="76"/>
      <c r="E15" s="76"/>
      <c r="F15" s="77"/>
      <c r="G15" s="1"/>
    </row>
    <row r="16" spans="1:7" x14ac:dyDescent="0.25">
      <c r="A16" s="1"/>
      <c r="B16" s="6" t="s">
        <v>30</v>
      </c>
      <c r="C16" s="75" t="s">
        <v>125</v>
      </c>
      <c r="D16" s="76"/>
      <c r="E16" s="76"/>
      <c r="F16" s="77"/>
      <c r="G16" s="1"/>
    </row>
    <row r="17" spans="1:7" x14ac:dyDescent="0.25">
      <c r="A17" s="1"/>
      <c r="B17" s="6" t="s">
        <v>57</v>
      </c>
      <c r="C17" s="75" t="s">
        <v>126</v>
      </c>
      <c r="D17" s="76"/>
      <c r="E17" s="76"/>
      <c r="F17" s="77"/>
      <c r="G17" s="1"/>
    </row>
    <row r="18" spans="1:7" x14ac:dyDescent="0.25">
      <c r="A18" s="1"/>
      <c r="B18" s="6" t="s">
        <v>49</v>
      </c>
      <c r="C18" s="84" t="s">
        <v>42</v>
      </c>
      <c r="D18" s="85"/>
      <c r="E18" s="85"/>
      <c r="F18" s="86"/>
      <c r="G18" s="1"/>
    </row>
    <row r="19" spans="1:7" x14ac:dyDescent="0.25">
      <c r="A19" s="1"/>
      <c r="B19" s="6" t="s">
        <v>50</v>
      </c>
      <c r="C19" s="84" t="s">
        <v>43</v>
      </c>
      <c r="D19" s="85"/>
      <c r="E19" s="85"/>
      <c r="F19" s="86"/>
      <c r="G19" s="1"/>
    </row>
    <row r="20" spans="1:7" x14ac:dyDescent="0.25">
      <c r="A20" s="1"/>
      <c r="B20" s="6" t="s">
        <v>7</v>
      </c>
      <c r="C20" s="84" t="s">
        <v>9</v>
      </c>
      <c r="D20" s="85"/>
      <c r="E20" s="85"/>
      <c r="F20" s="86"/>
      <c r="G20" s="1"/>
    </row>
    <row r="21" spans="1:7" x14ac:dyDescent="0.25">
      <c r="A21" s="1"/>
      <c r="B21" s="6" t="s">
        <v>51</v>
      </c>
      <c r="C21" s="90" t="s">
        <v>11</v>
      </c>
      <c r="D21" s="91"/>
      <c r="E21" s="91"/>
      <c r="F21" s="92"/>
      <c r="G21" s="1"/>
    </row>
    <row r="22" spans="1:7" x14ac:dyDescent="0.25">
      <c r="A22" s="1"/>
      <c r="B22" s="6" t="s">
        <v>37</v>
      </c>
      <c r="C22" s="79" t="s">
        <v>127</v>
      </c>
      <c r="D22" s="80"/>
      <c r="E22" s="80"/>
      <c r="F22" s="81"/>
      <c r="G22" s="1"/>
    </row>
    <row r="23" spans="1:7" x14ac:dyDescent="0.25">
      <c r="A23" s="1"/>
      <c r="B23" s="6" t="s">
        <v>8</v>
      </c>
      <c r="C23" s="79" t="s">
        <v>89</v>
      </c>
      <c r="D23" s="80"/>
      <c r="E23" s="80"/>
      <c r="F23" s="81"/>
      <c r="G23" s="1"/>
    </row>
    <row r="24" spans="1:7" x14ac:dyDescent="0.25">
      <c r="A24" s="1"/>
      <c r="B24" s="6" t="s">
        <v>85</v>
      </c>
      <c r="C24" s="79" t="s">
        <v>78</v>
      </c>
      <c r="D24" s="80"/>
      <c r="E24" s="80"/>
      <c r="F24" s="81"/>
      <c r="G24" s="1"/>
    </row>
    <row r="25" spans="1:7" x14ac:dyDescent="0.25">
      <c r="A25" s="1"/>
      <c r="B25" s="6" t="s">
        <v>86</v>
      </c>
      <c r="C25" s="79" t="s">
        <v>38</v>
      </c>
      <c r="D25" s="80"/>
      <c r="E25" s="80"/>
      <c r="F25" s="81"/>
      <c r="G25" s="1"/>
    </row>
    <row r="26" spans="1:7" x14ac:dyDescent="0.25">
      <c r="A26" s="1"/>
      <c r="B26" s="6" t="s">
        <v>87</v>
      </c>
      <c r="C26" s="79" t="s">
        <v>39</v>
      </c>
      <c r="D26" s="80"/>
      <c r="E26" s="80"/>
      <c r="F26" s="81"/>
      <c r="G26" s="1"/>
    </row>
    <row r="27" spans="1:7" x14ac:dyDescent="0.25">
      <c r="A27" s="1"/>
      <c r="B27" s="6" t="s">
        <v>52</v>
      </c>
      <c r="C27" s="79" t="s">
        <v>58</v>
      </c>
      <c r="D27" s="80"/>
      <c r="E27" s="80"/>
      <c r="F27" s="81"/>
      <c r="G27" s="1"/>
    </row>
    <row r="28" spans="1:7" x14ac:dyDescent="0.25">
      <c r="A28" s="1"/>
      <c r="B28" s="6" t="s">
        <v>46</v>
      </c>
      <c r="C28" s="79" t="s">
        <v>31</v>
      </c>
      <c r="D28" s="80"/>
      <c r="E28" s="80"/>
      <c r="F28" s="81"/>
      <c r="G28" s="1"/>
    </row>
    <row r="29" spans="1:7" x14ac:dyDescent="0.25">
      <c r="A29" s="1"/>
      <c r="B29" s="6" t="s">
        <v>88</v>
      </c>
      <c r="C29" s="87" t="s">
        <v>47</v>
      </c>
      <c r="D29" s="88"/>
      <c r="E29" s="88"/>
      <c r="F29" s="8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HCMk/WRLF4BmDG46Wk5Zmwwog5R58CDwHDT3UNdIrmg0tT9c/bE9uMa1eX/8ZlX8ZQnIDejb9hJYcXyqQzrubQ==" saltValue="GiMcRjGkVWUtHndwsThzOg=="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55</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7" t="s">
        <v>142</v>
      </c>
      <c r="C8" s="98"/>
      <c r="D8" s="99"/>
      <c r="E8" s="1"/>
    </row>
    <row r="9" spans="1:5" ht="15" customHeight="1" x14ac:dyDescent="0.25">
      <c r="A9" s="1"/>
      <c r="B9" s="51" t="s">
        <v>27</v>
      </c>
      <c r="C9" s="45" t="s">
        <v>145</v>
      </c>
      <c r="D9" s="11"/>
      <c r="E9" s="1"/>
    </row>
    <row r="10" spans="1:5" ht="15" customHeight="1" x14ac:dyDescent="0.25">
      <c r="A10" s="1"/>
      <c r="B10" s="64" t="s">
        <v>197</v>
      </c>
      <c r="C10" s="65">
        <v>11291687</v>
      </c>
      <c r="D10" s="14" t="s">
        <v>3</v>
      </c>
      <c r="E10" s="1"/>
    </row>
    <row r="11" spans="1:5" x14ac:dyDescent="0.25">
      <c r="A11" s="1"/>
      <c r="B11" s="64" t="s">
        <v>198</v>
      </c>
      <c r="C11" s="65">
        <v>77302</v>
      </c>
      <c r="D11" s="14" t="s">
        <v>3</v>
      </c>
      <c r="E11" s="1"/>
    </row>
    <row r="12" spans="1:5" ht="25.5" x14ac:dyDescent="0.25">
      <c r="A12" s="1"/>
      <c r="B12" s="64" t="s">
        <v>199</v>
      </c>
      <c r="C12" s="7">
        <v>4987007</v>
      </c>
      <c r="D12" s="14" t="s">
        <v>3</v>
      </c>
      <c r="E12" s="1"/>
    </row>
    <row r="13" spans="1:5" x14ac:dyDescent="0.25">
      <c r="A13" s="1"/>
      <c r="B13" s="64" t="s">
        <v>200</v>
      </c>
      <c r="C13" s="65">
        <v>86777</v>
      </c>
      <c r="D13" s="14" t="s">
        <v>3</v>
      </c>
      <c r="E13" s="1"/>
    </row>
    <row r="14" spans="1:5" x14ac:dyDescent="0.25">
      <c r="A14" s="1"/>
      <c r="B14" s="64" t="s">
        <v>201</v>
      </c>
      <c r="C14" s="65">
        <v>165</v>
      </c>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16442938</v>
      </c>
      <c r="D19" s="13" t="s">
        <v>3</v>
      </c>
      <c r="E19" s="1"/>
    </row>
    <row r="20" spans="1:5" x14ac:dyDescent="0.25">
      <c r="A20" s="1"/>
      <c r="B20" s="52" t="s">
        <v>144</v>
      </c>
      <c r="C20" s="12">
        <f>C19*(1+'Fane 13. Nøgletal'!C11)^2</f>
        <v>18695549.63693722</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l6PpHzFUrRNmHxo41NupUWwBhxrzAmKTEaKXxm04bBFxM9eBXF522xM1ud5l8ZcHyPNgkHEu4j7IkRgpwTjlsA==" saltValue="TdaWXB202Cp2RI+dpK8Xe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172</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1"/>
      <c r="D7" s="1"/>
      <c r="E7" s="1"/>
    </row>
    <row r="8" spans="1:5" x14ac:dyDescent="0.25">
      <c r="A8" s="1"/>
      <c r="B8" s="97" t="s">
        <v>175</v>
      </c>
      <c r="C8" s="98"/>
      <c r="D8" s="99"/>
      <c r="E8" s="1"/>
    </row>
    <row r="9" spans="1:5" x14ac:dyDescent="0.25">
      <c r="A9" s="1"/>
      <c r="B9" s="56" t="s">
        <v>176</v>
      </c>
      <c r="C9" s="9">
        <v>-3193869.3677572235</v>
      </c>
      <c r="D9" s="39" t="s">
        <v>3</v>
      </c>
      <c r="E9" s="1"/>
    </row>
    <row r="10" spans="1:5" x14ac:dyDescent="0.25">
      <c r="A10" s="1"/>
      <c r="B10" s="56" t="s">
        <v>174</v>
      </c>
      <c r="C10" s="9">
        <v>-2070421.3557420596</v>
      </c>
      <c r="D10" s="14" t="s">
        <v>3</v>
      </c>
      <c r="E10" s="1"/>
    </row>
    <row r="11" spans="1:5" x14ac:dyDescent="0.25">
      <c r="A11" s="1"/>
      <c r="B11" s="52"/>
      <c r="C11" s="53"/>
      <c r="D11" s="19"/>
      <c r="E11" s="1"/>
    </row>
    <row r="12" spans="1:5" ht="53.85" customHeight="1" x14ac:dyDescent="0.25">
      <c r="A12" s="1"/>
      <c r="B12" s="106" t="s">
        <v>173</v>
      </c>
      <c r="C12" s="107"/>
      <c r="D12" s="108"/>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-2070421.3557420596</v>
      </c>
      <c r="D15" s="14" t="s">
        <v>3</v>
      </c>
      <c r="E15" s="1"/>
    </row>
    <row r="16" spans="1:5" x14ac:dyDescent="0.25">
      <c r="A16" s="1"/>
      <c r="B16" s="56" t="s">
        <v>185</v>
      </c>
      <c r="C16" s="9">
        <f>IF(SUM(C9)&gt;0,SUM(C9),0)</f>
        <v>0</v>
      </c>
      <c r="D16" s="14" t="s">
        <v>3</v>
      </c>
      <c r="E16" s="1"/>
    </row>
    <row r="17" spans="1:5" ht="26.25" x14ac:dyDescent="0.25">
      <c r="A17" s="1"/>
      <c r="B17" s="71" t="s">
        <v>179</v>
      </c>
      <c r="C17" s="62">
        <f>IF(SUM(C15:C16)&gt;0,0,SUM(C15:C16))</f>
        <v>-2070421.3557420596</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35961709.198562056</v>
      </c>
      <c r="D21" s="14" t="s">
        <v>3</v>
      </c>
      <c r="E21" s="1"/>
    </row>
    <row r="22" spans="1:5" x14ac:dyDescent="0.25">
      <c r="A22" s="1"/>
      <c r="B22" s="56" t="s">
        <v>182</v>
      </c>
      <c r="C22" s="9">
        <v>35692036</v>
      </c>
      <c r="D22" s="14" t="s">
        <v>3</v>
      </c>
      <c r="E22" s="1"/>
    </row>
    <row r="23" spans="1:5" x14ac:dyDescent="0.25">
      <c r="A23" s="1"/>
      <c r="B23" s="56" t="s">
        <v>28</v>
      </c>
      <c r="C23" s="9">
        <v>0</v>
      </c>
      <c r="D23" s="14" t="s">
        <v>3</v>
      </c>
      <c r="E23" s="1"/>
    </row>
    <row r="24" spans="1:5" x14ac:dyDescent="0.25">
      <c r="A24" s="1"/>
      <c r="B24" s="73" t="s">
        <v>183</v>
      </c>
      <c r="C24" s="46">
        <f>C21-C22-C23</f>
        <v>269673.19856205583</v>
      </c>
      <c r="D24" s="17" t="s">
        <v>3</v>
      </c>
      <c r="E24" s="1"/>
    </row>
    <row r="25" spans="1:5" x14ac:dyDescent="0.25">
      <c r="A25" s="1"/>
      <c r="B25" s="52"/>
      <c r="C25" s="53"/>
      <c r="D25" s="19"/>
      <c r="E25" s="1"/>
    </row>
    <row r="26" spans="1:5" x14ac:dyDescent="0.25">
      <c r="A26" s="1"/>
      <c r="B26" s="1"/>
      <c r="C26" s="1"/>
      <c r="D26" s="1"/>
      <c r="E26" s="1"/>
    </row>
    <row r="27" spans="1:5" x14ac:dyDescent="0.25">
      <c r="A27" s="1"/>
      <c r="B27" s="97" t="s">
        <v>184</v>
      </c>
      <c r="C27" s="98"/>
      <c r="D27" s="99"/>
      <c r="E27" s="1"/>
    </row>
    <row r="28" spans="1:5" x14ac:dyDescent="0.25">
      <c r="A28" s="1"/>
      <c r="B28" s="57" t="s">
        <v>65</v>
      </c>
      <c r="C28" s="9">
        <f>IF(C17&lt;0,IF(C24&lt;0,SUM(C17,C24),IF(C9&gt;0,SUM(C9:C10),C17)),IF(AND(C24&lt;0,SUM(C24,C10)&lt;0),IF(C10&lt;0,C24,IF(SUM(C9:C10)&gt;0,SUM(C24,C10),IF(AND(C24&lt;0,C17=0,C10&gt;0),IF(SUM(C9:C10)&gt;0,C24+C10,C24)))),IF(AND(SUM(C9:C10)&lt;0,C17=0,C24&lt;0),C24,0)))</f>
        <v>-2070421.3557420596</v>
      </c>
      <c r="D28" s="14" t="s">
        <v>3</v>
      </c>
      <c r="E28" s="1"/>
    </row>
    <row r="29" spans="1:5" x14ac:dyDescent="0.25">
      <c r="A29" s="1"/>
      <c r="B29" s="57" t="s">
        <v>48</v>
      </c>
      <c r="C29" s="9">
        <v>2</v>
      </c>
      <c r="D29" s="14" t="s">
        <v>18</v>
      </c>
      <c r="E29" s="1"/>
    </row>
    <row r="30" spans="1:5" x14ac:dyDescent="0.25">
      <c r="A30" s="1"/>
      <c r="B30" s="58" t="s">
        <v>64</v>
      </c>
      <c r="C30" s="10">
        <f>C28/C29</f>
        <v>-1035210.6778710298</v>
      </c>
      <c r="D30" s="17" t="s">
        <v>3</v>
      </c>
      <c r="E30" s="1"/>
    </row>
    <row r="31" spans="1:5" x14ac:dyDescent="0.25">
      <c r="A31" s="1"/>
      <c r="B31" s="109"/>
      <c r="C31" s="110"/>
      <c r="D31" s="11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CL6zAOPOhenW+5jE29Y6zS4ty5SOlTAEAI14tA/kcc9yumIw2cV10zC0jdIDpzsxCtHX413xGbT5n0/R6KfgoQ==" saltValue="opwX+rjXZqdFJc60Gv81tA=="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5" t="s">
        <v>96</v>
      </c>
      <c r="C3" s="95"/>
      <c r="D3" s="95"/>
      <c r="E3" s="1"/>
    </row>
    <row r="4" spans="1:5" ht="15" customHeight="1" x14ac:dyDescent="0.25">
      <c r="A4" s="1"/>
      <c r="B4" s="95"/>
      <c r="C4" s="95"/>
      <c r="D4" s="95"/>
      <c r="E4" s="1"/>
    </row>
    <row r="5" spans="1:5" x14ac:dyDescent="0.25">
      <c r="A5" s="1"/>
      <c r="B5" s="95"/>
      <c r="C5" s="95"/>
      <c r="D5" s="95"/>
      <c r="E5" s="1"/>
    </row>
    <row r="6" spans="1:5" x14ac:dyDescent="0.25">
      <c r="A6" s="1"/>
      <c r="B6" s="1"/>
      <c r="C6" s="1"/>
      <c r="D6" s="1"/>
      <c r="E6" s="1"/>
    </row>
    <row r="7" spans="1:5" x14ac:dyDescent="0.25">
      <c r="A7" s="1"/>
      <c r="B7" s="1"/>
      <c r="C7" s="1"/>
      <c r="D7" s="1"/>
      <c r="E7" s="1"/>
    </row>
    <row r="8" spans="1:5" x14ac:dyDescent="0.25">
      <c r="A8" s="1"/>
      <c r="B8" s="97" t="s">
        <v>97</v>
      </c>
      <c r="C8" s="98"/>
      <c r="D8" s="99"/>
      <c r="E8" s="1"/>
    </row>
    <row r="9" spans="1:5" ht="15" customHeight="1" x14ac:dyDescent="0.25">
      <c r="A9" s="1"/>
      <c r="B9" s="112" t="s">
        <v>123</v>
      </c>
      <c r="C9" s="113"/>
      <c r="D9" s="114"/>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29CDq98n+25y5b64V8gvJ7YnSRYcwa/aV39mW9WoJ4wJLTl9dN6uuv8uDOGWnHMLtdAc4py/7LvTp30o51dA==" saltValue="JuNsntHx4VawK81WH3Hi5g=="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3" t="s">
        <v>90</v>
      </c>
      <c r="C3" s="93"/>
      <c r="D3" s="93"/>
      <c r="E3" s="93"/>
      <c r="F3" s="93"/>
      <c r="G3" s="93"/>
      <c r="H3" s="93"/>
      <c r="I3" s="93"/>
      <c r="J3" s="93"/>
      <c r="K3" s="93"/>
      <c r="L3" s="1"/>
    </row>
    <row r="4" spans="1:12" ht="15" customHeight="1" x14ac:dyDescent="0.25">
      <c r="A4" s="1"/>
      <c r="B4" s="93"/>
      <c r="C4" s="93"/>
      <c r="D4" s="93"/>
      <c r="E4" s="93"/>
      <c r="F4" s="93"/>
      <c r="G4" s="93"/>
      <c r="H4" s="93"/>
      <c r="I4" s="93"/>
      <c r="J4" s="93"/>
      <c r="K4" s="9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7" t="s">
        <v>74</v>
      </c>
      <c r="C8" s="98"/>
      <c r="D8" s="98"/>
      <c r="E8" s="98"/>
      <c r="F8" s="98"/>
      <c r="G8" s="98"/>
      <c r="H8" s="98"/>
      <c r="I8" s="98"/>
      <c r="J8" s="98"/>
      <c r="K8" s="99"/>
      <c r="L8" s="1"/>
    </row>
    <row r="9" spans="1:12" ht="39.75" customHeight="1" x14ac:dyDescent="0.25">
      <c r="A9" s="1"/>
      <c r="B9" s="18" t="s">
        <v>0</v>
      </c>
      <c r="C9" s="18" t="s">
        <v>1</v>
      </c>
      <c r="D9" s="115" t="s">
        <v>83</v>
      </c>
      <c r="E9" s="116"/>
      <c r="F9" s="115" t="s">
        <v>2</v>
      </c>
      <c r="G9" s="116"/>
      <c r="H9" s="115" t="s">
        <v>84</v>
      </c>
      <c r="I9" s="116"/>
      <c r="J9" s="115" t="s">
        <v>25</v>
      </c>
      <c r="K9" s="116"/>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l4AtQjJTj8QS0evri9gxMOTwBVvkx1B/7WE9MQ6lQjDkVTy2WmXHFNwWihsqnu0N3CwwXFoohLO3Q2MK1BCJrw==" saltValue="eh9u462BTyZlWIAKHRzH/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91</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202</v>
      </c>
      <c r="C11" s="21">
        <v>0</v>
      </c>
      <c r="D11" s="14" t="s">
        <v>3</v>
      </c>
      <c r="E11" s="9">
        <v>3764</v>
      </c>
      <c r="F11" s="14" t="s">
        <v>3</v>
      </c>
      <c r="G11" s="1"/>
    </row>
    <row r="12" spans="1:7" x14ac:dyDescent="0.25">
      <c r="A12" s="1"/>
      <c r="B12" s="26" t="s">
        <v>203</v>
      </c>
      <c r="C12" s="21">
        <v>0</v>
      </c>
      <c r="D12" s="14" t="s">
        <v>3</v>
      </c>
      <c r="E12" s="9">
        <v>5876</v>
      </c>
      <c r="F12" s="14" t="s">
        <v>3</v>
      </c>
      <c r="G12" s="1"/>
    </row>
    <row r="13" spans="1:7" x14ac:dyDescent="0.25">
      <c r="A13" s="1"/>
      <c r="B13" s="26" t="s">
        <v>204</v>
      </c>
      <c r="C13" s="21">
        <v>288646</v>
      </c>
      <c r="D13" s="14" t="s">
        <v>3</v>
      </c>
      <c r="E13" s="9">
        <v>0</v>
      </c>
      <c r="F13" s="14" t="s">
        <v>3</v>
      </c>
      <c r="G13" s="1"/>
    </row>
    <row r="14" spans="1:7" x14ac:dyDescent="0.25">
      <c r="A14" s="1"/>
      <c r="B14" s="26" t="s">
        <v>205</v>
      </c>
      <c r="C14" s="21">
        <v>0</v>
      </c>
      <c r="D14" s="14" t="s">
        <v>3</v>
      </c>
      <c r="E14" s="9">
        <v>25621</v>
      </c>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288646</v>
      </c>
      <c r="D17" s="13" t="s">
        <v>3</v>
      </c>
      <c r="E17" s="12">
        <f>SUM(E10:E16)</f>
        <v>35261</v>
      </c>
      <c r="F17" s="13" t="s">
        <v>3</v>
      </c>
      <c r="G17" s="1"/>
    </row>
    <row r="18" spans="1:7" x14ac:dyDescent="0.25">
      <c r="A18" s="1"/>
      <c r="B18" s="52" t="s">
        <v>147</v>
      </c>
      <c r="C18" s="12">
        <f>C17*(1+'Fane 13. Nøgletal'!C11)</f>
        <v>307783.22980000003</v>
      </c>
      <c r="D18" s="13" t="s">
        <v>3</v>
      </c>
      <c r="E18" s="12">
        <f>E17*(1+'Fane 13. Nøgletal'!C11)</f>
        <v>37598.804300000003</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qmmQkac20AcQ/EY/VU+4nzDdm85SlSseaLAI0KhkxBXh2ySyJlAFI5SZY2/5v7DO/zwkxzYQF4HzIJvX1pEdvw==" saltValue="HV7qkU3+42HbCmAItCQe8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92</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7" t="s">
        <v>150</v>
      </c>
      <c r="C8" s="98"/>
      <c r="D8" s="98"/>
      <c r="E8" s="98"/>
      <c r="F8" s="99"/>
      <c r="G8" s="1"/>
    </row>
    <row r="9" spans="1:7" x14ac:dyDescent="0.25">
      <c r="A9" s="1"/>
      <c r="B9" s="71" t="s">
        <v>15</v>
      </c>
      <c r="C9" s="73" t="s">
        <v>10</v>
      </c>
      <c r="D9" s="74"/>
      <c r="E9" s="73" t="s">
        <v>26</v>
      </c>
      <c r="F9" s="27"/>
      <c r="G9" s="1"/>
    </row>
    <row r="10" spans="1:7" x14ac:dyDescent="0.25">
      <c r="A10" s="1"/>
      <c r="B10" s="23" t="s">
        <v>206</v>
      </c>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ZlmY6hUCd4i7aANfu6yOPWvazlv5iEfciYsPZXj/cy2WudVTuqx2C759EU/aFI7PKtPtTW/m4gVBjDQ1tnkGw==" saltValue="UKY08OM5PGmQib3r1UlYiA=="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93</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x14ac:dyDescent="0.25">
      <c r="A7" s="1"/>
      <c r="B7" s="1"/>
      <c r="C7" s="1"/>
      <c r="D7" s="1"/>
      <c r="E7" s="1"/>
      <c r="F7" s="1"/>
      <c r="G7" s="1"/>
    </row>
    <row r="8" spans="1:7" x14ac:dyDescent="0.25">
      <c r="A8" s="1"/>
      <c r="B8" s="97" t="s">
        <v>59</v>
      </c>
      <c r="C8" s="98"/>
      <c r="D8" s="98"/>
      <c r="E8" s="98"/>
      <c r="F8" s="99"/>
      <c r="G8" s="1"/>
    </row>
    <row r="9" spans="1:7" ht="15" customHeight="1" x14ac:dyDescent="0.25">
      <c r="A9" s="1"/>
      <c r="B9" s="54" t="s">
        <v>60</v>
      </c>
      <c r="C9" s="117" t="s">
        <v>10</v>
      </c>
      <c r="D9" s="118"/>
      <c r="E9" s="117" t="s">
        <v>26</v>
      </c>
      <c r="F9" s="118"/>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INWwH3FvIThBevcMu4kVWTBo2IAZ+hz2V+WdWEooL+v3AtayllUMXrkpb8Yx0QrmFC7RPylM/vMYj4Xsirt+7Q==" saltValue="id9vc4WAwEwSjAHLNf9a0w=="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94</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7" t="s">
        <v>152</v>
      </c>
      <c r="C8" s="98"/>
      <c r="D8" s="98"/>
      <c r="E8" s="98"/>
      <c r="F8" s="99"/>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4XWQ6ioV8rw7or+jokgkFmKbQjPEE/qkrTMAr2KXMTlNGVHZjAXntTmg49lsK5AYV+PZG1MvgCV0OvKcJF6Ug==" saltValue="mv1u+3nbmRJU/ttTqWTBz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5" t="s">
        <v>95</v>
      </c>
      <c r="C3" s="95"/>
      <c r="D3" s="1"/>
    </row>
    <row r="4" spans="1:4" ht="15" customHeight="1" x14ac:dyDescent="0.25">
      <c r="A4" s="1"/>
      <c r="B4" s="95"/>
      <c r="C4" s="95"/>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7"/>
      <c r="C12" s="99"/>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sH7fcSmx4iZvJR7LsWZHHYi2WmZ1sBp3KBmt1fn0xRsPQpo486RvYYlvLpi9+nRWUelbH4E1r9kUYwcdqHNQsQ==" saltValue="4YT94aQl2TH56pmuWcaFfQ=="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128</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22509305.581906855</v>
      </c>
      <c r="D9" s="8" t="s">
        <v>3</v>
      </c>
      <c r="E9" s="1"/>
    </row>
    <row r="10" spans="1:5" ht="17.100000000000001" customHeight="1" x14ac:dyDescent="0.25">
      <c r="A10" s="1"/>
      <c r="B10" s="24" t="s">
        <v>32</v>
      </c>
      <c r="C10" s="7">
        <f>'Fane 10.1. Varige tillæg'!C18</f>
        <v>307783.22980000003</v>
      </c>
      <c r="D10" s="8" t="s">
        <v>3</v>
      </c>
      <c r="E10" s="1"/>
    </row>
    <row r="11" spans="1:5" ht="17.100000000000001" customHeight="1" x14ac:dyDescent="0.25">
      <c r="A11" s="1"/>
      <c r="B11" s="24" t="s">
        <v>33</v>
      </c>
      <c r="C11" s="9">
        <f>'Fane 10.1. Varige tillæg'!E18</f>
        <v>37598.804300000003</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1515265.7889412544</v>
      </c>
      <c r="D16" s="8" t="s">
        <v>3</v>
      </c>
      <c r="E16" s="1"/>
    </row>
    <row r="17" spans="1:5" ht="17.100000000000001" customHeight="1" x14ac:dyDescent="0.25">
      <c r="A17" s="1"/>
      <c r="B17" s="24" t="s">
        <v>9</v>
      </c>
      <c r="C17" s="9">
        <f>-SUM(C9:C16)*'Fane 5. Individuelt eff. krav'!C9</f>
        <v>-48283.40276202331</v>
      </c>
      <c r="D17" s="8" t="s">
        <v>3</v>
      </c>
      <c r="E17" s="1"/>
    </row>
    <row r="18" spans="1:5" ht="17.100000000000001" customHeight="1" x14ac:dyDescent="0.25">
      <c r="A18" s="1"/>
      <c r="B18" s="24" t="s">
        <v>21</v>
      </c>
      <c r="C18" s="9">
        <f>-'Fane 4.1. Gen. krav - drift'!C17</f>
        <v>-289944.28250307712</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24031725.71968301</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18695549.63693722</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-1035210.6778710298</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41692064.678749204</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Ek4GrmxPZWFItW5Xom1uBSL81pflTpsRewi1xkIqvJl1+dqSXHgiSabpRQaVIDZlhb+eCbofjvQLFU1nrcmpw==" saltValue="gmNOMugkf7wlbG3wdBDSL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129</v>
      </c>
      <c r="C3" s="93"/>
      <c r="D3" s="93"/>
      <c r="E3" s="1"/>
    </row>
    <row r="4" spans="1:5" ht="15" customHeight="1" x14ac:dyDescent="0.25">
      <c r="A4" s="1"/>
      <c r="B4" s="93"/>
      <c r="C4" s="93"/>
      <c r="D4" s="93"/>
      <c r="E4" s="1"/>
    </row>
    <row r="5" spans="1:5" x14ac:dyDescent="0.25">
      <c r="A5" s="1"/>
      <c r="B5" s="94"/>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24031725.71968301</v>
      </c>
      <c r="D9" s="8" t="s">
        <v>3</v>
      </c>
      <c r="E9" s="1"/>
    </row>
    <row r="10" spans="1:5" ht="15" customHeight="1" x14ac:dyDescent="0.25">
      <c r="A10" s="1"/>
      <c r="B10" s="47" t="s">
        <v>17</v>
      </c>
      <c r="C10" s="41">
        <f>C9*'Fane 13. Nøgletal'!C11</f>
        <v>1593303.4152149835</v>
      </c>
      <c r="D10" s="8" t="s">
        <v>3</v>
      </c>
      <c r="E10" s="1"/>
    </row>
    <row r="11" spans="1:5" ht="15" customHeight="1" x14ac:dyDescent="0.25">
      <c r="A11" s="1"/>
      <c r="B11" s="47" t="s">
        <v>9</v>
      </c>
      <c r="C11" s="9">
        <f>-SUM(C9:C10)*'Fane 5. Individuelt eff. krav'!C9</f>
        <v>-50770.043830188275</v>
      </c>
      <c r="D11" s="8" t="s">
        <v>3</v>
      </c>
      <c r="E11" s="1"/>
    </row>
    <row r="12" spans="1:5" ht="15" customHeight="1" x14ac:dyDescent="0.25">
      <c r="A12" s="1"/>
      <c r="B12" s="47" t="s">
        <v>21</v>
      </c>
      <c r="C12" s="9">
        <f>-'Fane 4.1. Gen. krav - drift'!C22</f>
        <v>-302984.23666437052</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25271274.854403432</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19935064.577866159</v>
      </c>
      <c r="D16" s="11" t="s">
        <v>3</v>
      </c>
      <c r="E16" s="1"/>
    </row>
    <row r="17" spans="1:5" x14ac:dyDescent="0.25">
      <c r="A17" s="1"/>
      <c r="B17" s="25" t="s">
        <v>65</v>
      </c>
      <c r="C17" s="53"/>
      <c r="D17" s="19"/>
      <c r="E17" s="1"/>
    </row>
    <row r="18" spans="1:5" ht="15" customHeight="1" x14ac:dyDescent="0.25">
      <c r="A18" s="1"/>
      <c r="B18" s="45" t="s">
        <v>66</v>
      </c>
      <c r="C18" s="10">
        <f>'Fane 7. Kontrol af ØR2023'!C30</f>
        <v>-1035210.6778710298</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44171128.754398555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dHagExy9jD8rwf2yRbCECaY7gauh+dtnJjI+zmg8ElR4pmYIf47jug9z1O/Dq8KL2ySn6VLR+v7OJsxH+PClIw==" saltValue="lRb9RmZq+AooAb4qMTkWr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130</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25271274.854403432</v>
      </c>
      <c r="D9" s="8" t="s">
        <v>3</v>
      </c>
      <c r="E9" s="1"/>
    </row>
    <row r="10" spans="1:5" ht="15" customHeight="1" x14ac:dyDescent="0.25">
      <c r="A10" s="1"/>
      <c r="B10" s="47" t="s">
        <v>17</v>
      </c>
      <c r="C10" s="41">
        <f>C9*'Fane 13. Nøgletal'!C11</f>
        <v>1675485.5228469474</v>
      </c>
      <c r="D10" s="8" t="s">
        <v>3</v>
      </c>
      <c r="E10" s="1"/>
    </row>
    <row r="11" spans="1:5" ht="15" customHeight="1" x14ac:dyDescent="0.25">
      <c r="A11" s="1"/>
      <c r="B11" s="47" t="s">
        <v>9</v>
      </c>
      <c r="C11" s="9">
        <f>-SUM(C9:C10)*'Fane 5. Individuelt eff. krav'!C9</f>
        <v>-53388.747315468318</v>
      </c>
      <c r="D11" s="8" t="s">
        <v>3</v>
      </c>
      <c r="E11" s="1"/>
    </row>
    <row r="12" spans="1:5" ht="15" customHeight="1" x14ac:dyDescent="0.25">
      <c r="A12" s="1"/>
      <c r="B12" s="47" t="s">
        <v>21</v>
      </c>
      <c r="C12" s="9">
        <f>-'Fane 4.1. Gen. krav - drift'!C27</f>
        <v>-316610.64972411393</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26576760.980210796</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21256759.359378684</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47833520.339589477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MItCMajoJtAiMqppKd/d5mJLlip8ysjCKTMY0kxXA6fatISEZNBorRm+FsIgxLvPV1QARURHa5YHJlgbonl8A==" saltValue="5+2M9sqZOm3AqCJ6V4vlF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131</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26576760.980210796</v>
      </c>
      <c r="D9" s="8" t="s">
        <v>3</v>
      </c>
      <c r="E9" s="1"/>
    </row>
    <row r="10" spans="1:5" ht="15" customHeight="1" x14ac:dyDescent="0.25">
      <c r="A10" s="1"/>
      <c r="B10" s="47" t="s">
        <v>17</v>
      </c>
      <c r="C10" s="9">
        <f>C9*'Fane 13. Nøgletal'!C11</f>
        <v>1762039.2529879757</v>
      </c>
      <c r="D10" s="8" t="s">
        <v>3</v>
      </c>
      <c r="E10" s="1"/>
    </row>
    <row r="11" spans="1:5" ht="15" customHeight="1" x14ac:dyDescent="0.25">
      <c r="A11" s="1"/>
      <c r="B11" s="47" t="s">
        <v>9</v>
      </c>
      <c r="C11" s="9">
        <f>-SUM(C9:C10)*'Fane 5. Individuelt eff. krav'!C9</f>
        <v>-56146.75098944737</v>
      </c>
      <c r="D11" s="8" t="s">
        <v>3</v>
      </c>
      <c r="E11" s="1"/>
    </row>
    <row r="12" spans="1:5" ht="15" customHeight="1" x14ac:dyDescent="0.25">
      <c r="A12" s="1"/>
      <c r="B12" s="47" t="s">
        <v>21</v>
      </c>
      <c r="C12" s="9">
        <f>-'Fane 4.1. Gen. krav - drift'!C32</f>
        <v>-330849.89708480623</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27951803.585124519</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22666082.504905492</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50617886.090030015</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MyWUZKQa6WnHLhE1aR7ze2SoFJoI56UD/YgoI/m31py73PBsnUWqxcUinGAsIHEVqGPz9Opg3RzK/N8z8r88g==" saltValue="Zpb5lIiubvNcrB7u8eRbI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5" t="s">
        <v>134</v>
      </c>
      <c r="C3" s="95"/>
      <c r="D3" s="95"/>
      <c r="E3" s="1"/>
    </row>
    <row r="4" spans="1:5" ht="15" customHeight="1" x14ac:dyDescent="0.25">
      <c r="A4" s="1"/>
      <c r="B4" s="95"/>
      <c r="C4" s="95"/>
      <c r="D4" s="95"/>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20681162.813601587</v>
      </c>
      <c r="D9" s="8" t="s">
        <v>3</v>
      </c>
      <c r="E9" s="1"/>
    </row>
    <row r="10" spans="1:5" x14ac:dyDescent="0.25">
      <c r="A10" s="1"/>
      <c r="B10" s="24" t="s">
        <v>32</v>
      </c>
      <c r="C10" s="7">
        <v>1261174.7120000001</v>
      </c>
      <c r="D10" s="8" t="s">
        <v>3</v>
      </c>
      <c r="E10" s="1"/>
    </row>
    <row r="11" spans="1:5" ht="15" customHeight="1" x14ac:dyDescent="0.25">
      <c r="A11" s="1"/>
      <c r="B11" s="24" t="s">
        <v>33</v>
      </c>
      <c r="C11" s="9">
        <v>0</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838152.3128938165</v>
      </c>
      <c r="D16" s="8" t="s">
        <v>3</v>
      </c>
      <c r="E16" s="1"/>
    </row>
    <row r="17" spans="1:5" x14ac:dyDescent="0.25">
      <c r="A17" s="1"/>
      <c r="B17" s="24" t="s">
        <v>9</v>
      </c>
      <c r="C17" s="9">
        <v>0</v>
      </c>
      <c r="D17" s="8" t="s">
        <v>3</v>
      </c>
      <c r="E17" s="1"/>
    </row>
    <row r="18" spans="1:5" x14ac:dyDescent="0.25">
      <c r="A18" s="1"/>
      <c r="B18" s="24" t="s">
        <v>21</v>
      </c>
      <c r="C18" s="9">
        <v>-271184.25658854889</v>
      </c>
      <c r="D18" s="8" t="s">
        <v>3</v>
      </c>
      <c r="E18" s="1"/>
    </row>
    <row r="19" spans="1:5" x14ac:dyDescent="0.25">
      <c r="A19" s="1"/>
      <c r="B19" s="24" t="s">
        <v>22</v>
      </c>
      <c r="C19" s="9">
        <v>0</v>
      </c>
      <c r="D19" s="8" t="s">
        <v>3</v>
      </c>
      <c r="E19" s="1"/>
    </row>
    <row r="20" spans="1:5" x14ac:dyDescent="0.25">
      <c r="A20" s="1"/>
      <c r="B20" s="73" t="s">
        <v>19</v>
      </c>
      <c r="C20" s="10">
        <v>22509305.581906855</v>
      </c>
      <c r="D20" s="11" t="s">
        <v>3</v>
      </c>
      <c r="E20" s="1"/>
    </row>
    <row r="21" spans="1:5" x14ac:dyDescent="0.25">
      <c r="A21" s="1"/>
      <c r="B21" s="52" t="s">
        <v>11</v>
      </c>
      <c r="C21" s="53"/>
      <c r="D21" s="19"/>
      <c r="E21" s="1"/>
    </row>
    <row r="22" spans="1:5" x14ac:dyDescent="0.25">
      <c r="A22" s="1"/>
      <c r="B22" s="54" t="s">
        <v>11</v>
      </c>
      <c r="C22" s="10">
        <v>18869550.55056512</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-2538366</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38840490.132471979</v>
      </c>
      <c r="D33" s="19" t="s">
        <v>3</v>
      </c>
      <c r="E33" s="1"/>
    </row>
    <row r="34" spans="1:5" ht="30" customHeight="1" x14ac:dyDescent="0.25">
      <c r="A34" s="1"/>
      <c r="B34" s="96" t="s">
        <v>193</v>
      </c>
      <c r="C34" s="96"/>
      <c r="D34" s="96"/>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MQkbDJMZwXLIbqPyFth9p265/2AKZwPZmsWtnyKP0k+x9CnPwOwWisEet2vjAzJ5amy8vm28EBPizNFXb+BY3w==" saltValue="3d9q2NzbTncn7uweBl2vcQ=="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5" t="s">
        <v>53</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32"/>
      <c r="D7" s="1"/>
      <c r="E7" s="1"/>
    </row>
    <row r="8" spans="1:5" x14ac:dyDescent="0.25">
      <c r="A8" s="1"/>
      <c r="B8" s="97" t="s">
        <v>75</v>
      </c>
      <c r="C8" s="98"/>
      <c r="D8" s="99"/>
      <c r="E8" s="1"/>
    </row>
    <row r="9" spans="1:5" x14ac:dyDescent="0.25">
      <c r="A9" s="1"/>
      <c r="B9" s="56" t="s">
        <v>167</v>
      </c>
      <c r="C9" s="22">
        <v>12196135.200697845</v>
      </c>
      <c r="D9" s="14" t="s">
        <v>3</v>
      </c>
      <c r="E9" s="1"/>
    </row>
    <row r="10" spans="1:5" x14ac:dyDescent="0.25">
      <c r="A10" s="1"/>
      <c r="B10" s="56" t="s">
        <v>110</v>
      </c>
      <c r="C10" s="22">
        <f>('Fane 3. Omkostninger i ØR2024'!C10+'Fane 3. Omkostninger i ØR2024'!C12+'Fane 3. Omkostninger i ØR2024'!C14)*(1+'Fane 13. Nøgletal'!C10)</f>
        <v>1363077.6287296</v>
      </c>
      <c r="D10" s="14" t="s">
        <v>3</v>
      </c>
      <c r="E10" s="1"/>
    </row>
    <row r="11" spans="1:5" x14ac:dyDescent="0.25">
      <c r="A11" s="1"/>
      <c r="B11" s="56" t="s">
        <v>81</v>
      </c>
      <c r="C11" s="22">
        <f>C9*'Fane 13. Nøgletal'!C23+C10*'Fane 13. Nøgletal'!C23</f>
        <v>271184.25658854889</v>
      </c>
      <c r="D11" s="14" t="s">
        <v>3</v>
      </c>
      <c r="E11" s="1"/>
    </row>
    <row r="12" spans="1:5" x14ac:dyDescent="0.25">
      <c r="A12" s="1"/>
      <c r="B12" s="52"/>
      <c r="C12" s="31"/>
      <c r="D12" s="19"/>
      <c r="E12" s="1"/>
    </row>
    <row r="13" spans="1:5" x14ac:dyDescent="0.25">
      <c r="A13" s="1"/>
      <c r="B13" s="1"/>
      <c r="C13" s="32"/>
      <c r="D13" s="1"/>
      <c r="E13" s="1"/>
    </row>
    <row r="14" spans="1:5" x14ac:dyDescent="0.25">
      <c r="A14" s="1"/>
      <c r="B14" s="97" t="s">
        <v>153</v>
      </c>
      <c r="C14" s="98"/>
      <c r="D14" s="99"/>
      <c r="E14" s="1"/>
    </row>
    <row r="15" spans="1:5" x14ac:dyDescent="0.25">
      <c r="A15" s="1"/>
      <c r="B15" s="56" t="s">
        <v>168</v>
      </c>
      <c r="C15" s="22">
        <f>(C9+C10-C11)*(1+'Fane 13. Nøgletal'!C11)</f>
        <v>14169024.867218116</v>
      </c>
      <c r="D15" s="14" t="s">
        <v>3</v>
      </c>
      <c r="E15" s="1"/>
    </row>
    <row r="16" spans="1:5" x14ac:dyDescent="0.25">
      <c r="A16" s="1"/>
      <c r="B16" s="56" t="s">
        <v>154</v>
      </c>
      <c r="C16" s="22">
        <f>('Fane 2.1. Økonomisk ramme 2025'!C10+'Fane 2.1. Økonomisk ramme 2025'!C12+'Fane 2.1. Økonomisk ramme 2025'!C14)*(1+'Fane 13. Nøgletal'!C11)</f>
        <v>328189.25793574005</v>
      </c>
      <c r="D16" s="14" t="s">
        <v>3</v>
      </c>
      <c r="E16" s="1"/>
    </row>
    <row r="17" spans="1:5" x14ac:dyDescent="0.25">
      <c r="A17" s="1"/>
      <c r="B17" s="56" t="s">
        <v>155</v>
      </c>
      <c r="C17" s="22">
        <f>(C15+C16)*'Fane 13. Nøgletal'!C23</f>
        <v>289944.28250307712</v>
      </c>
      <c r="D17" s="14" t="s">
        <v>3</v>
      </c>
      <c r="E17" s="1"/>
    </row>
    <row r="18" spans="1:5" x14ac:dyDescent="0.25">
      <c r="A18" s="1"/>
      <c r="B18" s="52"/>
      <c r="C18" s="31"/>
      <c r="D18" s="19"/>
      <c r="E18" s="1"/>
    </row>
    <row r="19" spans="1:5" x14ac:dyDescent="0.25">
      <c r="A19" s="1"/>
      <c r="B19" s="1"/>
      <c r="C19" s="32"/>
      <c r="D19" s="1"/>
      <c r="E19" s="1"/>
    </row>
    <row r="20" spans="1:5" x14ac:dyDescent="0.25">
      <c r="A20" s="1"/>
      <c r="B20" s="97" t="s">
        <v>170</v>
      </c>
      <c r="C20" s="98"/>
      <c r="D20" s="99"/>
      <c r="E20" s="1"/>
    </row>
    <row r="21" spans="1:5" x14ac:dyDescent="0.25">
      <c r="A21" s="1"/>
      <c r="B21" s="56" t="s">
        <v>169</v>
      </c>
      <c r="C21" s="48">
        <f>(C15+C16-C17)*(1+'Fane 13. Nøgletal'!C11)</f>
        <v>15149211.833218526</v>
      </c>
      <c r="D21" s="14" t="s">
        <v>3</v>
      </c>
      <c r="E21" s="1"/>
    </row>
    <row r="22" spans="1:5" x14ac:dyDescent="0.25">
      <c r="A22" s="1"/>
      <c r="B22" s="56" t="s">
        <v>171</v>
      </c>
      <c r="C22" s="48">
        <f>(C21)*'Fane 13. Nøgletal'!C23</f>
        <v>302984.23666437052</v>
      </c>
      <c r="D22" s="14" t="s">
        <v>3</v>
      </c>
      <c r="E22" s="1"/>
    </row>
    <row r="23" spans="1:5" x14ac:dyDescent="0.25">
      <c r="A23" s="1"/>
      <c r="B23" s="52"/>
      <c r="C23" s="31"/>
      <c r="D23" s="19"/>
      <c r="E23" s="1"/>
    </row>
    <row r="24" spans="1:5" x14ac:dyDescent="0.25">
      <c r="A24" s="1"/>
      <c r="B24" s="1"/>
      <c r="C24" s="32"/>
      <c r="D24" s="1"/>
      <c r="E24" s="1"/>
    </row>
    <row r="25" spans="1:5" x14ac:dyDescent="0.25">
      <c r="A25" s="1"/>
      <c r="B25" s="97" t="s">
        <v>116</v>
      </c>
      <c r="C25" s="98"/>
      <c r="D25" s="99"/>
      <c r="E25" s="1"/>
    </row>
    <row r="26" spans="1:5" x14ac:dyDescent="0.25">
      <c r="A26" s="1"/>
      <c r="B26" s="56" t="s">
        <v>117</v>
      </c>
      <c r="C26" s="48">
        <f>(C21-C22)*(1+'Fane 13. Nøgletal'!C11)</f>
        <v>15830532.486205697</v>
      </c>
      <c r="D26" s="14" t="s">
        <v>3</v>
      </c>
      <c r="E26" s="1"/>
    </row>
    <row r="27" spans="1:5" x14ac:dyDescent="0.25">
      <c r="A27" s="1"/>
      <c r="B27" s="56" t="s">
        <v>118</v>
      </c>
      <c r="C27" s="48">
        <f>(C26)*'Fane 13. Nøgletal'!C23</f>
        <v>316610.64972411393</v>
      </c>
      <c r="D27" s="14" t="s">
        <v>3</v>
      </c>
      <c r="E27" s="1"/>
    </row>
    <row r="28" spans="1:5" x14ac:dyDescent="0.25">
      <c r="A28" s="1"/>
      <c r="B28" s="52"/>
      <c r="C28" s="42"/>
      <c r="D28" s="19"/>
      <c r="E28" s="1"/>
    </row>
    <row r="29" spans="1:5" x14ac:dyDescent="0.25">
      <c r="A29" s="1"/>
      <c r="B29" s="1"/>
      <c r="C29" s="32"/>
      <c r="D29" s="1"/>
      <c r="E29" s="1"/>
    </row>
    <row r="30" spans="1:5" x14ac:dyDescent="0.25">
      <c r="A30" s="1"/>
      <c r="B30" s="97" t="s">
        <v>136</v>
      </c>
      <c r="C30" s="98"/>
      <c r="D30" s="99"/>
      <c r="E30" s="1"/>
    </row>
    <row r="31" spans="1:5" x14ac:dyDescent="0.25">
      <c r="A31" s="1"/>
      <c r="B31" s="56" t="s">
        <v>137</v>
      </c>
      <c r="C31" s="48">
        <f>(C26-C27)*(1+'Fane 13. Nøgletal'!C11)</f>
        <v>16542494.854240311</v>
      </c>
      <c r="D31" s="14" t="s">
        <v>3</v>
      </c>
      <c r="E31" s="1"/>
    </row>
    <row r="32" spans="1:5" x14ac:dyDescent="0.25">
      <c r="A32" s="1"/>
      <c r="B32" s="56" t="s">
        <v>138</v>
      </c>
      <c r="C32" s="48">
        <f>(C31)*'Fane 13. Nøgletal'!C23</f>
        <v>330849.89708480623</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xTgd0f9+4C6InoOY5at9ur54zaxeaN/eOTPkltz05EsQUHc7oMLZ9aLZBhtkTk6Ng2j0r6hN98gX07eaJJCcXg==" saltValue="kJnooGLkZ8qIALaTE9zn8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0" t="s">
        <v>54</v>
      </c>
      <c r="C3" s="101"/>
      <c r="D3" s="101"/>
      <c r="E3" s="1"/>
    </row>
    <row r="4" spans="1:5" ht="15" customHeight="1" x14ac:dyDescent="0.25">
      <c r="A4" s="1"/>
      <c r="B4" s="101"/>
      <c r="C4" s="101"/>
      <c r="D4" s="101"/>
      <c r="E4" s="1"/>
    </row>
    <row r="5" spans="1:5" ht="15" customHeight="1" x14ac:dyDescent="0.25">
      <c r="A5" s="1"/>
      <c r="B5" s="101"/>
      <c r="C5" s="101"/>
      <c r="D5" s="101"/>
      <c r="E5" s="1"/>
    </row>
    <row r="6" spans="1:5" ht="15" customHeight="1" x14ac:dyDescent="0.25">
      <c r="A6" s="1"/>
      <c r="B6" s="1"/>
      <c r="C6" s="1"/>
      <c r="D6" s="1"/>
      <c r="E6" s="1"/>
    </row>
    <row r="7" spans="1:5" ht="15" customHeight="1" x14ac:dyDescent="0.25">
      <c r="A7" s="1"/>
      <c r="B7" s="1"/>
      <c r="C7" s="1"/>
      <c r="D7" s="1"/>
      <c r="E7" s="1"/>
    </row>
    <row r="8" spans="1:5" x14ac:dyDescent="0.25">
      <c r="A8" s="1"/>
      <c r="B8" s="97" t="s">
        <v>76</v>
      </c>
      <c r="C8" s="98"/>
      <c r="D8" s="99"/>
      <c r="E8" s="1"/>
    </row>
    <row r="9" spans="1:5" x14ac:dyDescent="0.25">
      <c r="A9" s="1"/>
      <c r="B9" s="56" t="s">
        <v>162</v>
      </c>
      <c r="C9" s="48">
        <v>11740031.720201608</v>
      </c>
      <c r="D9" s="14" t="s">
        <v>3</v>
      </c>
      <c r="E9" s="1"/>
    </row>
    <row r="10" spans="1:5" x14ac:dyDescent="0.25">
      <c r="A10" s="1"/>
      <c r="B10" s="56" t="s">
        <v>113</v>
      </c>
      <c r="C10" s="48">
        <f>('Fane 3. Omkostninger i ØR2024'!C11+'Fane 3. Omkostninger i ØR2024'!C13+'Fane 3. Omkostninger i ØR2024'!C15)*(1+'Fane 13. Nøgletal'!C10)</f>
        <v>0</v>
      </c>
      <c r="D10" s="14" t="s">
        <v>3</v>
      </c>
      <c r="E10" s="1"/>
    </row>
    <row r="11" spans="1:5" x14ac:dyDescent="0.25">
      <c r="A11" s="1"/>
      <c r="B11" s="56" t="s">
        <v>114</v>
      </c>
      <c r="C11" s="48">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7" t="s">
        <v>156</v>
      </c>
      <c r="C14" s="98"/>
      <c r="D14" s="99"/>
      <c r="E14" s="1"/>
    </row>
    <row r="15" spans="1:5" x14ac:dyDescent="0.25">
      <c r="A15" s="1"/>
      <c r="B15" s="56" t="s">
        <v>163</v>
      </c>
      <c r="C15" s="48">
        <f>(C9+C10-C11)*(1+'Fane 13. Nøgletal'!C11)</f>
        <v>12518395.823250975</v>
      </c>
      <c r="D15" s="14" t="s">
        <v>3</v>
      </c>
      <c r="E15" s="1"/>
    </row>
    <row r="16" spans="1:5" x14ac:dyDescent="0.25">
      <c r="A16" s="1"/>
      <c r="B16" s="56" t="s">
        <v>157</v>
      </c>
      <c r="C16" s="48">
        <f>('Fane 2.1. Økonomisk ramme 2025'!C11+'Fane 2.1. Økonomisk ramme 2025'!C13+'Fane 2.1. Økonomisk ramme 2025'!C15)*(1+'Fane 13. Nøgletal'!C11)</f>
        <v>40091.605025090008</v>
      </c>
      <c r="D16" s="14" t="s">
        <v>3</v>
      </c>
      <c r="E16" s="1"/>
    </row>
    <row r="17" spans="1:5" x14ac:dyDescent="0.25">
      <c r="A17" s="1"/>
      <c r="B17" s="56" t="s">
        <v>158</v>
      </c>
      <c r="C17" s="48">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7" t="s">
        <v>166</v>
      </c>
      <c r="C20" s="98"/>
      <c r="D20" s="99"/>
      <c r="E20" s="1"/>
    </row>
    <row r="21" spans="1:5" x14ac:dyDescent="0.25">
      <c r="A21" s="1"/>
      <c r="B21" s="56" t="s">
        <v>164</v>
      </c>
      <c r="C21" s="48">
        <f>(C15+C16-C17)*(1+'Fane 13. Nøgletal'!C11)</f>
        <v>13391115.144770769</v>
      </c>
      <c r="D21" s="14" t="s">
        <v>3</v>
      </c>
      <c r="E21" s="1"/>
    </row>
    <row r="22" spans="1:5" x14ac:dyDescent="0.25">
      <c r="A22" s="1"/>
      <c r="B22" s="56" t="s">
        <v>165</v>
      </c>
      <c r="C22" s="48">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7" t="s">
        <v>119</v>
      </c>
      <c r="C25" s="98"/>
      <c r="D25" s="99"/>
      <c r="E25" s="1"/>
    </row>
    <row r="26" spans="1:5" x14ac:dyDescent="0.25">
      <c r="A26" s="1"/>
      <c r="B26" s="56" t="s">
        <v>120</v>
      </c>
      <c r="C26" s="48">
        <f>(C21-C22)*(1+'Fane 13. Nøgletal'!C11)</f>
        <v>14278946.078869071</v>
      </c>
      <c r="D26" s="14" t="s">
        <v>3</v>
      </c>
      <c r="E26" s="1"/>
    </row>
    <row r="27" spans="1:5" x14ac:dyDescent="0.25">
      <c r="A27" s="1"/>
      <c r="B27" s="56" t="s">
        <v>121</v>
      </c>
      <c r="C27" s="48">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7" t="s">
        <v>139</v>
      </c>
      <c r="C30" s="98"/>
      <c r="D30" s="99"/>
      <c r="E30" s="1"/>
    </row>
    <row r="31" spans="1:5" x14ac:dyDescent="0.25">
      <c r="A31" s="1"/>
      <c r="B31" s="56" t="s">
        <v>140</v>
      </c>
      <c r="C31" s="48">
        <f>(C26-C27)*(1+'Fane 13. Nøgletal'!C11)</f>
        <v>15225640.203898091</v>
      </c>
      <c r="D31" s="14" t="s">
        <v>3</v>
      </c>
      <c r="E31" s="1"/>
    </row>
    <row r="32" spans="1:5" x14ac:dyDescent="0.25">
      <c r="A32" s="1"/>
      <c r="B32" s="56" t="s">
        <v>141</v>
      </c>
      <c r="C32" s="48">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SH8/+fP3rNp4zJMRLslZz2pcWrYP+HJYQsafBqbXjpkShkAZx8nYpfvfbbwA0fEqYLrJrYhyxDaF8ApKKXWgQ==" saltValue="T2Dgc0ykoSdCe/RGx46O5w=="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3" t="s">
        <v>41</v>
      </c>
      <c r="C3" s="93"/>
      <c r="D3" s="1"/>
    </row>
    <row r="4" spans="1:4" ht="1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7" t="s">
        <v>9</v>
      </c>
      <c r="C8" s="99"/>
      <c r="D8" s="1"/>
    </row>
    <row r="9" spans="1:4" x14ac:dyDescent="0.25">
      <c r="A9" s="1"/>
      <c r="B9" s="56" t="s">
        <v>160</v>
      </c>
      <c r="C9" s="44">
        <v>1.9812677504840769E-3</v>
      </c>
      <c r="D9" s="1"/>
    </row>
    <row r="10" spans="1:4" x14ac:dyDescent="0.25">
      <c r="A10" s="1"/>
      <c r="B10" s="52"/>
      <c r="C10" s="19"/>
      <c r="D10" s="1"/>
    </row>
    <row r="11" spans="1:4" ht="15" customHeight="1" x14ac:dyDescent="0.25">
      <c r="A11" s="1"/>
      <c r="B11" s="102" t="s">
        <v>161</v>
      </c>
      <c r="C11" s="103"/>
      <c r="D11" s="1"/>
    </row>
    <row r="12" spans="1:4" ht="13.5" customHeight="1" x14ac:dyDescent="0.25">
      <c r="A12" s="1"/>
      <c r="B12" s="104"/>
      <c r="C12" s="10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rmrIyFois91/N0oL8NYP8Pz3lHHXM9ZpBzKnlsBJ/7ltMB7TJWFREVfSsln7wqkvl0AljWtlsmTOLOQmRLLUow==" saltValue="MC1gL6EBH+DxZsXW4oqCO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2024-09-06T07:51:33Z</dcterms:modified>
</cp:coreProperties>
</file>