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Energi Viborg Vand AS (S01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0" i="36" l="1"/>
  <c r="G21" i="30" l="1"/>
  <c r="E14" i="11" l="1"/>
  <c r="E11" i="11"/>
  <c r="E16" i="40" l="1"/>
  <c r="E12" i="40"/>
  <c r="C14" i="19" l="1"/>
  <c r="E27" i="32" l="1"/>
  <c r="E19" i="32" l="1"/>
  <c r="E11" i="32"/>
  <c r="E31" i="32" s="1"/>
  <c r="C30" i="2" s="1"/>
  <c r="E37" i="32" l="1"/>
  <c r="E16" i="27"/>
  <c r="E17" i="27" s="1"/>
  <c r="E12" i="11" l="1"/>
  <c r="E13" i="11"/>
  <c r="E10" i="11"/>
  <c r="G8" i="30" l="1"/>
  <c r="E29" i="20" l="1"/>
  <c r="E23" i="20"/>
  <c r="E17" i="20"/>
  <c r="E11" i="20"/>
  <c r="E39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4" i="11" l="1"/>
  <c r="C10" i="37" s="1"/>
  <c r="C12" i="37" s="1"/>
  <c r="G14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<sst xmlns="http://schemas.openxmlformats.org/spreadsheetml/2006/main" count="697" uniqueCount="278">
  <si>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</si>
  <si>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</si>
  <si>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</si>
  <si>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</si>
  <si>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</si>
  <si>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</si>
  <si>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</si>
  <si>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</si>
  <si>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</si>
  <si>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</si>
  <si>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</si>
  <si>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</si>
  <si>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</si>
  <si>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</si>
  <si>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</si>
  <si>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</si>
  <si>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</si>
  <si>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</si>
  <si>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</si>
  <si>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</si>
  <si>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</si>
  <si>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</si>
  <si>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</si>
  <si>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</si>
  <si>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</si>
  <si>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</si>
  <si>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</si>
  <si>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</si>
  <si>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</si>
  <si>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</si>
  <si>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</si>
  <si>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</si>
  <si>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</si>
  <si>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</si>
  <si>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</si>
  <si>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</si>
  <si>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</si>
  <si>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</si>
  <si>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</si>
  <si>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</si>
  <si>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</si>
  <si>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</si>
  <si>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</si>
  <si>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</si>
  <si>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</si>
  <si>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</si>
  <si>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</si>
  <si>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</si>
  <si>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</si>
  <si>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</si>
  <si>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</si>
  <si>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</si>
  <si>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</si>
  <si>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</si>
  <si>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</si>
  <si>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</si>
  <si>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</si>
  <si>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</si>
  <si>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</si>
  <si>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</si>
  <si>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</si>
  <si>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</si>
  <si>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</si>
  <si>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</si>
  <si>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</si>
  <si>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</si>
  <si>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</si>
  <si>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</si>
  <si>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</si>
  <si>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</si>
  <si>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</si>
  <si>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</si>
  <si>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</si>
  <si>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</si>
  <si>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</si>
  <si>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</si>
  <si>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</si>
  <si>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</si>
  <si>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</si>
  <si>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</si>
  <si>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</si>
  <si>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</si>
  <si>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</si>
  <si>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</si>
  <si>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</si>
  <si>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</si>
  <si>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</si>
  <si>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</si>
  <si>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</si>
  <si>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</si>
  <si>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</si>
  <si>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</si>
  <si>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</si>
  <si>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</si>
  <si>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</si>
  <si>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</si>
  <si>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</si>
  <si>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</si>
  <si>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</si>
  <si>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</si>
  <si>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</si>
  <si>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</si>
  <si>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</si>
  <si>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</si>
  <si>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</si>
  <si>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</si>
  <si>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</si>
  <si>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</si>
  <si>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</si>
  <si>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</si>
  <si>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</si>
  <si>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</si>
  <si>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</si>
  <si>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</si>
  <si>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</si>
  <si>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</si>
  <si>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</si>
  <si>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</si>
  <si>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</si>
  <si>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</si>
  <si>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</si>
  <si>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</si>
  <si>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</si>
  <si>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</si>
  <si>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</si>
  <si>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</si>
  <si>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</si>
  <si>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</si>
  <si>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</si>
  <si>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</si>
  <si>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</si>
  <si>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</si>
  <si>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</si>
  <si>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</si>
  <si>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</si>
  <si>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</si>
  <si>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</si>
  <si>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</si>
  <si>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</si>
  <si>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</si>
  <si>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</si>
  <si>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</si>
  <si>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</si>
  <si>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</si>
  <si>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</si>
  <si>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</si>
  <si>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</si>
  <si>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</si>
  <si>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</si>
  <si>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</si>
  <si>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</si>
  <si>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</si>
  <si>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</si>
  <si>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</si>
  <si>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</si>
  <si>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</si>
  <si>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</si>
  <si>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</si>
  <si>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</si>
  <si>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</si>
  <si>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</si>
  <si>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</si>
  <si>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</si>
  <si>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</si>
  <si>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</si>
  <si>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</si>
  <si>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</si>
  <si>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</si>
  <si>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</si>
  <si>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</si>
  <si>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</si>
  <si>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</si>
  <si>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</si>
  <si>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</si>
  <si>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</si>
  <si>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</si>
  <si>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</si>
  <si>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</si>
  <si>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</si>
  <si>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</si>
  <si>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</si>
  <si>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</si>
  <si>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</si>
  <si>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</si>
  <si>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</si>
  <si>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</si>
  <si>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</si>
  <si>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</si>
  <si>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</si>
  <si>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</si>
  <si>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</si>
  <si>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</si>
  <si>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</si>
  <si>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</si>
  <si>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</si>
  <si>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</si>
  <si>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</si>
  <si>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</si>
  <si>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</si>
  <si>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</si>
  <si>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</si>
  <si>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</si>
  <si>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</si>
  <si>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</si>
  <si>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</si>
  <si>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</si>
  <si>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</si>
  <si>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</si>
  <si>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</si>
  <si>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</si>
  <si>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</si>
  <si>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</si>
  <si>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</si>
  <si>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</si>
  <si>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</si>
  <si>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</si>
  <si>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</si>
  <si>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</si>
  <si>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</si>
  <si>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</si>
  <si>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</si>
  <si>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</si>
  <si>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</si>
  <si>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</si>
  <si>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</si>
  <si>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</si>
  <si>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</si>
  <si>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</si>
  <si>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</si>
  <si>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</si>
  <si>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</si>
  <si>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</si>
  <si>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</si>
  <si>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</si>
  <si>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</si>
  <si>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</si>
  <si>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</si>
  <si>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</si>
  <si>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</si>
  <si>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</si>
  <si>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</si>
  <si>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</si>
  <si>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</si>
  <si>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</si>
  <si>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</si>
  <si>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</si>
  <si>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</si>
  <si>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</si>
  <si>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</si>
  <si>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</si>
  <si>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</si>
  <si>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</si>
  <si>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</si>
  <si>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</si>
  <si>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</si>
  <si>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</si>
  <si>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</si>
  <si>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</si>
  <si>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</si>
  <si>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</si>
  <si>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</si>
  <si>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</si>
  <si>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</si>
  <si>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</si>
  <si>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</si>
  <si>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</si>
  <si>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</si>
  <si>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</si>
  <si>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</si>
  <si>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</si>
  <si>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</si>
  <si>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Ø 200 mm &lt; Ledningsnet ≤ Ø 500 mm</t>
  </si>
  <si>
    <t>75</t>
  </si>
  <si>
    <t>Byggemodninger</t>
  </si>
  <si>
    <t>Tømning af slambed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</si>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</sst>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226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43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254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41</v>
      </c>
      <c r="D15" s="68" t="s">
        <v>107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42</v>
      </c>
      <c r="D16" s="68" t="s">
        <v>214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180</v>
      </c>
      <c r="D17" s="68" t="s">
        <v>215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157</v>
      </c>
      <c r="D18" s="65" t="s">
        <v>135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158</v>
      </c>
      <c r="D19" s="65" t="s">
        <v>136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</v>
      </c>
      <c r="D20" s="65" t="s">
        <v>10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159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111</v>
      </c>
      <c r="D22" s="59" t="s">
        <v>255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184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44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160</v>
      </c>
      <c r="D25" s="59" t="s">
        <v>112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161</v>
      </c>
      <c r="D26" s="59" t="s">
        <v>113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162</v>
      </c>
      <c r="D27" s="59" t="s">
        <v>114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16</v>
      </c>
      <c r="D28" s="59" t="s">
        <v>216</v>
      </c>
      <c r="E28" s="60"/>
      <c r="F28" s="60"/>
      <c r="G28" s="61"/>
      <c r="H28" s="1"/>
      <c r="I28" s="1"/>
    </row>
    <row r="29" spans="1:9" x14ac:dyDescent="0.25">
      <c r="A29" s="1"/>
      <c r="B29" s="1"/>
      <c r="C29" s="6" t="s">
        <v>46</v>
      </c>
      <c r="D29" s="59" t="s">
        <v>45</v>
      </c>
      <c r="E29" s="60"/>
      <c r="F29" s="60"/>
      <c r="G29" s="61"/>
      <c r="H29" s="1"/>
      <c r="I29" s="1"/>
    </row>
    <row r="30" spans="1:9" x14ac:dyDescent="0.25">
      <c r="A30" s="1"/>
      <c r="B30" s="1"/>
      <c r="C30" s="6" t="s">
        <v>47</v>
      </c>
      <c r="D30" s="62" t="s">
        <v>155</v>
      </c>
      <c r="E30" s="63"/>
      <c r="F30" s="63"/>
      <c r="G30" s="6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7" t="s">
        <v>165</v>
      </c>
      <c r="C3" s="77"/>
      <c r="D3" s="77"/>
      <c r="E3" s="1"/>
      <c r="F3" s="1"/>
    </row>
    <row r="4" spans="1:6" ht="15" customHeight="1" x14ac:dyDescent="0.25">
      <c r="A4" s="1"/>
      <c r="B4" s="77"/>
      <c r="C4" s="77"/>
      <c r="D4" s="7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1" t="s">
        <v>196</v>
      </c>
      <c r="C8" s="92"/>
      <c r="D8" s="93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2857659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102181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691800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331126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3982766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4080538.2852914399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1" t="s">
        <v>178</v>
      </c>
      <c r="C18" s="92"/>
      <c r="D18" s="93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1"/>
      <c r="C23" s="92"/>
      <c r="D23" s="93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1" t="s">
        <v>146</v>
      </c>
      <c r="C26" s="92"/>
      <c r="D26" s="93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1"/>
      <c r="C31" s="92"/>
      <c r="D31" s="93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6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256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91" t="s">
        <v>137</v>
      </c>
      <c r="C7" s="92"/>
      <c r="D7" s="92"/>
      <c r="E7" s="92"/>
      <c r="F7" s="93"/>
      <c r="G7" s="1"/>
    </row>
    <row r="8" spans="1:7" x14ac:dyDescent="0.25">
      <c r="A8" s="1"/>
      <c r="B8" s="94" t="s">
        <v>138</v>
      </c>
      <c r="C8" s="95"/>
      <c r="D8" s="96"/>
      <c r="E8" s="9">
        <v>187442056.45153588</v>
      </c>
      <c r="F8" s="14" t="s">
        <v>3</v>
      </c>
      <c r="G8" s="1"/>
    </row>
    <row r="9" spans="1:7" x14ac:dyDescent="0.25">
      <c r="A9" s="1"/>
      <c r="B9" s="94" t="s">
        <v>139</v>
      </c>
      <c r="C9" s="95"/>
      <c r="D9" s="96"/>
      <c r="E9" s="9">
        <v>170288537</v>
      </c>
      <c r="F9" s="14" t="s">
        <v>3</v>
      </c>
      <c r="G9" s="1"/>
    </row>
    <row r="10" spans="1:7" x14ac:dyDescent="0.25">
      <c r="A10" s="1"/>
      <c r="B10" s="94" t="s">
        <v>40</v>
      </c>
      <c r="C10" s="95"/>
      <c r="D10" s="96"/>
      <c r="E10" s="9">
        <v>584000</v>
      </c>
      <c r="F10" s="14" t="s">
        <v>3</v>
      </c>
      <c r="G10" s="1"/>
    </row>
    <row r="11" spans="1:7" x14ac:dyDescent="0.25">
      <c r="A11" s="1"/>
      <c r="B11" s="84" t="s">
        <v>140</v>
      </c>
      <c r="C11" s="85"/>
      <c r="D11" s="103"/>
      <c r="E11" s="10">
        <f>E8-(E9-E10)</f>
        <v>17737519.451535881</v>
      </c>
      <c r="F11" s="17" t="s">
        <v>3</v>
      </c>
      <c r="G11" s="1"/>
    </row>
    <row r="12" spans="1:7" x14ac:dyDescent="0.25">
      <c r="A12" s="1"/>
      <c r="B12" s="38"/>
      <c r="C12" s="32"/>
      <c r="D12" s="32"/>
      <c r="E12" s="32"/>
      <c r="F12" s="20"/>
      <c r="G12" s="1"/>
    </row>
    <row r="13" spans="1:7" ht="27" customHeight="1" x14ac:dyDescent="0.25">
      <c r="A13" s="1"/>
      <c r="B13" s="79" t="s">
        <v>156</v>
      </c>
      <c r="C13" s="80"/>
      <c r="D13" s="80"/>
      <c r="E13" s="80"/>
      <c r="F13" s="81"/>
      <c r="G13" s="1"/>
    </row>
    <row r="14" spans="1:7" ht="28.5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1" t="s">
        <v>52</v>
      </c>
      <c r="C15" s="92"/>
      <c r="D15" s="92"/>
      <c r="E15" s="92"/>
      <c r="F15" s="93"/>
      <c r="G15" s="1"/>
    </row>
    <row r="16" spans="1:7" x14ac:dyDescent="0.25">
      <c r="A16" s="1"/>
      <c r="B16" s="94" t="s">
        <v>53</v>
      </c>
      <c r="C16" s="95"/>
      <c r="D16" s="96"/>
      <c r="E16" s="9">
        <v>171012149.89708048</v>
      </c>
      <c r="F16" s="14" t="s">
        <v>3</v>
      </c>
      <c r="G16" s="1"/>
    </row>
    <row r="17" spans="1:7" x14ac:dyDescent="0.25">
      <c r="A17" s="1"/>
      <c r="B17" s="94" t="s">
        <v>54</v>
      </c>
      <c r="C17" s="95"/>
      <c r="D17" s="96"/>
      <c r="E17" s="9">
        <v>211292736</v>
      </c>
      <c r="F17" s="14" t="s">
        <v>3</v>
      </c>
      <c r="G17" s="1"/>
    </row>
    <row r="18" spans="1:7" x14ac:dyDescent="0.25">
      <c r="A18" s="1"/>
      <c r="B18" s="94" t="s">
        <v>40</v>
      </c>
      <c r="C18" s="95"/>
      <c r="D18" s="96"/>
      <c r="E18" s="9">
        <v>0</v>
      </c>
      <c r="F18" s="14" t="s">
        <v>3</v>
      </c>
      <c r="G18" s="1"/>
    </row>
    <row r="19" spans="1:7" x14ac:dyDescent="0.25">
      <c r="A19" s="1"/>
      <c r="B19" s="84" t="s">
        <v>55</v>
      </c>
      <c r="C19" s="85"/>
      <c r="D19" s="103"/>
      <c r="E19" s="10">
        <f>E16-(E17-E18)</f>
        <v>-40280586.102919519</v>
      </c>
      <c r="F19" s="17" t="s">
        <v>3</v>
      </c>
      <c r="G19" s="1"/>
    </row>
    <row r="20" spans="1:7" x14ac:dyDescent="0.25">
      <c r="A20" s="1"/>
      <c r="B20" s="38"/>
      <c r="C20" s="32"/>
      <c r="D20" s="32"/>
      <c r="E20" s="32"/>
      <c r="F20" s="20"/>
      <c r="G20" s="1"/>
    </row>
    <row r="21" spans="1:7" ht="28.5" customHeight="1" x14ac:dyDescent="0.25">
      <c r="A21" s="1"/>
      <c r="B21" s="79" t="s">
        <v>218</v>
      </c>
      <c r="C21" s="80"/>
      <c r="D21" s="80"/>
      <c r="E21" s="80"/>
      <c r="F21" s="81"/>
      <c r="G21" s="1"/>
    </row>
    <row r="22" spans="1:7" ht="28.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1" t="s">
        <v>245</v>
      </c>
      <c r="C23" s="92"/>
      <c r="D23" s="92"/>
      <c r="E23" s="92"/>
      <c r="F23" s="93"/>
      <c r="G23" s="1"/>
    </row>
    <row r="24" spans="1:7" x14ac:dyDescent="0.25">
      <c r="A24" s="1"/>
      <c r="B24" s="94" t="s">
        <v>246</v>
      </c>
      <c r="C24" s="95"/>
      <c r="D24" s="96"/>
      <c r="E24" s="9">
        <v>171270539.42176437</v>
      </c>
      <c r="F24" s="14" t="s">
        <v>3</v>
      </c>
      <c r="G24" s="1"/>
    </row>
    <row r="25" spans="1:7" x14ac:dyDescent="0.25">
      <c r="A25" s="1"/>
      <c r="B25" s="94" t="s">
        <v>247</v>
      </c>
      <c r="C25" s="95"/>
      <c r="D25" s="96"/>
      <c r="E25" s="9">
        <v>177317713</v>
      </c>
      <c r="F25" s="14" t="s">
        <v>3</v>
      </c>
      <c r="G25" s="1"/>
    </row>
    <row r="26" spans="1:7" x14ac:dyDescent="0.25">
      <c r="A26" s="1"/>
      <c r="B26" s="94" t="s">
        <v>40</v>
      </c>
      <c r="C26" s="95"/>
      <c r="D26" s="96"/>
      <c r="E26" s="9">
        <v>0</v>
      </c>
      <c r="F26" s="14" t="s">
        <v>3</v>
      </c>
      <c r="G26" s="1"/>
    </row>
    <row r="27" spans="1:7" x14ac:dyDescent="0.25">
      <c r="A27" s="1"/>
      <c r="B27" s="84" t="s">
        <v>248</v>
      </c>
      <c r="C27" s="85"/>
      <c r="D27" s="103"/>
      <c r="E27" s="10">
        <f>E24-(E25-E26)</f>
        <v>-6047173.5782356262</v>
      </c>
      <c r="F27" s="17" t="s">
        <v>3</v>
      </c>
      <c r="G27" s="1"/>
    </row>
    <row r="28" spans="1:7" x14ac:dyDescent="0.25">
      <c r="A28" s="1"/>
      <c r="B28" s="38"/>
      <c r="C28" s="32"/>
      <c r="D28" s="32"/>
      <c r="E28" s="32"/>
      <c r="F28" s="2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1" t="s">
        <v>250</v>
      </c>
      <c r="C30" s="92"/>
      <c r="D30" s="92"/>
      <c r="E30" s="92"/>
      <c r="F30" s="93"/>
      <c r="G30" s="1"/>
    </row>
    <row r="31" spans="1:7" x14ac:dyDescent="0.25">
      <c r="A31" s="1"/>
      <c r="B31" s="84" t="s">
        <v>251</v>
      </c>
      <c r="C31" s="85"/>
      <c r="D31" s="103"/>
      <c r="E31" s="10">
        <f>IF(AND(E11&lt;0,E19&gt;=0,E27&gt;=0),E11/2,IF(AND(E11&lt;0,E19&lt;0,E27&lt;0),SUM(E11,E19)/2,IF(AND(E11&lt;0,E19&gt;=0,E27&lt;0,ABS(E19)&gt;ABS(E27)),E11/2,IF(AND(E11&lt;0,E19&gt;=0,E27&lt;0,ABS(E19)&lt;ABS(E27)),E11/2,IF(AND(E11&lt;0,E19&lt;0,E27&gt;=0,ABS(E19)&gt;ABS(E27)),E11/2+(E19/2+E27),IF(AND(E11&lt;0,E19&lt;0,E27&gt;=0,ABS(E19)&lt;ABS(E27)),E11/2+E19/2+(E27-(E27+E19)),IF(AND(E11&gt;=0,E19&gt;=0,E27&gt;=0),0,IF(AND(E11&gt;=0,E19&lt;0,E27&lt;0,ABS(E19)&gt;ABS(E11)),(E19+E11)/2,IF(AND(E11&gt;=0,E19&lt;0,E27&lt;0,ABS(E19)&lt;ABS(E11)),0,IF(AND(E11&gt;0,E19&gt;=0,E27&lt;0,ABS(E19)&gt;ABS(E27)),0,IF(AND(E11&gt;0,E19&gt;=0,E27&lt;0,ABS(E19)&lt;ABS(E27)),0,IF(AND(E11&gt;0,E19&lt;0,E27&gt;=0,ABS(E11)&gt;ABS(E19)),0,IF(AND(E11&gt;0,E19&lt;0,E27&gt;=0,ABS(E11)&lt;ABS(E19),ABS(E27)&gt;ABS(E19+E11)),(E19+E11)/2+(E27-E27-(E19+E11)),IF(AND(E11&gt;0,E19&lt;0,E27&gt;=0,ABS(E11)&lt;ABS(E19),ABS(E27)&lt;ABS(E19+E11)),(E19+E11)/2+E27,0))))))))))))))</f>
        <v>-11271533.325691819</v>
      </c>
      <c r="F31" s="17" t="s">
        <v>3</v>
      </c>
      <c r="G31" s="1"/>
    </row>
    <row r="32" spans="1:7" x14ac:dyDescent="0.25">
      <c r="A32" s="1"/>
      <c r="B32" s="91"/>
      <c r="C32" s="92"/>
      <c r="D32" s="92"/>
      <c r="E32" s="92"/>
      <c r="F32" s="93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1" t="s">
        <v>249</v>
      </c>
      <c r="C34" s="92"/>
      <c r="D34" s="92"/>
      <c r="E34" s="92"/>
      <c r="F34" s="93"/>
      <c r="G34" s="1"/>
    </row>
    <row r="35" spans="1:7" x14ac:dyDescent="0.25">
      <c r="A35" s="1"/>
      <c r="B35" s="104" t="s">
        <v>276</v>
      </c>
      <c r="C35" s="105"/>
      <c r="D35" s="106"/>
      <c r="E35" s="9">
        <v>1</v>
      </c>
      <c r="F35" s="14"/>
      <c r="G35" s="1"/>
    </row>
    <row r="36" spans="1:7" x14ac:dyDescent="0.25">
      <c r="A36" s="1"/>
      <c r="B36" s="104" t="s">
        <v>277</v>
      </c>
      <c r="C36" s="105"/>
      <c r="D36" s="106"/>
      <c r="E36" s="9">
        <v>0</v>
      </c>
      <c r="F36" s="14"/>
      <c r="G36" s="1"/>
    </row>
    <row r="37" spans="1:7" x14ac:dyDescent="0.25">
      <c r="A37" s="1"/>
      <c r="B37" s="104" t="s">
        <v>252</v>
      </c>
      <c r="C37" s="105"/>
      <c r="D37" s="106"/>
      <c r="E37" s="9">
        <f>IF(AND(E11&lt;0,E19&gt;=0,E27&gt;=0,),0,IF(AND(E11&lt;0,E19&lt;0,E27&gt;=0),0,IF(AND(E11&lt;0,E19&lt;0,E27&lt;0),E27,IF(AND(E11&lt;0,E19&gt;=0,E27&lt;0,ABS(E19)&gt;ABS(E27),E35=0,E36=1),0,IF(AND(E11&lt;0,E19&gt;=0,E27&lt;0,ABS(E19)&lt;ABS(E27),E35=0,E36=1),(E27+E19),IF(AND(E11&lt;0,E19&gt;=0,E27&lt;0,ABS(E19)&gt;ABS(E27)),0,IF(AND(E11&lt;0,E19&gt;=0,E27&lt;0,ABS(E19)&lt;ABS(E27)),(E19+E27),IF(AND(E11&gt;=0,E19&gt;=0,E27&gt;=0),0,IF(AND(E11&gt;=0,E19&lt;0,E27&lt;0,SUM(E11+E19)&gt;=0,ABS(E19+E27)&gt;E11,E35=1,E36=0),(E11+E19+E27),IF(AND(E11&gt;=0,E19&lt;0,E27&lt;0,SUM(E11+E19)&gt;=0,ABS(E19+E27)&lt;E11,E35=1,E36=0),0,IF(AND(E11&gt;=0,E19&lt;0,E27&lt;0,SUM(E11+E19)&lt;0,E35=1,E36=0),(E27),IF(AND(E11&gt;=0,E19&lt;0,E27&lt;0),E27,IF(AND(E11&gt;0,E19&gt;=0,E27&lt;0,ABS(E19+E11)&gt;ABS(E27),E35=1,E36=1),0,IF(AND(E11&gt;0,E19&gt;=0,E27&lt;0,ABS(E19+E11)&lt;ABS(E27),E35=1,E36=1),(E27+(E11+E19)),IF(AND(E11&gt;0,E19&gt;=0,E27&lt;0,ABS(E19)&gt;ABS(E27)),0,IF(AND(E11&gt;0,E19&gt;=0,E27&lt;0,ABS(E19)&lt;ABS(E27)),(E19+E27),IF(AND(E11&gt;=0,E19&lt;0,E27&gt;=0),0,0)))))))))))))))))</f>
        <v>-6047173.5782356262</v>
      </c>
      <c r="F37" s="14" t="s">
        <v>3</v>
      </c>
      <c r="G37" s="1"/>
    </row>
    <row r="38" spans="1:7" x14ac:dyDescent="0.25">
      <c r="A38" s="1"/>
      <c r="B38" s="104" t="s">
        <v>152</v>
      </c>
      <c r="C38" s="105"/>
      <c r="D38" s="106"/>
      <c r="E38" s="9">
        <v>2</v>
      </c>
      <c r="F38" s="14" t="s">
        <v>21</v>
      </c>
      <c r="G38" s="1"/>
    </row>
    <row r="39" spans="1:7" x14ac:dyDescent="0.25">
      <c r="A39" s="1"/>
      <c r="B39" s="110" t="s">
        <v>253</v>
      </c>
      <c r="C39" s="110"/>
      <c r="D39" s="110"/>
      <c r="E39" s="10">
        <f>E37/E38</f>
        <v>-3023586.7891178131</v>
      </c>
      <c r="F39" s="17" t="s">
        <v>3</v>
      </c>
      <c r="G39" s="1"/>
    </row>
    <row r="40" spans="1:7" x14ac:dyDescent="0.25">
      <c r="A40" s="1"/>
      <c r="B40" s="107"/>
      <c r="C40" s="108"/>
      <c r="D40" s="108"/>
      <c r="E40" s="108"/>
      <c r="F40" s="109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3" spans="1:7" x14ac:dyDescent="0.25">
      <c r="A43" s="42"/>
      <c r="B43" s="42"/>
      <c r="C43" s="42"/>
      <c r="D43" s="42"/>
      <c r="E43" s="42"/>
      <c r="F43" s="42"/>
      <c r="G43" s="42"/>
    </row>
    <row r="44" spans="1:7" x14ac:dyDescent="0.25">
      <c r="A44" s="42"/>
      <c r="B44" s="42"/>
      <c r="C44" s="42"/>
      <c r="D44" s="42"/>
      <c r="E44" s="42"/>
      <c r="F44" s="42"/>
      <c r="G44" s="42"/>
    </row>
    <row r="45" spans="1:7" x14ac:dyDescent="0.25">
      <c r="A45" s="42"/>
      <c r="B45" s="42"/>
      <c r="C45" s="42"/>
      <c r="D45" s="42"/>
      <c r="E45" s="42"/>
      <c r="F45" s="42"/>
      <c r="G45" s="42"/>
    </row>
    <row r="46" spans="1:7" x14ac:dyDescent="0.25">
      <c r="A46" s="42"/>
      <c r="B46" s="42"/>
      <c r="C46" s="42"/>
      <c r="D46" s="42"/>
      <c r="E46" s="42"/>
      <c r="F46" s="42"/>
      <c r="G46" s="42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</sheetData>
  <sheetProtection algorithmName="SHA-512" hashValue="HJAN16CTS1vZSweqpBIuQ/Xn0NdayQa4O02pUKapQKPSYg+DqCyWxMjQsfl5uJBvMfoo8NMBAeJd5Y/UzKmtWQ==" saltValue="Ilwb2JkEDrypE5O0sH4iKQ==" spinCount="100000" sheet="1" objects="1" scenarios="1"/>
  <mergeCells count="28">
    <mergeCell ref="B19:D19"/>
    <mergeCell ref="B3:F4"/>
    <mergeCell ref="B15:F15"/>
    <mergeCell ref="B16:D16"/>
    <mergeCell ref="B17:D17"/>
    <mergeCell ref="B18:D18"/>
    <mergeCell ref="B7:F7"/>
    <mergeCell ref="B8:D8"/>
    <mergeCell ref="B9:D9"/>
    <mergeCell ref="B10:D10"/>
    <mergeCell ref="B11:D11"/>
    <mergeCell ref="B13:F13"/>
    <mergeCell ref="B34:F34"/>
    <mergeCell ref="B37:D37"/>
    <mergeCell ref="B40:F40"/>
    <mergeCell ref="B38:D38"/>
    <mergeCell ref="B39:D39"/>
    <mergeCell ref="B35:D35"/>
    <mergeCell ref="B36:D36"/>
    <mergeCell ref="B32:F32"/>
    <mergeCell ref="B30:F30"/>
    <mergeCell ref="B31:D31"/>
    <mergeCell ref="B21:F21"/>
    <mergeCell ref="B23:F23"/>
    <mergeCell ref="B24:D24"/>
    <mergeCell ref="B25:D25"/>
    <mergeCell ref="B26:D26"/>
    <mergeCell ref="B27:D2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201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1" t="s">
        <v>202</v>
      </c>
      <c r="C9" s="92"/>
      <c r="D9" s="92"/>
      <c r="E9" s="92"/>
      <c r="F9" s="93"/>
      <c r="G9" s="1"/>
    </row>
    <row r="10" spans="1:7" x14ac:dyDescent="0.25">
      <c r="A10" s="1"/>
      <c r="B10" s="79" t="s">
        <v>150</v>
      </c>
      <c r="C10" s="80"/>
      <c r="D10" s="81"/>
      <c r="E10" s="7">
        <v>0</v>
      </c>
      <c r="F10" s="8" t="s">
        <v>3</v>
      </c>
      <c r="G10" s="1"/>
    </row>
    <row r="11" spans="1:7" x14ac:dyDescent="0.25">
      <c r="A11" s="1"/>
      <c r="B11" s="94" t="s">
        <v>203</v>
      </c>
      <c r="C11" s="95"/>
      <c r="D11" s="96"/>
      <c r="E11" s="7">
        <v>0</v>
      </c>
      <c r="F11" s="8" t="s">
        <v>3</v>
      </c>
      <c r="G11" s="1"/>
    </row>
    <row r="12" spans="1:7" x14ac:dyDescent="0.25">
      <c r="A12" s="1"/>
      <c r="B12" s="84" t="s">
        <v>151</v>
      </c>
      <c r="C12" s="85"/>
      <c r="D12" s="103"/>
      <c r="E12" s="10">
        <f>E11-E10</f>
        <v>0</v>
      </c>
      <c r="F12" s="11" t="s">
        <v>3</v>
      </c>
      <c r="G12" s="1"/>
    </row>
    <row r="13" spans="1:7" x14ac:dyDescent="0.25">
      <c r="A13" s="1"/>
      <c r="B13" s="91" t="s">
        <v>134</v>
      </c>
      <c r="C13" s="92"/>
      <c r="D13" s="92"/>
      <c r="E13" s="92"/>
      <c r="F13" s="93"/>
      <c r="G13" s="1"/>
    </row>
    <row r="14" spans="1:7" x14ac:dyDescent="0.25">
      <c r="A14" s="1"/>
      <c r="B14" s="94" t="s">
        <v>204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79" t="s">
        <v>205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84" t="s">
        <v>151</v>
      </c>
      <c r="C16" s="85"/>
      <c r="D16" s="10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236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237</v>
      </c>
      <c r="C8" s="92"/>
      <c r="D8" s="92"/>
      <c r="E8" s="92"/>
      <c r="F8" s="92"/>
      <c r="G8" s="92"/>
      <c r="H8" s="9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271</v>
      </c>
      <c r="C10" s="57" t="s">
        <v>272</v>
      </c>
      <c r="D10" s="9">
        <v>5986131</v>
      </c>
      <c r="E10" s="9">
        <f>IFERROR(D10/C10,0)</f>
        <v>79815.08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271</v>
      </c>
      <c r="C11" s="57" t="s">
        <v>272</v>
      </c>
      <c r="D11" s="9">
        <v>3200847</v>
      </c>
      <c r="E11" s="9">
        <f>IFERROR(D11/C11,0)</f>
        <v>42677.96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271</v>
      </c>
      <c r="C12" s="57" t="s">
        <v>272</v>
      </c>
      <c r="D12" s="9">
        <v>15760250</v>
      </c>
      <c r="E12" s="9">
        <f t="shared" ref="E12:E13" si="0">IFERROR(D12/C12,0)</f>
        <v>210136.66666666666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271</v>
      </c>
      <c r="C13" s="57" t="s">
        <v>272</v>
      </c>
      <c r="D13" s="9">
        <v>4891740</v>
      </c>
      <c r="E13" s="9">
        <f t="shared" si="0"/>
        <v>65223.199999999997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91" t="s">
        <v>238</v>
      </c>
      <c r="C14" s="92"/>
      <c r="D14" s="93"/>
      <c r="E14" s="12">
        <f>SUM(E10:E13)</f>
        <v>397852.90666666668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Anlægsprojekter'!F14</f>
        <v>0</v>
      </c>
      <c r="D10" s="14" t="s">
        <v>3</v>
      </c>
      <c r="E10" s="9">
        <f>SUM('Fane 9. Anlægsprojekter'!E14,'Fane 9. Anlægsprojekter'!G14)</f>
        <v>397852.90666666668</v>
      </c>
      <c r="F10" s="14" t="s">
        <v>3</v>
      </c>
      <c r="G10" s="1"/>
    </row>
    <row r="11" spans="1:7" x14ac:dyDescent="0.25">
      <c r="A11" s="1"/>
      <c r="B11" s="58" t="s">
        <v>273</v>
      </c>
      <c r="C11" s="22">
        <v>69424</v>
      </c>
      <c r="D11" s="14" t="s">
        <v>3</v>
      </c>
      <c r="E11" s="9">
        <v>219366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69424</v>
      </c>
      <c r="D12" s="13" t="s">
        <v>3</v>
      </c>
      <c r="E12" s="12">
        <f>SUM(E10:E11)</f>
        <v>617218.90666666673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70270.972800000003</v>
      </c>
      <c r="D13" s="13" t="s">
        <v>3</v>
      </c>
      <c r="E13" s="12">
        <f>E12*(1+'Fane 14. Nøgletal'!C13)</f>
        <v>624748.97732800001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Xs/qO1udDaem0127YDunxZNKM2m0osICTiaA56DnOvhbrCQuMx4hSwSoKelFMjPwkJrLVN6+86pu6MhQLbBlw==" saltValue="T/4TVRWB9ERBBm3UM+L04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167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141</v>
      </c>
      <c r="C8" s="92"/>
      <c r="D8" s="92"/>
      <c r="E8" s="92"/>
      <c r="F8" s="93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274</v>
      </c>
      <c r="C10" s="22">
        <v>4479588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4479588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-23772.366624783139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-89591.76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4473409.6046468858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142</v>
      </c>
      <c r="C16" s="92"/>
      <c r="D16" s="92"/>
      <c r="E16" s="92"/>
      <c r="F16" s="93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143</v>
      </c>
      <c r="C24" s="92"/>
      <c r="D24" s="92"/>
      <c r="E24" s="92"/>
      <c r="F24" s="93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275</v>
      </c>
      <c r="C26" s="22">
        <v>0</v>
      </c>
      <c r="D26" s="14" t="s">
        <v>3</v>
      </c>
      <c r="E26" s="9"/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1" t="s">
        <v>223</v>
      </c>
      <c r="C32" s="92"/>
      <c r="D32" s="92"/>
      <c r="E32" s="92"/>
      <c r="F32" s="93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pF/lmfYvTzptERvBhmnFZNnipLc0jOSnJWUjcj2thjtfVKGY4n5cANdU0xZ24p1vy4q7YhTzmEGdkenTOBfpg==" saltValue="v3OAS8UykUEvixBqc2N6t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169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125</v>
      </c>
      <c r="C8" s="92"/>
      <c r="D8" s="92"/>
      <c r="E8" s="92"/>
      <c r="F8" s="93"/>
      <c r="G8" s="1"/>
    </row>
    <row r="9" spans="1:7" x14ac:dyDescent="0.25">
      <c r="A9" s="1"/>
      <c r="B9" s="111" t="s">
        <v>207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2" t="s">
        <v>10</v>
      </c>
      <c r="C10" s="83"/>
      <c r="D10" s="89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2" t="s">
        <v>29</v>
      </c>
      <c r="C11" s="83"/>
      <c r="D11" s="89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1" t="s">
        <v>128</v>
      </c>
      <c r="C12" s="92"/>
      <c r="D12" s="93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126</v>
      </c>
      <c r="C14" s="92"/>
      <c r="D14" s="92"/>
      <c r="E14" s="92"/>
      <c r="F14" s="93"/>
      <c r="G14" s="1"/>
    </row>
    <row r="15" spans="1:7" x14ac:dyDescent="0.25">
      <c r="A15" s="1"/>
      <c r="B15" s="111" t="s">
        <v>207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2" t="s">
        <v>10</v>
      </c>
      <c r="C16" s="83"/>
      <c r="D16" s="89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2" t="s">
        <v>29</v>
      </c>
      <c r="C17" s="83"/>
      <c r="D17" s="89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1" t="s">
        <v>129</v>
      </c>
      <c r="C18" s="92"/>
      <c r="D18" s="93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127</v>
      </c>
      <c r="C20" s="92"/>
      <c r="D20" s="92"/>
      <c r="E20" s="92"/>
      <c r="F20" s="93"/>
      <c r="G20" s="1"/>
    </row>
    <row r="21" spans="1:7" x14ac:dyDescent="0.25">
      <c r="A21" s="1"/>
      <c r="B21" s="111" t="s">
        <v>207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2" t="s">
        <v>10</v>
      </c>
      <c r="C22" s="83"/>
      <c r="D22" s="89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2" t="s">
        <v>29</v>
      </c>
      <c r="C23" s="83"/>
      <c r="D23" s="89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1" t="s">
        <v>130</v>
      </c>
      <c r="C24" s="92"/>
      <c r="D24" s="93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208</v>
      </c>
      <c r="C26" s="92"/>
      <c r="D26" s="92"/>
      <c r="E26" s="92"/>
      <c r="F26" s="93"/>
      <c r="G26" s="1"/>
    </row>
    <row r="27" spans="1:7" x14ac:dyDescent="0.25">
      <c r="A27" s="1"/>
      <c r="B27" s="111" t="s">
        <v>207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2" t="s">
        <v>10</v>
      </c>
      <c r="C28" s="83"/>
      <c r="D28" s="89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2" t="s">
        <v>29</v>
      </c>
      <c r="C29" s="83"/>
      <c r="D29" s="89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1" t="s">
        <v>209</v>
      </c>
      <c r="C30" s="92"/>
      <c r="D30" s="93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210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211</v>
      </c>
      <c r="C8" s="92"/>
      <c r="D8" s="92"/>
      <c r="E8" s="92"/>
      <c r="F8" s="93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166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132</v>
      </c>
      <c r="C8" s="92"/>
      <c r="D8" s="92"/>
      <c r="E8" s="92"/>
      <c r="F8" s="93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131</v>
      </c>
      <c r="C14" s="92"/>
      <c r="D14" s="92"/>
      <c r="E14" s="92"/>
      <c r="F14" s="93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133</v>
      </c>
      <c r="C20" s="92"/>
      <c r="D20" s="92"/>
      <c r="E20" s="92"/>
      <c r="F20" s="93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227</v>
      </c>
      <c r="C26" s="92"/>
      <c r="D26" s="92"/>
      <c r="E26" s="92"/>
      <c r="F26" s="93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8" t="s">
        <v>257</v>
      </c>
      <c r="C3" s="88"/>
      <c r="D3" s="1"/>
    </row>
    <row r="4" spans="1:4" ht="25.5" customHeight="1" x14ac:dyDescent="0.25">
      <c r="A4" s="1"/>
      <c r="B4" s="88"/>
      <c r="C4" s="8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185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159496447.79943988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70270.972800000003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624748.97732800001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3150559.2650405271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-866826.71518597286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-914948.40825894324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-3393168.8656080309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158167083.02555543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4080538.2852914399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4473409.6046468858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4473409.6046468858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ØR2019'!E31</f>
        <v>-11271533.325691819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155449497.58980194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188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158167083.02555543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1929638.4129117765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-849604.46305799123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-907588.56326290837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-3231830.9298432213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155107697.48230308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4130320.8523719953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ØR2019'!E39</f>
        <v>-3023586.7891178131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156214431.54555726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189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155107697.48230308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1892313.9092840978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-833170.78063784866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-900287.92086002138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-3181299.6373396576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152085253.05274963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4180710.7667709338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ØR2019'!E39</f>
        <v>-3023586.7891178131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153242377.03040275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191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152085253.05274963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1855440.0872435456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-816935.52974004683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-893046.00482462335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-3131558.4268600335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149099153.17856851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4231715.4381255396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153330868.61669406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194</v>
      </c>
      <c r="C3" s="88"/>
      <c r="D3" s="88"/>
      <c r="E3" s="88"/>
      <c r="F3" s="88"/>
      <c r="G3" s="1"/>
    </row>
    <row r="4" spans="1:7" ht="29.2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9" t="s">
        <v>25</v>
      </c>
      <c r="C9" s="80"/>
      <c r="D9" s="81"/>
      <c r="E9" s="7">
        <v>160471329.04930389</v>
      </c>
      <c r="F9" s="8" t="s">
        <v>3</v>
      </c>
      <c r="G9" s="1"/>
    </row>
    <row r="10" spans="1:7" ht="15" customHeight="1" x14ac:dyDescent="0.25">
      <c r="A10" s="1"/>
      <c r="B10" s="82" t="s">
        <v>48</v>
      </c>
      <c r="C10" s="83"/>
      <c r="D10" s="89"/>
      <c r="E10" s="7">
        <v>75386.421000000002</v>
      </c>
      <c r="F10" s="8" t="s">
        <v>3</v>
      </c>
      <c r="G10" s="1"/>
    </row>
    <row r="11" spans="1:7" ht="15" customHeight="1" x14ac:dyDescent="0.25">
      <c r="A11" s="1"/>
      <c r="B11" s="82" t="s">
        <v>49</v>
      </c>
      <c r="C11" s="83"/>
      <c r="D11" s="89"/>
      <c r="E11" s="9">
        <v>963461.26766999997</v>
      </c>
      <c r="F11" s="8" t="s">
        <v>3</v>
      </c>
      <c r="G11" s="1"/>
    </row>
    <row r="12" spans="1:7" ht="15" customHeight="1" x14ac:dyDescent="0.25">
      <c r="A12" s="1"/>
      <c r="B12" s="82" t="s">
        <v>32</v>
      </c>
      <c r="C12" s="83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79" t="s">
        <v>31</v>
      </c>
      <c r="C13" s="80"/>
      <c r="D13" s="81"/>
      <c r="E13" s="9">
        <v>0</v>
      </c>
      <c r="F13" s="8" t="s">
        <v>3</v>
      </c>
      <c r="G13" s="1"/>
    </row>
    <row r="14" spans="1:7" ht="15" customHeight="1" x14ac:dyDescent="0.25">
      <c r="A14" s="1"/>
      <c r="B14" s="79" t="s">
        <v>34</v>
      </c>
      <c r="C14" s="80"/>
      <c r="D14" s="81"/>
      <c r="E14" s="9">
        <v>0</v>
      </c>
      <c r="F14" s="8" t="s">
        <v>3</v>
      </c>
      <c r="G14" s="1"/>
    </row>
    <row r="15" spans="1:7" ht="15" customHeight="1" x14ac:dyDescent="0.25">
      <c r="A15" s="1"/>
      <c r="B15" s="79" t="s">
        <v>33</v>
      </c>
      <c r="C15" s="80"/>
      <c r="D15" s="81"/>
      <c r="E15" s="9">
        <v>0</v>
      </c>
      <c r="F15" s="8" t="s">
        <v>3</v>
      </c>
      <c r="G15" s="1"/>
    </row>
    <row r="16" spans="1:7" ht="15" customHeight="1" x14ac:dyDescent="0.25">
      <c r="A16" s="1"/>
      <c r="B16" s="79" t="s">
        <v>20</v>
      </c>
      <c r="C16" s="80"/>
      <c r="D16" s="81"/>
      <c r="E16" s="9">
        <f>SUM(E9:E15)*'Fane 14. Nøgletal'!C12</f>
        <v>3181750.4817380854</v>
      </c>
      <c r="F16" s="8" t="s">
        <v>3</v>
      </c>
      <c r="G16" s="1"/>
    </row>
    <row r="17" spans="1:7" ht="15" customHeight="1" x14ac:dyDescent="0.25">
      <c r="A17" s="1"/>
      <c r="B17" s="79" t="s">
        <v>10</v>
      </c>
      <c r="C17" s="80"/>
      <c r="D17" s="81"/>
      <c r="E17" s="9">
        <f>-SUM(E9:E16)*'Fane 5. Individuelt eff. krav'!G11</f>
        <v>-873990.39242204744</v>
      </c>
      <c r="F17" s="8" t="s">
        <v>3</v>
      </c>
      <c r="G17" s="1"/>
    </row>
    <row r="18" spans="1:7" ht="15" customHeight="1" x14ac:dyDescent="0.25">
      <c r="A18" s="1"/>
      <c r="B18" s="79" t="s">
        <v>29</v>
      </c>
      <c r="C18" s="80"/>
      <c r="D18" s="81"/>
      <c r="E18" s="9">
        <f>-'Fane 4.1. Gen. krav - drift'!G28</f>
        <v>-914160.26991289959</v>
      </c>
      <c r="F18" s="8" t="s">
        <v>3</v>
      </c>
      <c r="G18" s="1"/>
    </row>
    <row r="19" spans="1:7" ht="15" customHeight="1" x14ac:dyDescent="0.25">
      <c r="A19" s="1"/>
      <c r="B19" s="79" t="s">
        <v>30</v>
      </c>
      <c r="C19" s="80"/>
      <c r="D19" s="81"/>
      <c r="E19" s="9">
        <f>-'Fane 4.2. Gen. krav - anlæg'!G25</f>
        <v>-3407328.7579371613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159496447.79943988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6" t="s">
        <v>13</v>
      </c>
      <c r="C22" s="87"/>
      <c r="D22" s="90"/>
      <c r="E22" s="10">
        <v>4041083.3825924103</v>
      </c>
      <c r="F22" s="11" t="s">
        <v>3</v>
      </c>
      <c r="G22" s="1"/>
    </row>
    <row r="23" spans="1:7" ht="15" customHeight="1" x14ac:dyDescent="0.25">
      <c r="A23" s="1"/>
      <c r="B23" s="91" t="s">
        <v>114</v>
      </c>
      <c r="C23" s="92"/>
      <c r="D23" s="93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2" t="s">
        <v>109</v>
      </c>
      <c r="C26" s="83"/>
      <c r="D26" s="89"/>
      <c r="E26" s="9">
        <v>8633987.5034882706</v>
      </c>
      <c r="F26" s="8" t="s">
        <v>3</v>
      </c>
      <c r="G26" s="1"/>
    </row>
    <row r="27" spans="1:7" ht="15" customHeight="1" x14ac:dyDescent="0.25">
      <c r="A27" s="1"/>
      <c r="B27" s="82" t="s">
        <v>110</v>
      </c>
      <c r="C27" s="83"/>
      <c r="D27" s="83"/>
      <c r="E27" s="9">
        <v>0</v>
      </c>
      <c r="F27" s="8" t="s">
        <v>3</v>
      </c>
      <c r="G27" s="1"/>
    </row>
    <row r="28" spans="1:7" ht="15" customHeight="1" x14ac:dyDescent="0.25">
      <c r="A28" s="1"/>
      <c r="B28" s="84" t="s">
        <v>115</v>
      </c>
      <c r="C28" s="85"/>
      <c r="D28" s="85"/>
      <c r="E28" s="46">
        <v>8415488.7369449548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6" t="s">
        <v>260</v>
      </c>
      <c r="C30" s="87"/>
      <c r="D30" s="87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6" t="s">
        <v>262</v>
      </c>
      <c r="C32" s="87"/>
      <c r="D32" s="87"/>
      <c r="E32" s="46">
        <v>-11271533.325691819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6" t="s">
        <v>264</v>
      </c>
      <c r="C34" s="87"/>
      <c r="D34" s="90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160681486.59328541</v>
      </c>
      <c r="F35" s="13" t="s">
        <v>3</v>
      </c>
      <c r="G35" s="1"/>
    </row>
    <row r="36" spans="1:7" ht="27" customHeight="1" x14ac:dyDescent="0.25">
      <c r="A36" s="1"/>
      <c r="B36" s="79" t="s">
        <v>218</v>
      </c>
      <c r="C36" s="80"/>
      <c r="D36" s="80"/>
      <c r="E36" s="80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8" t="s">
        <v>163</v>
      </c>
      <c r="C2" s="88"/>
      <c r="D2" s="88"/>
      <c r="E2" s="88"/>
      <c r="F2" s="88"/>
      <c r="G2" s="88"/>
      <c r="H2" s="88"/>
      <c r="I2" s="1"/>
    </row>
    <row r="3" spans="1:9" ht="28.5" customHeight="1" x14ac:dyDescent="0.25">
      <c r="A3" s="1"/>
      <c r="B3" s="88"/>
      <c r="C3" s="88"/>
      <c r="D3" s="88"/>
      <c r="E3" s="88"/>
      <c r="F3" s="88"/>
      <c r="G3" s="88"/>
      <c r="H3" s="88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1" t="s">
        <v>67</v>
      </c>
      <c r="C5" s="92"/>
      <c r="D5" s="92"/>
      <c r="E5" s="92"/>
      <c r="F5" s="92"/>
      <c r="G5" s="92"/>
      <c r="H5" s="93"/>
      <c r="I5" s="1"/>
    </row>
    <row r="6" spans="1:9" x14ac:dyDescent="0.25">
      <c r="A6" s="1"/>
      <c r="B6" s="94" t="s">
        <v>56</v>
      </c>
      <c r="C6" s="95"/>
      <c r="D6" s="95"/>
      <c r="E6" s="95"/>
      <c r="F6" s="96"/>
      <c r="G6" s="24">
        <v>45816382.663737297</v>
      </c>
      <c r="H6" s="14" t="s">
        <v>3</v>
      </c>
      <c r="I6" s="1"/>
    </row>
    <row r="7" spans="1:9" x14ac:dyDescent="0.25">
      <c r="A7" s="1"/>
      <c r="B7" s="79" t="s">
        <v>181</v>
      </c>
      <c r="C7" s="80"/>
      <c r="D7" s="80"/>
      <c r="E7" s="80"/>
      <c r="F7" s="81"/>
      <c r="G7" s="24">
        <v>0</v>
      </c>
      <c r="H7" s="14" t="s">
        <v>3</v>
      </c>
      <c r="I7" s="1"/>
    </row>
    <row r="8" spans="1:9" x14ac:dyDescent="0.25">
      <c r="A8" s="1"/>
      <c r="B8" s="94" t="s">
        <v>57</v>
      </c>
      <c r="C8" s="95"/>
      <c r="D8" s="95"/>
      <c r="E8" s="95"/>
      <c r="F8" s="96"/>
      <c r="G8" s="24">
        <f>SUM(G6:G7)*'Fane 14. Nøgletal'!C27</f>
        <v>916327.65327474591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1" t="s">
        <v>68</v>
      </c>
      <c r="C11" s="92"/>
      <c r="D11" s="92"/>
      <c r="E11" s="92"/>
      <c r="F11" s="92"/>
      <c r="G11" s="92"/>
      <c r="H11" s="93"/>
      <c r="I11" s="1"/>
    </row>
    <row r="12" spans="1:9" x14ac:dyDescent="0.25">
      <c r="A12" s="1"/>
      <c r="B12" s="94" t="s">
        <v>58</v>
      </c>
      <c r="C12" s="95"/>
      <c r="D12" s="95"/>
      <c r="E12" s="95"/>
      <c r="F12" s="96"/>
      <c r="G12" s="24">
        <f>(G6-G8)*(1+'Fane 14. Nøgletal'!C10)</f>
        <v>45685805.973145649</v>
      </c>
      <c r="H12" s="14" t="s">
        <v>3</v>
      </c>
      <c r="I12" s="1"/>
    </row>
    <row r="13" spans="1:9" ht="15" customHeight="1" x14ac:dyDescent="0.25">
      <c r="A13" s="1"/>
      <c r="B13" s="94" t="s">
        <v>182</v>
      </c>
      <c r="C13" s="95"/>
      <c r="D13" s="95"/>
      <c r="E13" s="95"/>
      <c r="F13" s="96"/>
      <c r="G13" s="24">
        <v>0</v>
      </c>
      <c r="H13" s="14" t="s">
        <v>3</v>
      </c>
      <c r="I13" s="1"/>
    </row>
    <row r="14" spans="1:9" x14ac:dyDescent="0.25">
      <c r="A14" s="1"/>
      <c r="B14" s="79" t="s">
        <v>179</v>
      </c>
      <c r="C14" s="80"/>
      <c r="D14" s="80"/>
      <c r="E14" s="80"/>
      <c r="F14" s="81"/>
      <c r="G14" s="24">
        <v>0</v>
      </c>
      <c r="H14" s="14" t="s">
        <v>3</v>
      </c>
      <c r="I14" s="1"/>
    </row>
    <row r="15" spans="1:9" x14ac:dyDescent="0.25">
      <c r="A15" s="1"/>
      <c r="B15" s="97" t="s">
        <v>59</v>
      </c>
      <c r="C15" s="98"/>
      <c r="D15" s="98"/>
      <c r="E15" s="98"/>
      <c r="F15" s="99"/>
      <c r="G15" s="24">
        <v>0</v>
      </c>
      <c r="H15" s="14" t="s">
        <v>3</v>
      </c>
      <c r="I15" s="1"/>
    </row>
    <row r="16" spans="1:9" x14ac:dyDescent="0.25">
      <c r="A16" s="1"/>
      <c r="B16" s="94" t="s">
        <v>60</v>
      </c>
      <c r="C16" s="95"/>
      <c r="D16" s="95"/>
      <c r="E16" s="95"/>
      <c r="F16" s="96"/>
      <c r="G16" s="24">
        <f>SUM(G12:G15)*'Fane 14. Nøgletal'!C27</f>
        <v>913716.11946291302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1" t="s">
        <v>69</v>
      </c>
      <c r="C19" s="92"/>
      <c r="D19" s="92"/>
      <c r="E19" s="92"/>
      <c r="F19" s="92"/>
      <c r="G19" s="92"/>
      <c r="H19" s="93"/>
      <c r="I19" s="1"/>
    </row>
    <row r="20" spans="1:9" x14ac:dyDescent="0.25">
      <c r="A20" s="1"/>
      <c r="B20" s="94" t="s">
        <v>61</v>
      </c>
      <c r="C20" s="95"/>
      <c r="D20" s="95"/>
      <c r="E20" s="95"/>
      <c r="F20" s="96"/>
      <c r="G20" s="24">
        <f>(SUM(G12:G13,G15)-(G16))*(1+'Fane 14. Nøgletal'!C10)</f>
        <v>45555601.426122189</v>
      </c>
      <c r="H20" s="14" t="s">
        <v>3</v>
      </c>
      <c r="I20" s="1"/>
    </row>
    <row r="21" spans="1:9" x14ac:dyDescent="0.25">
      <c r="A21" s="1"/>
      <c r="B21" s="97" t="s">
        <v>62</v>
      </c>
      <c r="C21" s="98"/>
      <c r="D21" s="98"/>
      <c r="E21" s="98"/>
      <c r="F21" s="99"/>
      <c r="G21" s="24">
        <f>7669400.36921161-7312905*1.0169^2</f>
        <v>107230.54141456168</v>
      </c>
      <c r="H21" s="14" t="s">
        <v>3</v>
      </c>
      <c r="I21" s="1"/>
    </row>
    <row r="22" spans="1:9" x14ac:dyDescent="0.25">
      <c r="A22" s="1"/>
      <c r="B22" s="94" t="s">
        <v>63</v>
      </c>
      <c r="C22" s="95"/>
      <c r="D22" s="95"/>
      <c r="E22" s="95"/>
      <c r="F22" s="96"/>
      <c r="G22" s="24">
        <f>SUM(G20:G21)*'Fane 14. Nøgletal'!C27</f>
        <v>913256.639350735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1" t="s">
        <v>70</v>
      </c>
      <c r="C25" s="92"/>
      <c r="D25" s="92"/>
      <c r="E25" s="92"/>
      <c r="F25" s="92"/>
      <c r="G25" s="92"/>
      <c r="H25" s="93"/>
      <c r="I25" s="1"/>
    </row>
    <row r="26" spans="1:9" x14ac:dyDescent="0.25">
      <c r="A26" s="1"/>
      <c r="B26" s="94" t="s">
        <v>64</v>
      </c>
      <c r="C26" s="95"/>
      <c r="D26" s="95"/>
      <c r="E26" s="95"/>
      <c r="F26" s="96"/>
      <c r="G26" s="24">
        <f>(G20+G21-G22)*(1+'Fane 14. Nøgletal'!C12)</f>
        <v>45631141.962151282</v>
      </c>
      <c r="H26" s="14" t="s">
        <v>3</v>
      </c>
      <c r="I26" s="1"/>
    </row>
    <row r="27" spans="1:9" x14ac:dyDescent="0.25">
      <c r="A27" s="1"/>
      <c r="B27" s="97" t="s">
        <v>65</v>
      </c>
      <c r="C27" s="98"/>
      <c r="D27" s="98"/>
      <c r="E27" s="98"/>
      <c r="F27" s="99"/>
      <c r="G27" s="24">
        <v>76871.533493700001</v>
      </c>
      <c r="H27" s="14" t="s">
        <v>3</v>
      </c>
      <c r="I27" s="1"/>
    </row>
    <row r="28" spans="1:9" x14ac:dyDescent="0.25">
      <c r="A28" s="1"/>
      <c r="B28" s="94" t="s">
        <v>66</v>
      </c>
      <c r="C28" s="95"/>
      <c r="D28" s="95"/>
      <c r="E28" s="95"/>
      <c r="F28" s="96"/>
      <c r="G28" s="24">
        <f>(G26+G27)*'Fane 14. Nøgletal'!C27</f>
        <v>914160.26991289959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1" t="s">
        <v>73</v>
      </c>
      <c r="C31" s="92"/>
      <c r="D31" s="92"/>
      <c r="E31" s="92"/>
      <c r="F31" s="92"/>
      <c r="G31" s="92"/>
      <c r="H31" s="93"/>
      <c r="I31" s="1"/>
    </row>
    <row r="32" spans="1:9" x14ac:dyDescent="0.25">
      <c r="A32" s="1"/>
      <c r="B32" s="94" t="s">
        <v>74</v>
      </c>
      <c r="C32" s="95"/>
      <c r="D32" s="95"/>
      <c r="E32" s="95"/>
      <c r="F32" s="96"/>
      <c r="G32" s="24">
        <f>(G26+G27-G28)*(1+'Fane 14. Nøgletal'!C12)</f>
        <v>45676292.134279005</v>
      </c>
      <c r="H32" s="14" t="s">
        <v>3</v>
      </c>
      <c r="I32" s="1"/>
    </row>
    <row r="33" spans="1:9" x14ac:dyDescent="0.25">
      <c r="A33" s="1"/>
      <c r="B33" s="94" t="s">
        <v>230</v>
      </c>
      <c r="C33" s="95"/>
      <c r="D33" s="95"/>
      <c r="E33" s="95"/>
      <c r="F33" s="96"/>
      <c r="G33" s="24">
        <f>SUM('Fane 2.1. Økonomisk ramme 2021'!C10,'Fane 2.1. Økonomisk ramme 2021'!C12,'Fane 2.1. Økonomisk ramme 2021'!C14)*(1+'Fane 14. Nøgletal'!C13)</f>
        <v>71128.278668159997</v>
      </c>
      <c r="H33" s="14" t="s">
        <v>3</v>
      </c>
      <c r="I33" s="1"/>
    </row>
    <row r="34" spans="1:9" x14ac:dyDescent="0.25">
      <c r="A34" s="1"/>
      <c r="B34" s="94" t="s">
        <v>75</v>
      </c>
      <c r="C34" s="95"/>
      <c r="D34" s="95"/>
      <c r="E34" s="95"/>
      <c r="F34" s="96"/>
      <c r="G34" s="24">
        <f>(G32+G33)*'Fane 14. Nøgletal'!C27</f>
        <v>914948.40825894324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1" t="s">
        <v>100</v>
      </c>
      <c r="C37" s="92"/>
      <c r="D37" s="92"/>
      <c r="E37" s="92"/>
      <c r="F37" s="92"/>
      <c r="G37" s="92"/>
      <c r="H37" s="93"/>
      <c r="I37" s="1"/>
    </row>
    <row r="38" spans="1:9" x14ac:dyDescent="0.25">
      <c r="A38" s="1"/>
      <c r="B38" s="94" t="s">
        <v>99</v>
      </c>
      <c r="C38" s="95"/>
      <c r="D38" s="95"/>
      <c r="E38" s="95"/>
      <c r="F38" s="96"/>
      <c r="G38" s="24">
        <f>(G32+G33-G34)*(1+'Fane 14. Nøgletal'!C13)</f>
        <v>45379428.163145415</v>
      </c>
      <c r="H38" s="14" t="s">
        <v>3</v>
      </c>
      <c r="I38" s="1"/>
    </row>
    <row r="39" spans="1:9" x14ac:dyDescent="0.25">
      <c r="A39" s="1"/>
      <c r="B39" s="94" t="s">
        <v>117</v>
      </c>
      <c r="C39" s="95"/>
      <c r="D39" s="95"/>
      <c r="E39" s="95"/>
      <c r="F39" s="96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4" t="s">
        <v>76</v>
      </c>
      <c r="C40" s="95"/>
      <c r="D40" s="95"/>
      <c r="E40" s="95"/>
      <c r="F40" s="96"/>
      <c r="G40" s="24">
        <f>(G38+G39)*'Fane 14. Nøgletal'!C27</f>
        <v>907588.56326290837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1" t="s">
        <v>101</v>
      </c>
      <c r="C43" s="92"/>
      <c r="D43" s="92"/>
      <c r="E43" s="92"/>
      <c r="F43" s="92"/>
      <c r="G43" s="92"/>
      <c r="H43" s="93"/>
      <c r="I43" s="1"/>
    </row>
    <row r="44" spans="1:9" x14ac:dyDescent="0.25">
      <c r="A44" s="1"/>
      <c r="B44" s="94" t="s">
        <v>98</v>
      </c>
      <c r="C44" s="95"/>
      <c r="D44" s="95"/>
      <c r="E44" s="95"/>
      <c r="F44" s="96"/>
      <c r="G44" s="24">
        <f>(G38+G39-G40)*(1+'Fane 14. Nøgletal'!C13)</f>
        <v>45014396.043001071</v>
      </c>
      <c r="H44" s="14" t="s">
        <v>3</v>
      </c>
      <c r="I44" s="1"/>
    </row>
    <row r="45" spans="1:9" x14ac:dyDescent="0.25">
      <c r="A45" s="1"/>
      <c r="B45" s="94" t="s">
        <v>118</v>
      </c>
      <c r="C45" s="95"/>
      <c r="D45" s="95"/>
      <c r="E45" s="95"/>
      <c r="F45" s="96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4" t="s">
        <v>77</v>
      </c>
      <c r="C46" s="95"/>
      <c r="D46" s="95"/>
      <c r="E46" s="95"/>
      <c r="F46" s="96"/>
      <c r="G46" s="24">
        <f>(G44+G45)*'Fane 14. Nøgletal'!C27</f>
        <v>900287.92086002138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1" t="s">
        <v>231</v>
      </c>
      <c r="C51" s="92"/>
      <c r="D51" s="92"/>
      <c r="E51" s="92"/>
      <c r="F51" s="92"/>
      <c r="G51" s="92"/>
      <c r="H51" s="93"/>
      <c r="I51" s="1"/>
    </row>
    <row r="52" spans="1:9" x14ac:dyDescent="0.25">
      <c r="A52" s="1"/>
      <c r="B52" s="94" t="s">
        <v>232</v>
      </c>
      <c r="C52" s="95"/>
      <c r="D52" s="95"/>
      <c r="E52" s="95"/>
      <c r="F52" s="96"/>
      <c r="G52" s="24">
        <f>(G44+G45-G46)*(1+'Fane 14. Nøgletal'!C13)</f>
        <v>44652300.241231166</v>
      </c>
      <c r="H52" s="14" t="s">
        <v>3</v>
      </c>
      <c r="I52" s="1"/>
    </row>
    <row r="53" spans="1:9" x14ac:dyDescent="0.25">
      <c r="A53" s="1"/>
      <c r="B53" s="94" t="s">
        <v>233</v>
      </c>
      <c r="C53" s="95"/>
      <c r="D53" s="95"/>
      <c r="E53" s="95"/>
      <c r="F53" s="96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4" t="s">
        <v>234</v>
      </c>
      <c r="C54" s="95"/>
      <c r="D54" s="95"/>
      <c r="E54" s="95"/>
      <c r="F54" s="96"/>
      <c r="G54" s="24">
        <f>(G52+G53)*'Fane 14. Nøgletal'!C27</f>
        <v>893046.00482462335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1.140625" style="2" customWidth="1"/>
    <col min="7" max="7" width="12.42578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0" t="s">
        <v>164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25">
      <c r="A4" s="1"/>
      <c r="B4" s="91" t="s">
        <v>71</v>
      </c>
      <c r="C4" s="92"/>
      <c r="D4" s="92"/>
      <c r="E4" s="92"/>
      <c r="F4" s="92"/>
      <c r="G4" s="92"/>
      <c r="H4" s="93"/>
      <c r="I4" s="1"/>
    </row>
    <row r="5" spans="1:9" x14ac:dyDescent="0.25">
      <c r="A5" s="1"/>
      <c r="B5" s="94" t="s">
        <v>78</v>
      </c>
      <c r="C5" s="95"/>
      <c r="D5" s="95"/>
      <c r="E5" s="95"/>
      <c r="F5" s="96"/>
      <c r="G5" s="24">
        <v>116607776.06762899</v>
      </c>
      <c r="H5" s="14" t="s">
        <v>3</v>
      </c>
      <c r="I5" s="1"/>
    </row>
    <row r="6" spans="1:9" x14ac:dyDescent="0.25">
      <c r="A6" s="1"/>
      <c r="B6" s="94" t="s">
        <v>72</v>
      </c>
      <c r="C6" s="95"/>
      <c r="D6" s="95"/>
      <c r="E6" s="95"/>
      <c r="F6" s="96"/>
      <c r="G6" s="24">
        <f>G5*'Fane 14. Nøgletal'!C18</f>
        <v>1061130.7622154239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1" t="s">
        <v>79</v>
      </c>
      <c r="C9" s="92"/>
      <c r="D9" s="92"/>
      <c r="E9" s="92"/>
      <c r="F9" s="92"/>
      <c r="G9" s="92"/>
      <c r="H9" s="93"/>
      <c r="I9" s="1"/>
    </row>
    <row r="10" spans="1:9" x14ac:dyDescent="0.25">
      <c r="A10" s="1"/>
      <c r="B10" s="94" t="s">
        <v>80</v>
      </c>
      <c r="C10" s="95"/>
      <c r="D10" s="95"/>
      <c r="E10" s="95"/>
      <c r="F10" s="96"/>
      <c r="G10" s="24">
        <f>(G5-G6)*(1+'Fane 14. Nøgletal'!C10)</f>
        <v>117568711.59825832</v>
      </c>
      <c r="H10" s="14" t="s">
        <v>3</v>
      </c>
      <c r="I10" s="1"/>
    </row>
    <row r="11" spans="1:9" x14ac:dyDescent="0.25">
      <c r="A11" s="1"/>
      <c r="B11" s="94" t="s">
        <v>183</v>
      </c>
      <c r="C11" s="95"/>
      <c r="D11" s="95"/>
      <c r="E11" s="95"/>
      <c r="F11" s="96"/>
      <c r="G11" s="24">
        <v>-165378.52922006062</v>
      </c>
      <c r="H11" s="14" t="s">
        <v>3</v>
      </c>
      <c r="I11" s="1"/>
    </row>
    <row r="12" spans="1:9" x14ac:dyDescent="0.25">
      <c r="A12" s="1"/>
      <c r="B12" s="97" t="s">
        <v>81</v>
      </c>
      <c r="C12" s="98"/>
      <c r="D12" s="98"/>
      <c r="E12" s="98"/>
      <c r="F12" s="99"/>
      <c r="G12" s="24">
        <v>0</v>
      </c>
      <c r="H12" s="14" t="s">
        <v>3</v>
      </c>
      <c r="I12" s="1"/>
    </row>
    <row r="13" spans="1:9" x14ac:dyDescent="0.25">
      <c r="A13" s="1"/>
      <c r="B13" s="94" t="s">
        <v>82</v>
      </c>
      <c r="C13" s="95"/>
      <c r="D13" s="95"/>
      <c r="E13" s="95"/>
      <c r="F13" s="96"/>
      <c r="G13" s="24">
        <f>SUM(G10:G12)*'Fane 14. Nøgletal'!C19</f>
        <v>2078038.9953219772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1" t="s">
        <v>83</v>
      </c>
      <c r="C16" s="92"/>
      <c r="D16" s="92"/>
      <c r="E16" s="92"/>
      <c r="F16" s="92"/>
      <c r="G16" s="92"/>
      <c r="H16" s="93"/>
      <c r="I16" s="1"/>
    </row>
    <row r="17" spans="1:9" x14ac:dyDescent="0.25">
      <c r="A17" s="1"/>
      <c r="B17" s="94" t="s">
        <v>84</v>
      </c>
      <c r="C17" s="95"/>
      <c r="D17" s="95"/>
      <c r="E17" s="95"/>
      <c r="F17" s="96"/>
      <c r="G17" s="24">
        <f>(SUM(G10:G12)-G13)*(1+'Fane 14. Nøgletal'!C10)</f>
        <v>117343486.72000633</v>
      </c>
      <c r="H17" s="14" t="s">
        <v>3</v>
      </c>
      <c r="I17" s="1"/>
    </row>
    <row r="18" spans="1:9" x14ac:dyDescent="0.25">
      <c r="A18" s="1"/>
      <c r="B18" s="97" t="s">
        <v>85</v>
      </c>
      <c r="C18" s="98"/>
      <c r="D18" s="98"/>
      <c r="E18" s="98"/>
      <c r="F18" s="99"/>
      <c r="G18" s="24">
        <v>1441061.3767572097</v>
      </c>
      <c r="H18" s="14" t="s">
        <v>3</v>
      </c>
      <c r="I18" s="1"/>
    </row>
    <row r="19" spans="1:9" x14ac:dyDescent="0.25">
      <c r="A19" s="1"/>
      <c r="B19" s="94" t="s">
        <v>86</v>
      </c>
      <c r="C19" s="95"/>
      <c r="D19" s="95"/>
      <c r="E19" s="95"/>
      <c r="F19" s="96"/>
      <c r="G19" s="24">
        <f>G17*'Fane 14. Nøgletal'!C19+G18*'Fane 14. Nøgletal'!C20</f>
        <v>2089516.9489218998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1" t="s">
        <v>87</v>
      </c>
      <c r="C22" s="92"/>
      <c r="D22" s="92"/>
      <c r="E22" s="92"/>
      <c r="F22" s="92"/>
      <c r="G22" s="92"/>
      <c r="H22" s="93"/>
      <c r="I22" s="1"/>
    </row>
    <row r="23" spans="1:9" x14ac:dyDescent="0.25">
      <c r="A23" s="1"/>
      <c r="B23" s="94" t="s">
        <v>88</v>
      </c>
      <c r="C23" s="95"/>
      <c r="D23" s="95"/>
      <c r="E23" s="95"/>
      <c r="F23" s="96"/>
      <c r="G23" s="24">
        <f>(G17+G18-G19)*(1+'Fane 14. Nøgletal'!C12)</f>
        <v>118993923.26145412</v>
      </c>
      <c r="H23" s="14" t="s">
        <v>3</v>
      </c>
      <c r="I23" s="1"/>
    </row>
    <row r="24" spans="1:9" x14ac:dyDescent="0.25">
      <c r="A24" s="1"/>
      <c r="B24" s="97" t="s">
        <v>89</v>
      </c>
      <c r="C24" s="98"/>
      <c r="D24" s="98"/>
      <c r="E24" s="98"/>
      <c r="F24" s="99"/>
      <c r="G24" s="24">
        <v>982441.45464309899</v>
      </c>
      <c r="H24" s="14" t="s">
        <v>3</v>
      </c>
      <c r="I24" s="1"/>
    </row>
    <row r="25" spans="1:9" x14ac:dyDescent="0.25">
      <c r="A25" s="1"/>
      <c r="B25" s="94" t="s">
        <v>90</v>
      </c>
      <c r="C25" s="95"/>
      <c r="D25" s="95"/>
      <c r="E25" s="95"/>
      <c r="F25" s="96"/>
      <c r="G25" s="24">
        <f>(G23+G24)*'Fane 14. Nøgletal'!C21</f>
        <v>3407328.7579371613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1" t="s">
        <v>91</v>
      </c>
      <c r="C28" s="92"/>
      <c r="D28" s="92"/>
      <c r="E28" s="92"/>
      <c r="F28" s="92"/>
      <c r="G28" s="92"/>
      <c r="H28" s="93"/>
      <c r="I28" s="1"/>
    </row>
    <row r="29" spans="1:9" x14ac:dyDescent="0.25">
      <c r="A29" s="1"/>
      <c r="B29" s="94" t="s">
        <v>92</v>
      </c>
      <c r="C29" s="95"/>
      <c r="D29" s="95"/>
      <c r="E29" s="95"/>
      <c r="F29" s="96"/>
      <c r="G29" s="24">
        <f>(G23+G24-G25)*(1+'Fane 14. Nøgletal'!C12)</f>
        <v>118865445.96653582</v>
      </c>
      <c r="H29" s="14" t="s">
        <v>3</v>
      </c>
      <c r="I29" s="1"/>
    </row>
    <row r="30" spans="1:9" x14ac:dyDescent="0.25">
      <c r="A30" s="1"/>
      <c r="B30" s="94" t="s">
        <v>235</v>
      </c>
      <c r="C30" s="95"/>
      <c r="D30" s="95"/>
      <c r="E30" s="95"/>
      <c r="F30" s="96"/>
      <c r="G30" s="24">
        <f>SUM('Fane 2.1. Økonomisk ramme 2021'!C11,'Fane 2.1. Økonomisk ramme 2021'!C13,'Fane 2.1. Økonomisk ramme 2021'!C15)*(1+'Fane 14. Nøgletal'!C13)</f>
        <v>632370.91485140158</v>
      </c>
      <c r="H30" s="14" t="s">
        <v>3</v>
      </c>
      <c r="I30" s="1"/>
    </row>
    <row r="31" spans="1:9" x14ac:dyDescent="0.25">
      <c r="A31" s="1"/>
      <c r="B31" s="94" t="s">
        <v>93</v>
      </c>
      <c r="C31" s="95"/>
      <c r="D31" s="95"/>
      <c r="E31" s="95"/>
      <c r="F31" s="96"/>
      <c r="G31" s="24">
        <f>G29*'Fane 14. Nøgletal'!C21+G30*'Fane 14. Nøgletal'!C22</f>
        <v>3393168.8656080309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1" t="s">
        <v>102</v>
      </c>
      <c r="C34" s="92"/>
      <c r="D34" s="92"/>
      <c r="E34" s="92"/>
      <c r="F34" s="92"/>
      <c r="G34" s="92"/>
      <c r="H34" s="93"/>
      <c r="I34" s="1"/>
    </row>
    <row r="35" spans="1:9" x14ac:dyDescent="0.25">
      <c r="A35" s="1"/>
      <c r="B35" s="94" t="s">
        <v>97</v>
      </c>
      <c r="C35" s="95"/>
      <c r="D35" s="95"/>
      <c r="E35" s="95"/>
      <c r="F35" s="96"/>
      <c r="G35" s="24">
        <f>(G29+G30-G31)*(1+'Fane 14. Nøgletal'!C13)</f>
        <v>117521124.72157168</v>
      </c>
      <c r="H35" s="14" t="s">
        <v>3</v>
      </c>
      <c r="I35" s="1"/>
    </row>
    <row r="36" spans="1:9" x14ac:dyDescent="0.25">
      <c r="A36" s="1"/>
      <c r="B36" s="94" t="s">
        <v>122</v>
      </c>
      <c r="C36" s="95"/>
      <c r="D36" s="95"/>
      <c r="E36" s="95"/>
      <c r="F36" s="96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4" t="s">
        <v>94</v>
      </c>
      <c r="C37" s="95"/>
      <c r="D37" s="95"/>
      <c r="E37" s="95"/>
      <c r="F37" s="96"/>
      <c r="G37" s="24">
        <f>(G35+G36)*'Fane 14. Nøgletal'!C22</f>
        <v>3231830.9298432213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1" t="s">
        <v>103</v>
      </c>
      <c r="C40" s="92"/>
      <c r="D40" s="92"/>
      <c r="E40" s="92"/>
      <c r="F40" s="92"/>
      <c r="G40" s="92"/>
      <c r="H40" s="93"/>
      <c r="I40" s="1"/>
    </row>
    <row r="41" spans="1:9" x14ac:dyDescent="0.25">
      <c r="A41" s="1"/>
      <c r="B41" s="94" t="s">
        <v>96</v>
      </c>
      <c r="C41" s="95"/>
      <c r="D41" s="95"/>
      <c r="E41" s="95"/>
      <c r="F41" s="96"/>
      <c r="G41" s="24">
        <f>(G35+G36-G37)*(1+'Fane 14. Nøgletal'!C13)</f>
        <v>115683623.17598756</v>
      </c>
      <c r="H41" s="14" t="s">
        <v>3</v>
      </c>
      <c r="I41" s="1"/>
    </row>
    <row r="42" spans="1:9" x14ac:dyDescent="0.25">
      <c r="A42" s="1"/>
      <c r="B42" s="94" t="s">
        <v>123</v>
      </c>
      <c r="C42" s="95"/>
      <c r="D42" s="95"/>
      <c r="E42" s="95"/>
      <c r="F42" s="96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4" t="s">
        <v>95</v>
      </c>
      <c r="C43" s="95"/>
      <c r="D43" s="95"/>
      <c r="E43" s="95"/>
      <c r="F43" s="96"/>
      <c r="G43" s="24">
        <f>(G41+G42)*'Fane 14. Nøgletal'!C22</f>
        <v>3181299.6373396576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1" t="s">
        <v>240</v>
      </c>
      <c r="C46" s="92"/>
      <c r="D46" s="92"/>
      <c r="E46" s="92"/>
      <c r="F46" s="92"/>
      <c r="G46" s="92"/>
      <c r="H46" s="93"/>
      <c r="I46" s="1"/>
    </row>
    <row r="47" spans="1:9" x14ac:dyDescent="0.25">
      <c r="A47" s="1"/>
      <c r="B47" s="94" t="s">
        <v>241</v>
      </c>
      <c r="C47" s="95"/>
      <c r="D47" s="95"/>
      <c r="E47" s="95"/>
      <c r="F47" s="96"/>
      <c r="G47" s="24">
        <f>(G41+G42-G43)*(1+'Fane 14. Nøgletal'!C13)</f>
        <v>113874851.88581941</v>
      </c>
      <c r="H47" s="14" t="s">
        <v>3</v>
      </c>
      <c r="I47" s="1"/>
    </row>
    <row r="48" spans="1:9" x14ac:dyDescent="0.25">
      <c r="A48" s="1"/>
      <c r="B48" s="94" t="s">
        <v>242</v>
      </c>
      <c r="C48" s="95"/>
      <c r="D48" s="95"/>
      <c r="E48" s="95"/>
      <c r="F48" s="96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4" t="s">
        <v>243</v>
      </c>
      <c r="C49" s="95"/>
      <c r="D49" s="95"/>
      <c r="E49" s="95"/>
      <c r="F49" s="96"/>
      <c r="G49" s="24">
        <f>(G47+G48)*'Fane 14. Nøgletal'!C22</f>
        <v>3131558.4268600335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7cpva4bHLRN2zWRbe7qV75J7Lh4iqdMUHDpEWF7SIDPqFCAaaE5wY0SwGW3/cw2a9plK59vtXwtrRev+bqQ1FA==" saltValue="tPwTeNXOuMj4SFDaGzzSbw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10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4" t="s">
        <v>104</v>
      </c>
      <c r="C9" s="95"/>
      <c r="D9" s="95"/>
      <c r="E9" s="95"/>
      <c r="F9" s="96"/>
      <c r="G9" s="23">
        <v>5.8241296015265516E-3</v>
      </c>
      <c r="H9" s="14"/>
      <c r="I9" s="1"/>
    </row>
    <row r="10" spans="1:9" x14ac:dyDescent="0.25">
      <c r="A10" s="1"/>
      <c r="B10" s="94" t="s">
        <v>105</v>
      </c>
      <c r="C10" s="95"/>
      <c r="D10" s="95"/>
      <c r="E10" s="95"/>
      <c r="F10" s="96"/>
      <c r="G10" s="23">
        <v>0</v>
      </c>
      <c r="H10" s="14"/>
      <c r="I10" s="1"/>
    </row>
    <row r="11" spans="1:9" x14ac:dyDescent="0.25">
      <c r="A11" s="1"/>
      <c r="B11" s="94" t="s">
        <v>106</v>
      </c>
      <c r="C11" s="95"/>
      <c r="D11" s="95"/>
      <c r="E11" s="95"/>
      <c r="F11" s="96"/>
      <c r="G11" s="41">
        <v>5.3068198737882006E-3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9" t="s">
        <v>258</v>
      </c>
      <c r="C13" s="80"/>
      <c r="D13" s="80"/>
      <c r="E13" s="80"/>
      <c r="F13" s="80"/>
      <c r="G13" s="80"/>
      <c r="H13" s="81"/>
      <c r="I13" s="1"/>
    </row>
    <row r="14" spans="1:9" ht="14.25" customHeight="1" x14ac:dyDescent="0.25">
      <c r="A14" s="18"/>
      <c r="B14" s="102"/>
      <c r="C14" s="102"/>
      <c r="D14" s="102"/>
      <c r="E14" s="102"/>
      <c r="F14" s="102"/>
      <c r="G14" s="102"/>
      <c r="H14" s="102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2020-10-23T08:33:32Z</dcterms:modified>
</cp:coreProperties>
</file>