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KALUNDBORG RENSEANLÆG AS (S05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7" i="30" l="1"/>
  <c r="G11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5" i="30" s="1"/>
  <c r="E30" i="21" l="1"/>
  <c r="G60" i="36" s="1"/>
  <c r="C30" i="21"/>
  <c r="G59" i="30" s="1"/>
  <c r="E24" i="21"/>
  <c r="G54" i="36" s="1"/>
  <c r="C24" i="21"/>
  <c r="G53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5" i="30"/>
  <c r="G19" i="30" s="1"/>
  <c r="G23" i="36" l="1"/>
  <c r="G25" i="36" s="1"/>
  <c r="G21" i="30"/>
  <c r="G29" i="36" l="1"/>
  <c r="G25" i="30"/>
  <c r="G31" i="36" l="1"/>
  <c r="F11" i="11"/>
  <c r="C10" i="37" s="1"/>
  <c r="C12" i="37" s="1"/>
  <c r="C13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G38" i="30" s="1"/>
  <c r="G44" i="30" s="1"/>
  <c r="C13" i="2"/>
  <c r="G27" i="30" l="1"/>
  <c r="G31" i="30" l="1"/>
  <c r="E11" i="11"/>
  <c r="E10" i="37" s="1"/>
  <c r="E12" i="37" s="1"/>
  <c r="E13" i="37" s="1"/>
  <c r="C11" i="2" l="1"/>
  <c r="G36" i="36" s="1"/>
  <c r="G33" i="30"/>
  <c r="E18" i="27" s="1"/>
  <c r="G42" i="36" l="1"/>
  <c r="G37" i="36"/>
  <c r="G41" i="36" s="1"/>
  <c r="G37" i="30"/>
  <c r="E20" i="27"/>
  <c r="E33" i="27" s="1"/>
  <c r="C9" i="2" l="1"/>
  <c r="C16" i="2" s="1"/>
  <c r="G39" i="30"/>
  <c r="G43" i="30" s="1"/>
  <c r="G46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<sst xmlns="http://schemas.openxmlformats.org/spreadsheetml/2006/main" count="706" uniqueCount="286">
  <si>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</si>
  <si>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</si>
  <si>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</si>
  <si>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</si>
  <si>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</si>
  <si>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</si>
  <si>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</si>
  <si>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</si>
  <si>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</si>
  <si>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</si>
  <si>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</si>
  <si>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</si>
  <si>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</si>
  <si>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</si>
  <si>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</si>
  <si>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</si>
  <si>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</si>
  <si>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</si>
  <si>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</si>
  <si>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</si>
  <si>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</si>
  <si>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</si>
  <si>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</si>
  <si>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</si>
  <si>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</si>
  <si>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</si>
  <si>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</si>
  <si>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</si>
  <si>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</si>
  <si>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</si>
  <si>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</si>
  <si>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</si>
  <si>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</si>
  <si>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</si>
  <si>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</si>
  <si>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</si>
  <si>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</si>
  <si>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</si>
  <si>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</si>
  <si>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</si>
  <si>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</si>
  <si>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</si>
  <si>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</si>
  <si>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</si>
  <si>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</si>
  <si>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</si>
  <si>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</si>
  <si>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</si>
  <si>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</si>
  <si>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</si>
  <si>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</si>
  <si>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</si>
  <si>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</si>
  <si>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</si>
  <si>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</si>
  <si>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</si>
  <si>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</si>
  <si>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</si>
  <si>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</si>
  <si>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</si>
  <si>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</si>
  <si>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</si>
  <si>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</si>
  <si>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</si>
  <si>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</si>
  <si>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</si>
  <si>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</si>
  <si>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</si>
  <si>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</si>
  <si>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</si>
  <si>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</si>
  <si>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</si>
  <si>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</si>
  <si>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</si>
  <si>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</si>
  <si>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</si>
  <si>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</si>
  <si>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</si>
  <si>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</si>
  <si>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</si>
  <si>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</si>
  <si>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</si>
  <si>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</si>
  <si>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</si>
  <si>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</si>
  <si>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</si>
  <si>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</si>
  <si>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</si>
  <si>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</si>
  <si>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</si>
  <si>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</si>
  <si>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</si>
  <si>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</si>
  <si>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</si>
  <si>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</si>
  <si>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</si>
  <si>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</si>
  <si>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</si>
  <si>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</si>
  <si>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</si>
  <si>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</si>
  <si>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</si>
  <si>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</si>
  <si>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</si>
  <si>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</si>
  <si>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</si>
  <si>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</si>
  <si>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</si>
  <si>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</si>
  <si>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</si>
  <si>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</si>
  <si>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</si>
  <si>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</si>
  <si>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</si>
  <si>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</si>
  <si>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</si>
  <si>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</si>
  <si>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</si>
  <si>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</si>
  <si>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</si>
  <si>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</si>
  <si>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</si>
  <si>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</si>
  <si>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</si>
  <si>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</si>
  <si>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</si>
  <si>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</si>
  <si>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</si>
  <si>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</si>
  <si>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</si>
  <si>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</si>
  <si>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</si>
  <si>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</si>
  <si>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</si>
  <si>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</si>
  <si>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</si>
  <si>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</si>
  <si>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</si>
  <si>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</si>
  <si>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</si>
  <si>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</si>
  <si>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</si>
  <si>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</si>
  <si>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</si>
  <si>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</si>
  <si>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</si>
  <si>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</si>
  <si>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</si>
  <si>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</si>
  <si>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</si>
  <si>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</si>
  <si>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</si>
  <si>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</si>
  <si>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</si>
  <si>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</si>
  <si>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</si>
  <si>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</si>
  <si>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</si>
  <si>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</si>
  <si>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</si>
  <si>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</si>
  <si>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</si>
  <si>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</si>
  <si>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</si>
  <si>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</si>
  <si>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</si>
  <si>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</si>
  <si>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</si>
  <si>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</si>
  <si>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</si>
  <si>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</si>
  <si>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</si>
  <si>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</si>
  <si>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</si>
  <si>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</si>
  <si>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</si>
  <si>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</si>
  <si>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</si>
  <si>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</si>
  <si>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</si>
  <si>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</si>
  <si>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</si>
  <si>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</si>
  <si>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</si>
  <si>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</si>
  <si>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</si>
  <si>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</si>
  <si>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</si>
  <si>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</si>
  <si>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</si>
  <si>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</si>
  <si>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</si>
  <si>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</si>
  <si>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</si>
  <si>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</si>
  <si>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</si>
  <si>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</si>
  <si>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</si>
  <si>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</si>
  <si>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</si>
  <si>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</si>
  <si>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</si>
  <si>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</si>
  <si>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</si>
  <si>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</si>
  <si>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</si>
  <si>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</si>
  <si>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</si>
  <si>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</si>
  <si>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</si>
  <si>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</si>
  <si>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</si>
  <si>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</si>
  <si>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</si>
  <si>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</si>
  <si>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</si>
  <si>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</si>
  <si>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</si>
  <si>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</si>
  <si>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</si>
  <si>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</si>
  <si>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</si>
  <si>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</si>
  <si>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</si>
  <si>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</si>
  <si>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</si>
  <si>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</si>
  <si>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</si>
  <si>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</si>
  <si>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</si>
  <si>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</si>
  <si>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</si>
  <si>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</si>
  <si>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</si>
  <si>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</si>
  <si>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</si>
  <si>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</si>
  <si>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</si>
  <si>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</si>
  <si>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</si>
  <si>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</si>
  <si>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</si>
  <si>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</si>
  <si>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</si>
  <si>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</si>
  <si>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</si>
  <si>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</si>
  <si>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</si>
  <si>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</si>
  <si>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</si>
  <si>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</si>
  <si>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</si>
  <si>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</si>
  <si>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</si>
  <si>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</si>
  <si>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</si>
  <si>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</si>
  <si>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</si>
  <si>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</si>
  <si>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</si>
  <si>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</si>
  <si>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Udvidelse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</si>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</sst>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4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6" t="s">
        <v>284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8" t="s">
        <v>245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17</v>
      </c>
      <c r="D14" s="78" t="s">
        <v>246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37</v>
      </c>
      <c r="D15" s="78" t="s">
        <v>160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38</v>
      </c>
      <c r="D16" s="78" t="s">
        <v>247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144</v>
      </c>
      <c r="D17" s="78" t="s">
        <v>248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124</v>
      </c>
      <c r="D18" s="75" t="s">
        <v>110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125</v>
      </c>
      <c r="D19" s="75" t="s">
        <v>111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7</v>
      </c>
      <c r="D20" s="75" t="s">
        <v>10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126</v>
      </c>
      <c r="D21" s="82" t="s">
        <v>13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91</v>
      </c>
      <c r="D22" s="69" t="s">
        <v>249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8</v>
      </c>
      <c r="D23" s="69" t="s">
        <v>195</v>
      </c>
      <c r="E23" s="70"/>
      <c r="F23" s="70"/>
      <c r="G23" s="71"/>
      <c r="H23" s="1"/>
      <c r="I23" s="1"/>
    </row>
    <row r="24" spans="1:9" x14ac:dyDescent="0.25">
      <c r="A24" s="1"/>
      <c r="B24" s="1"/>
      <c r="C24" s="6" t="s">
        <v>9</v>
      </c>
      <c r="D24" s="69" t="s">
        <v>39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127</v>
      </c>
      <c r="D25" s="69" t="s">
        <v>92</v>
      </c>
      <c r="E25" s="70"/>
      <c r="F25" s="70"/>
      <c r="G25" s="71"/>
      <c r="H25" s="1"/>
      <c r="I25" s="1"/>
    </row>
    <row r="26" spans="1:9" x14ac:dyDescent="0.25">
      <c r="A26" s="1"/>
      <c r="B26" s="1"/>
      <c r="C26" s="6" t="s">
        <v>128</v>
      </c>
      <c r="D26" s="69" t="s">
        <v>93</v>
      </c>
      <c r="E26" s="70"/>
      <c r="F26" s="70"/>
      <c r="G26" s="71"/>
      <c r="H26" s="1"/>
      <c r="I26" s="1"/>
    </row>
    <row r="27" spans="1:9" x14ac:dyDescent="0.25">
      <c r="A27" s="1"/>
      <c r="B27" s="1"/>
      <c r="C27" s="6" t="s">
        <v>129</v>
      </c>
      <c r="D27" s="69" t="s">
        <v>94</v>
      </c>
      <c r="E27" s="70"/>
      <c r="F27" s="70"/>
      <c r="G27" s="71"/>
      <c r="H27" s="1"/>
      <c r="I27" s="1"/>
    </row>
    <row r="28" spans="1:9" x14ac:dyDescent="0.25">
      <c r="A28" s="1"/>
      <c r="B28" s="1"/>
      <c r="C28" s="6" t="s">
        <v>16</v>
      </c>
      <c r="D28" s="69" t="s">
        <v>161</v>
      </c>
      <c r="E28" s="70"/>
      <c r="F28" s="70"/>
      <c r="G28" s="71"/>
      <c r="H28" s="1"/>
      <c r="I28" s="1"/>
    </row>
    <row r="29" spans="1:9" x14ac:dyDescent="0.25">
      <c r="A29" s="1"/>
      <c r="B29" s="1"/>
      <c r="C29" s="6" t="s">
        <v>41</v>
      </c>
      <c r="D29" s="69" t="s">
        <v>40</v>
      </c>
      <c r="E29" s="70"/>
      <c r="F29" s="70"/>
      <c r="G29" s="71"/>
      <c r="H29" s="1"/>
      <c r="I29" s="1"/>
    </row>
    <row r="30" spans="1:9" x14ac:dyDescent="0.25">
      <c r="A30" s="1"/>
      <c r="B30" s="1"/>
      <c r="C30" s="6" t="s">
        <v>42</v>
      </c>
      <c r="D30" s="72" t="s">
        <v>123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9Zf1tt4tHTKBIwZwhVRDSAQ8B4utCHetISVpH8YT6vNZPCDa1GvEDdNVyQKsNIoDaembihe7Q6PgQR4M2MsK8Q==" saltValue="1pA5OvEgNYgJYb0kxj6TIw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132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9" t="s">
        <v>208</v>
      </c>
      <c r="C8" s="100"/>
      <c r="D8" s="101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5" t="s">
        <v>263</v>
      </c>
      <c r="C10" s="9">
        <v>2692686</v>
      </c>
      <c r="D10" s="14" t="s">
        <v>3</v>
      </c>
      <c r="E10" s="1"/>
      <c r="F10" s="1"/>
    </row>
    <row r="11" spans="1:6" x14ac:dyDescent="0.25">
      <c r="A11" s="1"/>
      <c r="B11" s="65" t="s">
        <v>264</v>
      </c>
      <c r="C11" s="9">
        <v>153758</v>
      </c>
      <c r="D11" s="14" t="s">
        <v>3</v>
      </c>
      <c r="E11" s="1"/>
      <c r="F11" s="1"/>
    </row>
    <row r="12" spans="1:6" x14ac:dyDescent="0.25">
      <c r="A12" s="1"/>
      <c r="B12" s="65" t="s">
        <v>265</v>
      </c>
      <c r="C12" s="9">
        <v>326217</v>
      </c>
      <c r="D12" s="14" t="s">
        <v>3</v>
      </c>
      <c r="E12" s="1"/>
      <c r="F12" s="1"/>
    </row>
    <row r="13" spans="1:6" x14ac:dyDescent="0.25">
      <c r="A13" s="1"/>
      <c r="B13" s="65" t="s">
        <v>266</v>
      </c>
      <c r="C13" s="9">
        <v>270452</v>
      </c>
      <c r="D13" s="14" t="s">
        <v>3</v>
      </c>
      <c r="E13" s="1"/>
      <c r="F13" s="1"/>
    </row>
    <row r="14" spans="1:6" x14ac:dyDescent="0.25">
      <c r="A14" s="1"/>
      <c r="B14" s="38" t="s">
        <v>209</v>
      </c>
      <c r="C14" s="12">
        <f>SUM(C10:C13)</f>
        <v>3443113</v>
      </c>
      <c r="D14" s="13" t="s">
        <v>3</v>
      </c>
      <c r="E14" s="1"/>
      <c r="F14" s="1"/>
    </row>
    <row r="15" spans="1:6" x14ac:dyDescent="0.25">
      <c r="A15" s="1"/>
      <c r="B15" s="38" t="s">
        <v>210</v>
      </c>
      <c r="C15" s="12">
        <f>C14*(1+'Fane 14. Nøgletal'!C14)^2</f>
        <v>3465875.0413005706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9" t="s">
        <v>142</v>
      </c>
      <c r="C18" s="100"/>
      <c r="D18" s="101"/>
      <c r="E18" s="1"/>
      <c r="F18" s="1"/>
    </row>
    <row r="19" spans="1:6" x14ac:dyDescent="0.25">
      <c r="A19" s="1"/>
      <c r="B19" s="65" t="s">
        <v>116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65" t="s">
        <v>117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5" t="s">
        <v>154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5" t="s">
        <v>211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9"/>
      <c r="C23" s="100"/>
      <c r="D23" s="10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9" t="s">
        <v>115</v>
      </c>
      <c r="C26" s="100"/>
      <c r="D26" s="101"/>
      <c r="E26" s="1"/>
      <c r="F26" s="1"/>
    </row>
    <row r="27" spans="1:6" x14ac:dyDescent="0.25">
      <c r="A27" s="1"/>
      <c r="B27" s="65" t="s">
        <v>116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5" t="s">
        <v>117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5" t="s">
        <v>154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5" t="s">
        <v>211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9"/>
      <c r="C31" s="100"/>
      <c r="D31" s="10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R9FMa3Dsumkm0DGJEkVjw2laD5J95I1hjipa2n+IoxlVii03vnozUL98xE74gsr6rGhrQ9BPCim3t/p3N5yf2g==" saltValue="Tvuiu4K4eupULwnd8tGE3Q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H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8" width="9.85546875" style="2" bestFit="1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61"/>
      <c r="C5" s="61"/>
      <c r="D5" s="61"/>
      <c r="E5" s="61"/>
      <c r="F5" s="61"/>
      <c r="G5" s="1"/>
    </row>
    <row r="6" spans="1:7" ht="15" customHeight="1" x14ac:dyDescent="0.25">
      <c r="A6" s="1"/>
      <c r="B6" s="61"/>
      <c r="C6" s="61"/>
      <c r="D6" s="61"/>
      <c r="E6" s="61"/>
      <c r="F6" s="6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268</v>
      </c>
      <c r="C8" s="100"/>
      <c r="D8" s="100"/>
      <c r="E8" s="100"/>
      <c r="F8" s="101"/>
      <c r="G8" s="1"/>
    </row>
    <row r="9" spans="1:7" x14ac:dyDescent="0.25">
      <c r="A9" s="1"/>
      <c r="B9" s="104" t="s">
        <v>269</v>
      </c>
      <c r="C9" s="105"/>
      <c r="D9" s="106"/>
      <c r="E9" s="9">
        <v>182227</v>
      </c>
      <c r="F9" s="14" t="s">
        <v>3</v>
      </c>
      <c r="G9" s="1"/>
    </row>
    <row r="10" spans="1:7" x14ac:dyDescent="0.25">
      <c r="A10" s="1"/>
      <c r="B10" s="104" t="s">
        <v>270</v>
      </c>
      <c r="C10" s="105"/>
      <c r="D10" s="106"/>
      <c r="E10" s="9">
        <v>1051102.9314688817</v>
      </c>
      <c r="F10" s="14" t="s">
        <v>3</v>
      </c>
      <c r="G10" s="1"/>
    </row>
    <row r="11" spans="1:7" x14ac:dyDescent="0.25">
      <c r="A11" s="1"/>
      <c r="B11" s="104" t="s">
        <v>271</v>
      </c>
      <c r="C11" s="105"/>
      <c r="D11" s="106"/>
      <c r="E11" s="9">
        <v>1051102.9314688817</v>
      </c>
      <c r="F11" s="14" t="s">
        <v>3</v>
      </c>
      <c r="G11" s="1"/>
    </row>
    <row r="12" spans="1:7" x14ac:dyDescent="0.25">
      <c r="A12" s="1"/>
      <c r="B12" s="104" t="s">
        <v>272</v>
      </c>
      <c r="C12" s="105"/>
      <c r="D12" s="106"/>
      <c r="E12" s="9">
        <v>-515144.88066964597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89" t="s">
        <v>273</v>
      </c>
      <c r="C14" s="90"/>
      <c r="D14" s="90"/>
      <c r="E14" s="90"/>
      <c r="F14" s="91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274</v>
      </c>
      <c r="C16" s="100"/>
      <c r="D16" s="100"/>
      <c r="E16" s="100"/>
      <c r="F16" s="101"/>
      <c r="G16" s="1"/>
    </row>
    <row r="17" spans="1:8" x14ac:dyDescent="0.25">
      <c r="A17" s="1"/>
      <c r="B17" s="104" t="s">
        <v>275</v>
      </c>
      <c r="C17" s="105"/>
      <c r="D17" s="106"/>
      <c r="E17" s="9">
        <v>0</v>
      </c>
      <c r="F17" s="14" t="s">
        <v>3</v>
      </c>
      <c r="G17" s="1"/>
    </row>
    <row r="18" spans="1:8" x14ac:dyDescent="0.25">
      <c r="A18" s="1"/>
      <c r="B18" s="104" t="s">
        <v>276</v>
      </c>
      <c r="C18" s="105"/>
      <c r="D18" s="106"/>
      <c r="E18" s="9">
        <v>0</v>
      </c>
      <c r="F18" s="14" t="s">
        <v>3</v>
      </c>
      <c r="G18" s="1"/>
    </row>
    <row r="19" spans="1:8" x14ac:dyDescent="0.25">
      <c r="A19" s="1"/>
      <c r="B19" s="38"/>
      <c r="C19" s="32"/>
      <c r="D19" s="32"/>
      <c r="E19" s="32"/>
      <c r="F19" s="20"/>
      <c r="G19" s="1"/>
    </row>
    <row r="20" spans="1:8" ht="29.25" customHeight="1" x14ac:dyDescent="0.25">
      <c r="A20" s="1"/>
      <c r="B20" s="89" t="s">
        <v>277</v>
      </c>
      <c r="C20" s="90"/>
      <c r="D20" s="90"/>
      <c r="E20" s="90"/>
      <c r="F20" s="91"/>
      <c r="G20" s="1"/>
    </row>
    <row r="21" spans="1:8" x14ac:dyDescent="0.25">
      <c r="A21" s="1"/>
      <c r="B21" s="1"/>
      <c r="C21" s="1"/>
      <c r="D21" s="1"/>
      <c r="E21" s="1"/>
      <c r="F21" s="1"/>
      <c r="G21" s="1"/>
    </row>
    <row r="22" spans="1:8" x14ac:dyDescent="0.25">
      <c r="A22" s="1"/>
      <c r="B22" s="56" t="s">
        <v>213</v>
      </c>
      <c r="C22" s="57"/>
      <c r="D22" s="57"/>
      <c r="E22" s="57"/>
      <c r="F22" s="58"/>
      <c r="G22" s="1"/>
    </row>
    <row r="23" spans="1:8" x14ac:dyDescent="0.25">
      <c r="A23" s="1"/>
      <c r="B23" s="62" t="s">
        <v>214</v>
      </c>
      <c r="C23" s="63"/>
      <c r="D23" s="64"/>
      <c r="E23" s="9">
        <v>41912547.78935729</v>
      </c>
      <c r="F23" s="14" t="s">
        <v>3</v>
      </c>
      <c r="G23" s="1"/>
    </row>
    <row r="24" spans="1:8" x14ac:dyDescent="0.25">
      <c r="A24" s="1"/>
      <c r="B24" s="62" t="s">
        <v>215</v>
      </c>
      <c r="C24" s="63"/>
      <c r="D24" s="64"/>
      <c r="E24" s="9">
        <v>46343823</v>
      </c>
      <c r="F24" s="14" t="s">
        <v>3</v>
      </c>
      <c r="G24" s="1"/>
    </row>
    <row r="25" spans="1:8" x14ac:dyDescent="0.25">
      <c r="A25" s="1"/>
      <c r="B25" s="62" t="s">
        <v>36</v>
      </c>
      <c r="C25" s="63"/>
      <c r="D25" s="64"/>
      <c r="E25" s="9">
        <v>0</v>
      </c>
      <c r="F25" s="14" t="s">
        <v>3</v>
      </c>
      <c r="G25" s="1"/>
    </row>
    <row r="26" spans="1:8" x14ac:dyDescent="0.25">
      <c r="A26" s="1"/>
      <c r="B26" s="59" t="s">
        <v>278</v>
      </c>
      <c r="C26" s="60"/>
      <c r="D26" s="67"/>
      <c r="E26" s="48">
        <f>E23-(E24-E25)</f>
        <v>-4431275.2106427103</v>
      </c>
      <c r="F26" s="17" t="s">
        <v>3</v>
      </c>
      <c r="G26" s="1"/>
      <c r="H26" s="49"/>
    </row>
    <row r="27" spans="1:8" x14ac:dyDescent="0.25">
      <c r="A27" s="1"/>
      <c r="B27" s="38"/>
      <c r="C27" s="32"/>
      <c r="D27" s="32"/>
      <c r="E27" s="32"/>
      <c r="F27" s="20"/>
      <c r="G27" s="1"/>
    </row>
    <row r="28" spans="1:8" x14ac:dyDescent="0.25">
      <c r="A28" s="1"/>
      <c r="B28" s="1"/>
      <c r="C28" s="1"/>
      <c r="D28" s="1"/>
      <c r="E28" s="1"/>
      <c r="F28" s="1"/>
      <c r="G28" s="1"/>
    </row>
    <row r="29" spans="1:8" x14ac:dyDescent="0.25">
      <c r="A29" s="1"/>
      <c r="B29" s="1"/>
      <c r="C29" s="1"/>
      <c r="D29" s="1"/>
      <c r="E29" s="1"/>
      <c r="F29" s="1"/>
      <c r="G29" s="1"/>
    </row>
    <row r="30" spans="1:8" x14ac:dyDescent="0.25">
      <c r="A30" s="1"/>
      <c r="B30" s="99" t="s">
        <v>186</v>
      </c>
      <c r="C30" s="100"/>
      <c r="D30" s="100"/>
      <c r="E30" s="100"/>
      <c r="F30" s="101"/>
      <c r="G30" s="1"/>
    </row>
    <row r="31" spans="1:8" x14ac:dyDescent="0.25">
      <c r="A31" s="1"/>
      <c r="B31" s="116" t="s">
        <v>282</v>
      </c>
      <c r="C31" s="117"/>
      <c r="D31" s="118"/>
      <c r="E31" s="9">
        <v>3</v>
      </c>
      <c r="F31" s="14"/>
      <c r="G31" s="1"/>
    </row>
    <row r="32" spans="1:8" x14ac:dyDescent="0.2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-3713090.1598434746</v>
      </c>
      <c r="F32" s="14" t="s">
        <v>3</v>
      </c>
      <c r="G32" s="1"/>
    </row>
    <row r="33" spans="1:7" x14ac:dyDescent="0.2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25">
      <c r="A34" s="1"/>
      <c r="B34" s="119" t="s">
        <v>188</v>
      </c>
      <c r="C34" s="119"/>
      <c r="D34" s="119"/>
      <c r="E34" s="10">
        <f>E32/E33</f>
        <v>-1856545.0799217373</v>
      </c>
      <c r="F34" s="17" t="s">
        <v>3</v>
      </c>
      <c r="G34" s="1"/>
    </row>
    <row r="35" spans="1:7" x14ac:dyDescent="0.25">
      <c r="A35" s="1"/>
      <c r="B35" s="120"/>
      <c r="C35" s="121"/>
      <c r="D35" s="121"/>
      <c r="E35" s="121"/>
      <c r="F35" s="122"/>
      <c r="G35" s="1"/>
    </row>
    <row r="36" spans="1:7" ht="75" customHeight="1" x14ac:dyDescent="0.25">
      <c r="A36" s="1"/>
      <c r="B36" s="89" t="s">
        <v>281</v>
      </c>
      <c r="C36" s="90"/>
      <c r="D36" s="90"/>
      <c r="E36" s="90"/>
      <c r="F36" s="9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kovz9Y5V0OJ6KRWvaGCah0+nWrlhPv71WL3f1VcBAX2gk03KgO0PIh6LY7GdIxvjv8oKrTJSyucg92akCuNCPA==" saltValue="rTmfXSdzxME06zAoWLDCqg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9" t="s">
        <v>217</v>
      </c>
      <c r="C9" s="100"/>
      <c r="D9" s="100"/>
      <c r="E9" s="100"/>
      <c r="F9" s="101"/>
      <c r="G9" s="1"/>
    </row>
    <row r="10" spans="1:7" x14ac:dyDescent="0.25">
      <c r="A10" s="1"/>
      <c r="B10" s="89" t="s">
        <v>118</v>
      </c>
      <c r="C10" s="90"/>
      <c r="D10" s="91"/>
      <c r="E10" s="7">
        <v>0</v>
      </c>
      <c r="F10" s="8" t="s">
        <v>3</v>
      </c>
      <c r="G10" s="1"/>
    </row>
    <row r="11" spans="1:7" x14ac:dyDescent="0.25">
      <c r="A11" s="1"/>
      <c r="B11" s="104" t="s">
        <v>218</v>
      </c>
      <c r="C11" s="105"/>
      <c r="D11" s="106"/>
      <c r="E11" s="7">
        <v>270000</v>
      </c>
      <c r="F11" s="8" t="s">
        <v>3</v>
      </c>
      <c r="G11" s="1"/>
    </row>
    <row r="12" spans="1:7" x14ac:dyDescent="0.25">
      <c r="A12" s="1"/>
      <c r="B12" s="102" t="s">
        <v>119</v>
      </c>
      <c r="C12" s="103"/>
      <c r="D12" s="123"/>
      <c r="E12" s="10">
        <f>E11-E10</f>
        <v>270000</v>
      </c>
      <c r="F12" s="11" t="s">
        <v>3</v>
      </c>
      <c r="G12" s="1"/>
    </row>
    <row r="13" spans="1:7" x14ac:dyDescent="0.25">
      <c r="A13" s="1"/>
      <c r="B13" s="99" t="s">
        <v>109</v>
      </c>
      <c r="C13" s="100"/>
      <c r="D13" s="100"/>
      <c r="E13" s="100"/>
      <c r="F13" s="101"/>
      <c r="G13" s="1"/>
    </row>
    <row r="14" spans="1:7" x14ac:dyDescent="0.2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25">
      <c r="A15" s="1"/>
      <c r="B15" s="89" t="s">
        <v>220</v>
      </c>
      <c r="C15" s="90"/>
      <c r="D15" s="91"/>
      <c r="E15" s="9">
        <v>0</v>
      </c>
      <c r="F15" s="8" t="s">
        <v>3</v>
      </c>
      <c r="G15" s="1"/>
    </row>
    <row r="16" spans="1:7" x14ac:dyDescent="0.25">
      <c r="A16" s="1"/>
      <c r="B16" s="102" t="s">
        <v>119</v>
      </c>
      <c r="C16" s="103"/>
      <c r="D16" s="123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270000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JKWRrpHUqe8yZ51vvzYBmx07F2R4ZnzhOXyM6S7xXSRTsS3c3phJUgodFYqlCwJyZK352dCFeriiBtV0LgufA==" saltValue="tuKDlFFTnG/RIqaLY8b/6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178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8" t="s">
        <v>283</v>
      </c>
      <c r="C10" s="50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9" t="s">
        <v>179</v>
      </c>
      <c r="C11" s="100"/>
      <c r="D11" s="10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tsvSCw3kqGSF6oeOeiyN3GOorue/ev6PU5XSwTDfXwwC5z5UVxIAUlyqv1s3Olp9vWE3eDKqKC4P15hr5M/wg==" saltValue="v9E/DLOW735wcl8Dts4B0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7" t="s">
        <v>261</v>
      </c>
      <c r="C11" s="22">
        <v>1198110</v>
      </c>
      <c r="D11" s="14" t="s">
        <v>3</v>
      </c>
      <c r="E11" s="9">
        <v>126236</v>
      </c>
      <c r="F11" s="14" t="s">
        <v>3</v>
      </c>
      <c r="G11" s="1"/>
    </row>
    <row r="12" spans="1:7" x14ac:dyDescent="0.25">
      <c r="A12" s="1"/>
      <c r="B12" s="38" t="s">
        <v>163</v>
      </c>
      <c r="C12" s="12">
        <f>SUM(C10:C11)</f>
        <v>1198110</v>
      </c>
      <c r="D12" s="13" t="s">
        <v>3</v>
      </c>
      <c r="E12" s="12">
        <f>SUM(E10:E11)</f>
        <v>126236</v>
      </c>
      <c r="F12" s="13" t="s">
        <v>3</v>
      </c>
      <c r="G12" s="1"/>
    </row>
    <row r="13" spans="1:7" x14ac:dyDescent="0.25">
      <c r="A13" s="1"/>
      <c r="B13" s="38" t="s">
        <v>222</v>
      </c>
      <c r="C13" s="12">
        <f>C12*(1+'Fane 14. Nøgletal'!C14)</f>
        <v>1202063.763</v>
      </c>
      <c r="D13" s="13" t="s">
        <v>3</v>
      </c>
      <c r="E13" s="12">
        <f>E12*(1+'Fane 14. Nøgletal'!C14)</f>
        <v>126652.5788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pB5k5MQB9HPSiAE/hubcPa8X8Hf4N02YNBGBqcsPIlJHuoM44wdCN1Ph18/SmgbhulKcsWvbqmOeFL5JYdO4kw==" saltValue="dJtXjds5jyqfw9wC7aG7o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112</v>
      </c>
      <c r="C8" s="100"/>
      <c r="D8" s="100"/>
      <c r="E8" s="100"/>
      <c r="F8" s="101"/>
      <c r="G8" s="1"/>
    </row>
    <row r="9" spans="1:7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280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113</v>
      </c>
      <c r="C16" s="100"/>
      <c r="D16" s="100"/>
      <c r="E16" s="100"/>
      <c r="F16" s="101"/>
      <c r="G16" s="1"/>
    </row>
    <row r="17" spans="1:7" x14ac:dyDescent="0.25">
      <c r="A17" s="1"/>
      <c r="B17" s="54" t="s">
        <v>18</v>
      </c>
      <c r="C17" s="54" t="s">
        <v>12</v>
      </c>
      <c r="D17" s="55"/>
      <c r="E17" s="54" t="s">
        <v>34</v>
      </c>
      <c r="F17" s="37"/>
      <c r="G17" s="1"/>
    </row>
    <row r="18" spans="1:7" x14ac:dyDescent="0.25">
      <c r="A18" s="1"/>
      <c r="B18" s="25" t="s">
        <v>280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9" t="s">
        <v>166</v>
      </c>
      <c r="C24" s="100"/>
      <c r="D24" s="100"/>
      <c r="E24" s="100"/>
      <c r="F24" s="101"/>
      <c r="G24" s="1"/>
    </row>
    <row r="25" spans="1:7" x14ac:dyDescent="0.25">
      <c r="A25" s="1"/>
      <c r="B25" s="54" t="s">
        <v>18</v>
      </c>
      <c r="C25" s="54" t="s">
        <v>12</v>
      </c>
      <c r="D25" s="55"/>
      <c r="E25" s="54" t="s">
        <v>34</v>
      </c>
      <c r="F25" s="37"/>
      <c r="G25" s="1"/>
    </row>
    <row r="26" spans="1:7" x14ac:dyDescent="0.25">
      <c r="A26" s="1"/>
      <c r="B26" s="25" t="s">
        <v>280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9" t="s">
        <v>224</v>
      </c>
      <c r="C32" s="100"/>
      <c r="D32" s="100"/>
      <c r="E32" s="100"/>
      <c r="F32" s="101"/>
      <c r="G32" s="1"/>
    </row>
    <row r="33" spans="1:7" x14ac:dyDescent="0.25">
      <c r="A33" s="1"/>
      <c r="B33" s="54" t="s">
        <v>18</v>
      </c>
      <c r="C33" s="54" t="s">
        <v>12</v>
      </c>
      <c r="D33" s="55"/>
      <c r="E33" s="54" t="s">
        <v>34</v>
      </c>
      <c r="F33" s="37"/>
      <c r="G33" s="1"/>
    </row>
    <row r="34" spans="1:7" x14ac:dyDescent="0.25">
      <c r="A34" s="1"/>
      <c r="B34" s="25" t="s">
        <v>280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j8l+qUP1ONyUBb58FtPZqKJ+CV0d7whDeejOTA7cmXPel5ejAxFgOm/qBTP5vuqrYVrfbK/8PhArJN0OGagRQ==" saltValue="+mdjwi9c54+DMQtJRitGg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103</v>
      </c>
      <c r="C8" s="100"/>
      <c r="D8" s="100"/>
      <c r="E8" s="100"/>
      <c r="F8" s="101"/>
      <c r="G8" s="1"/>
    </row>
    <row r="9" spans="1:7" x14ac:dyDescent="0.25">
      <c r="A9" s="1"/>
      <c r="B9" s="124" t="s">
        <v>226</v>
      </c>
      <c r="C9" s="125"/>
      <c r="D9" s="126"/>
      <c r="E9" s="9">
        <v>275316.72566549201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krav'!G12</f>
        <v>-5506.3345133098401</v>
      </c>
      <c r="F10" s="14" t="s">
        <v>3</v>
      </c>
      <c r="G10" s="1"/>
    </row>
    <row r="11" spans="1:7" x14ac:dyDescent="0.25">
      <c r="A11" s="1"/>
      <c r="B11" s="93" t="s">
        <v>26</v>
      </c>
      <c r="C11" s="94"/>
      <c r="D11" s="95"/>
      <c r="E11" s="9">
        <f>-E9*'Fane 14. Nøgletal'!C29</f>
        <v>-5506.3345133098401</v>
      </c>
      <c r="F11" s="14" t="s">
        <v>3</v>
      </c>
      <c r="G11" s="1"/>
    </row>
    <row r="12" spans="1:7" x14ac:dyDescent="0.25">
      <c r="A12" s="1"/>
      <c r="B12" s="99" t="s">
        <v>105</v>
      </c>
      <c r="C12" s="100"/>
      <c r="D12" s="101"/>
      <c r="E12" s="12">
        <f>SUM(E9:E11)*(1+'Fane 14. Nøgletal'!C14)^2</f>
        <v>266051.34168386576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104</v>
      </c>
      <c r="C14" s="100"/>
      <c r="D14" s="100"/>
      <c r="E14" s="100"/>
      <c r="F14" s="101"/>
      <c r="G14" s="1"/>
    </row>
    <row r="15" spans="1:7" ht="15" customHeight="1" x14ac:dyDescent="0.25">
      <c r="A15" s="1"/>
      <c r="B15" s="124" t="s">
        <v>226</v>
      </c>
      <c r="C15" s="125"/>
      <c r="D15" s="126"/>
      <c r="E15" s="9">
        <v>275316.72566549201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krav'!G12</f>
        <v>-5506.3345133098401</v>
      </c>
      <c r="F16" s="14" t="s">
        <v>3</v>
      </c>
      <c r="G16" s="1"/>
    </row>
    <row r="17" spans="1:7" x14ac:dyDescent="0.25">
      <c r="A17" s="1"/>
      <c r="B17" s="93" t="s">
        <v>26</v>
      </c>
      <c r="C17" s="94"/>
      <c r="D17" s="95"/>
      <c r="E17" s="9">
        <f>-E15*'Fane 14. Nøgletal'!C29</f>
        <v>-5506.3345133098401</v>
      </c>
      <c r="F17" s="14" t="s">
        <v>3</v>
      </c>
      <c r="G17" s="1"/>
    </row>
    <row r="18" spans="1:7" x14ac:dyDescent="0.25">
      <c r="A18" s="1"/>
      <c r="B18" s="99" t="s">
        <v>106</v>
      </c>
      <c r="C18" s="100"/>
      <c r="D18" s="101"/>
      <c r="E18" s="12">
        <f>SUM(E15:E17)*(1+'Fane 14. Nøgletal'!C14)^3</f>
        <v>266929.31111142255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155</v>
      </c>
      <c r="C20" s="100"/>
      <c r="D20" s="100"/>
      <c r="E20" s="100"/>
      <c r="F20" s="101"/>
      <c r="G20" s="1"/>
    </row>
    <row r="21" spans="1:7" ht="15" customHeight="1" x14ac:dyDescent="0.25">
      <c r="A21" s="1"/>
      <c r="B21" s="124" t="s">
        <v>226</v>
      </c>
      <c r="C21" s="125"/>
      <c r="D21" s="126"/>
      <c r="E21" s="9">
        <v>275316.72566549201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krav'!G12</f>
        <v>-5506.3345133098401</v>
      </c>
      <c r="F22" s="14" t="s">
        <v>3</v>
      </c>
      <c r="G22" s="1"/>
    </row>
    <row r="23" spans="1:7" x14ac:dyDescent="0.25">
      <c r="A23" s="1"/>
      <c r="B23" s="93" t="s">
        <v>26</v>
      </c>
      <c r="C23" s="94"/>
      <c r="D23" s="95"/>
      <c r="E23" s="9">
        <f>-E21*'Fane 14. Nøgletal'!C29</f>
        <v>-5506.3345133098401</v>
      </c>
      <c r="F23" s="14" t="s">
        <v>3</v>
      </c>
      <c r="G23" s="1"/>
    </row>
    <row r="24" spans="1:7" x14ac:dyDescent="0.25">
      <c r="A24" s="1"/>
      <c r="B24" s="99" t="s">
        <v>156</v>
      </c>
      <c r="C24" s="100"/>
      <c r="D24" s="101"/>
      <c r="E24" s="12">
        <f>SUM(E21:E23)*(1+'Fane 14. Nøgletal'!C14)^4</f>
        <v>267810.17783809028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227</v>
      </c>
      <c r="C26" s="100"/>
      <c r="D26" s="100"/>
      <c r="E26" s="100"/>
      <c r="F26" s="101"/>
      <c r="G26" s="1"/>
    </row>
    <row r="27" spans="1:7" ht="15" customHeight="1" x14ac:dyDescent="0.25">
      <c r="A27" s="1"/>
      <c r="B27" s="124" t="s">
        <v>226</v>
      </c>
      <c r="C27" s="125"/>
      <c r="D27" s="126"/>
      <c r="E27" s="9">
        <v>275316.72566549201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krav'!G12</f>
        <v>-5506.3345133098401</v>
      </c>
      <c r="F28" s="14" t="s">
        <v>3</v>
      </c>
      <c r="G28" s="1"/>
    </row>
    <row r="29" spans="1:7" x14ac:dyDescent="0.25">
      <c r="A29" s="1"/>
      <c r="B29" s="93" t="s">
        <v>26</v>
      </c>
      <c r="C29" s="94"/>
      <c r="D29" s="95"/>
      <c r="E29" s="9">
        <f>-E27*'Fane 14. Nøgletal'!C29</f>
        <v>-5506.3345133098401</v>
      </c>
      <c r="F29" s="14" t="s">
        <v>3</v>
      </c>
      <c r="G29" s="1"/>
    </row>
    <row r="30" spans="1:7" x14ac:dyDescent="0.25">
      <c r="A30" s="1"/>
      <c r="B30" s="99" t="s">
        <v>228</v>
      </c>
      <c r="C30" s="100"/>
      <c r="D30" s="101"/>
      <c r="E30" s="12">
        <f>SUM(E27:E29)*(1+'Fane 14. Nøgletal'!C14)^5</f>
        <v>268693.95142495597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VMRjo0588AG6+Ts0BKSVLkOyRot5ls6sWzeEtmtARNm3hqHwtuqEVHSk864OGOohRpxioyut31B8Dl9s62GJrQ==" saltValue="bZJyN5AKhgn1AjdjVKFHq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157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158</v>
      </c>
      <c r="C8" s="100"/>
      <c r="D8" s="100"/>
      <c r="E8" s="100"/>
      <c r="F8" s="101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efHVPaEdLY/RUiagTLe+tO3cq8FOshEouluJzrZ10Y+Vzp7pUhlbyDw/lUqTvXigvvKyScEnnpffSCnlVFLkTw==" saltValue="HMCGlrNerKSXZKHOrcjIu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107</v>
      </c>
      <c r="C8" s="100"/>
      <c r="D8" s="100"/>
      <c r="E8" s="100"/>
      <c r="F8" s="10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108</v>
      </c>
      <c r="C14" s="100"/>
      <c r="D14" s="100"/>
      <c r="E14" s="100"/>
      <c r="F14" s="10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169</v>
      </c>
      <c r="C20" s="100"/>
      <c r="D20" s="100"/>
      <c r="E20" s="100"/>
      <c r="F20" s="10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231</v>
      </c>
      <c r="C26" s="100"/>
      <c r="D26" s="100"/>
      <c r="E26" s="100"/>
      <c r="F26" s="10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8Qzx28Ztd8nlOtwFuSw92/fkTBk4vtCGcUMh7XZbpiGrq9IlUxdCUkn/1THCuf7vmr6i37sYsfrLCN4jMYveUw==" saltValue="7mDXs+dSs9lZzgMyBiW7W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189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5" t="s">
        <v>137</v>
      </c>
      <c r="C9" s="26">
        <v>1.2699999999999999E-2</v>
      </c>
      <c r="D9" s="1"/>
    </row>
    <row r="10" spans="1:4" x14ac:dyDescent="0.25">
      <c r="A10" s="1"/>
      <c r="B10" s="65" t="s">
        <v>138</v>
      </c>
      <c r="C10" s="26">
        <v>1.7500000000000002E-2</v>
      </c>
      <c r="D10" s="1"/>
    </row>
    <row r="11" spans="1:4" x14ac:dyDescent="0.25">
      <c r="A11" s="1"/>
      <c r="B11" s="65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5" t="s">
        <v>253</v>
      </c>
      <c r="C14" s="51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5" t="s">
        <v>139</v>
      </c>
      <c r="C19" s="23">
        <v>9.1000000000000004E-3</v>
      </c>
      <c r="D19" s="1"/>
    </row>
    <row r="20" spans="1:4" x14ac:dyDescent="0.25">
      <c r="A20" s="1"/>
      <c r="B20" s="65" t="s">
        <v>190</v>
      </c>
      <c r="C20" s="23">
        <v>1.77E-2</v>
      </c>
      <c r="D20" s="1"/>
    </row>
    <row r="21" spans="1:4" x14ac:dyDescent="0.25">
      <c r="A21" s="1"/>
      <c r="B21" s="65" t="s">
        <v>191</v>
      </c>
      <c r="C21" s="23">
        <v>8.6999999999999994E-3</v>
      </c>
      <c r="D21" s="1"/>
    </row>
    <row r="22" spans="1:4" x14ac:dyDescent="0.25">
      <c r="A22" s="1"/>
      <c r="B22" s="65" t="s">
        <v>140</v>
      </c>
      <c r="C22" s="41">
        <v>2.8400000000000002E-2</v>
      </c>
      <c r="D22" s="1"/>
    </row>
    <row r="23" spans="1:4" x14ac:dyDescent="0.25">
      <c r="A23" s="1"/>
      <c r="B23" s="65" t="s">
        <v>192</v>
      </c>
      <c r="C23" s="41">
        <v>2.75E-2</v>
      </c>
      <c r="D23" s="1"/>
    </row>
    <row r="24" spans="1:4" x14ac:dyDescent="0.25">
      <c r="A24" s="1"/>
      <c r="B24" s="65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5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XJ65e7z0JHYiHmLK5/OK+uK7nE1V1RD3kc1aiA2Z2Bg0mpXNQgtBh9Yrci5kwMWS9HEEY9OUiSjZVQ6n8oYMgw==" saltValue="oKlKfhV/D7kLxJWfrkAPF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194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40165433.06014125</v>
      </c>
      <c r="D9" s="8" t="s">
        <v>3</v>
      </c>
      <c r="E9" s="1"/>
    </row>
    <row r="10" spans="1:5" ht="17.100000000000001" customHeight="1" x14ac:dyDescent="0.25">
      <c r="A10" s="1"/>
      <c r="B10" s="53" t="s">
        <v>43</v>
      </c>
      <c r="C10" s="7">
        <f>'Fane 10.1. Varige tillæg'!C13</f>
        <v>1202063.763</v>
      </c>
      <c r="D10" s="8" t="s">
        <v>3</v>
      </c>
      <c r="E10" s="1"/>
    </row>
    <row r="11" spans="1:5" ht="17.100000000000001" customHeight="1" x14ac:dyDescent="0.25">
      <c r="A11" s="1"/>
      <c r="B11" s="53" t="s">
        <v>44</v>
      </c>
      <c r="C11" s="9">
        <f>'Fane 10.1. Varige tillæg'!E13</f>
        <v>126652.5788</v>
      </c>
      <c r="D11" s="8" t="s">
        <v>3</v>
      </c>
      <c r="E11" s="1"/>
    </row>
    <row r="12" spans="1:5" ht="17.100000000000001" customHeight="1" x14ac:dyDescent="0.25">
      <c r="A12" s="1"/>
      <c r="B12" s="53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3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3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3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3" t="s">
        <v>20</v>
      </c>
      <c r="C16" s="9">
        <f>SUM(C9:C15)*'Fane 14. Nøgletal'!C14</f>
        <v>136930.69302640611</v>
      </c>
      <c r="D16" s="8" t="s">
        <v>3</v>
      </c>
      <c r="E16" s="1"/>
    </row>
    <row r="17" spans="1:5" ht="17.100000000000001" customHeight="1" x14ac:dyDescent="0.25">
      <c r="A17" s="1"/>
      <c r="B17" s="53" t="s">
        <v>10</v>
      </c>
      <c r="C17" s="9">
        <f>-SUM(C9:C16)*'Fane 5. Individuelt eff. krav'!G12</f>
        <v>-832621.60189935309</v>
      </c>
      <c r="D17" s="8" t="s">
        <v>3</v>
      </c>
      <c r="E17" s="1"/>
    </row>
    <row r="18" spans="1:5" ht="17.100000000000001" customHeight="1" x14ac:dyDescent="0.25">
      <c r="A18" s="1"/>
      <c r="B18" s="53" t="s">
        <v>26</v>
      </c>
      <c r="C18" s="9">
        <f>-'Fane 4.1. Gen. krav - drift'!G39</f>
        <v>-493002.29549983755</v>
      </c>
      <c r="D18" s="8" t="s">
        <v>3</v>
      </c>
      <c r="E18" s="1"/>
    </row>
    <row r="19" spans="1:5" ht="17.100000000000001" customHeight="1" x14ac:dyDescent="0.25">
      <c r="A19" s="1"/>
      <c r="B19" s="53" t="s">
        <v>27</v>
      </c>
      <c r="C19" s="9">
        <f>-'Fane 4.2. Gen. krav - anlæg'!G37</f>
        <v>-254325.85573312524</v>
      </c>
      <c r="D19" s="8" t="s">
        <v>3</v>
      </c>
      <c r="E19" s="1"/>
    </row>
    <row r="20" spans="1:5" ht="17.100000000000001" customHeight="1" x14ac:dyDescent="0.25">
      <c r="A20" s="1"/>
      <c r="B20" s="59" t="s">
        <v>22</v>
      </c>
      <c r="C20" s="10">
        <f>SUM(C9:C19)</f>
        <v>40051130.341835335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3465875.0413005706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9" t="s">
        <v>94</v>
      </c>
      <c r="C24" s="10">
        <f>'Fane 11. Periodevise driftsomk.'!E12</f>
        <v>266051.34168386576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3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3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9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285</v>
      </c>
      <c r="C30" s="10">
        <f>'Fane 7. Kontrol af ØR2020'!E34</f>
        <v>-1856545.0799217373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270000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6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42196511.644898035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w2l5W7VTJBiT1K9lQDDOXXzAexC1pNLFqWWZPgKaOjwFV1NXjsehz47mZnALnUJAI+Qf9qlB4EWvCklEEep/uA==" saltValue="jncs1BxP6AKrzZGTIasdQ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196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/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40051130.341835335</v>
      </c>
      <c r="D9" s="8" t="s">
        <v>3</v>
      </c>
      <c r="E9" s="1"/>
    </row>
    <row r="10" spans="1:5" ht="15" customHeight="1" x14ac:dyDescent="0.25">
      <c r="A10" s="1"/>
      <c r="B10" s="53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3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132168.7301280566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-803665.98143926787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drift'!G46</f>
        <v>-484736.61901348724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-251388.68711740026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38643507.784393236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3477312.4289368629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driftsomk.'!E18</f>
        <v>266929.31111142255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285</v>
      </c>
      <c r="C26" s="10">
        <f>'Fane 7. Kontrol af ØR2020'!E34</f>
        <v>-1856545.0799217373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6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40531204.444519781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EPySq9zPdy2fQmWwLPDqUsWimaWWguIvd3zNDnhSnlSan7p7MYSzrDarZvcvmrDdX/SfOCDZBVYnyddcjHYd/Q==" saltValue="jSCbf+ZwwLMZnmyCU0Ytn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38643507.784393236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127523.57568849767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-775420.62720163469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drift'!G54</f>
        <v>-476609.52485910716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-248485.43939207139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37270515.768628918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3488787.5599523545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driftsomk.'!E24</f>
        <v>267810.17783809028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41027113.506419361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09olIJRYta0Z4DxK4qdtwCnpEZl59WjJXvYyr7vUp7BpT/us9Ifj/i8UELrv3bXO2ls0JJeEbg64L1p6ZuIJmw==" saltValue="xo5lkknx5+wYuv1kSfHwC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198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37270515.768628918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122992.70203647543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-747870.16941330791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drift'!G60</f>
        <v>-468618.68956531934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-245615.72081020268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35931403.890876569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3500300.5589001975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driftsomk.'!E30</f>
        <v>268693.95142495597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39700398.401201725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/zNRtBfZyvrNa/eRlTE47bPQpaTAs1nCaZ+kQQq6HiVZ/fhK8y6mV3Ma2p8BsVKlC488nQdtZh7gfuOL95OCjA==" saltValue="bondFJX1pwT878j3i9GcU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250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279</v>
      </c>
      <c r="C8" s="32"/>
      <c r="D8" s="32"/>
      <c r="E8" s="32"/>
      <c r="F8" s="20"/>
      <c r="G8" s="1"/>
    </row>
    <row r="9" spans="1:7" ht="15" customHeight="1" x14ac:dyDescent="0.25">
      <c r="A9" s="1"/>
      <c r="B9" s="89" t="s">
        <v>25</v>
      </c>
      <c r="C9" s="90"/>
      <c r="D9" s="91"/>
      <c r="E9" s="7">
        <v>40258723.024736449</v>
      </c>
      <c r="F9" s="8" t="s">
        <v>3</v>
      </c>
      <c r="G9" s="1"/>
    </row>
    <row r="10" spans="1:7" ht="15" customHeight="1" x14ac:dyDescent="0.25">
      <c r="A10" s="1"/>
      <c r="B10" s="93" t="s">
        <v>43</v>
      </c>
      <c r="C10" s="94"/>
      <c r="D10" s="95"/>
      <c r="E10" s="7">
        <v>0</v>
      </c>
      <c r="F10" s="8" t="s">
        <v>3</v>
      </c>
      <c r="G10" s="1"/>
    </row>
    <row r="11" spans="1:7" ht="15" customHeight="1" x14ac:dyDescent="0.25">
      <c r="A11" s="1"/>
      <c r="B11" s="93" t="s">
        <v>44</v>
      </c>
      <c r="C11" s="94"/>
      <c r="D11" s="95"/>
      <c r="E11" s="9">
        <v>86298.147599999997</v>
      </c>
      <c r="F11" s="8" t="s">
        <v>3</v>
      </c>
      <c r="G11" s="1"/>
    </row>
    <row r="12" spans="1:7" ht="15" customHeight="1" x14ac:dyDescent="0.25">
      <c r="A12" s="1"/>
      <c r="B12" s="93" t="s">
        <v>29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9" t="s">
        <v>28</v>
      </c>
      <c r="C13" s="90"/>
      <c r="D13" s="91"/>
      <c r="E13" s="9">
        <v>0</v>
      </c>
      <c r="F13" s="8" t="s">
        <v>3</v>
      </c>
      <c r="G13" s="1"/>
    </row>
    <row r="14" spans="1:7" ht="15" customHeight="1" x14ac:dyDescent="0.25">
      <c r="A14" s="1"/>
      <c r="B14" s="89" t="s">
        <v>31</v>
      </c>
      <c r="C14" s="90"/>
      <c r="D14" s="91"/>
      <c r="E14" s="9">
        <v>0</v>
      </c>
      <c r="F14" s="8" t="s">
        <v>3</v>
      </c>
      <c r="G14" s="1"/>
    </row>
    <row r="15" spans="1:7" ht="15" customHeight="1" x14ac:dyDescent="0.25">
      <c r="A15" s="1"/>
      <c r="B15" s="89" t="s">
        <v>30</v>
      </c>
      <c r="C15" s="90"/>
      <c r="D15" s="91"/>
      <c r="E15" s="9">
        <v>0</v>
      </c>
      <c r="F15" s="8" t="s">
        <v>3</v>
      </c>
      <c r="G15" s="1"/>
    </row>
    <row r="16" spans="1:7" ht="15" customHeight="1" x14ac:dyDescent="0.25">
      <c r="A16" s="1"/>
      <c r="B16" s="89" t="s">
        <v>20</v>
      </c>
      <c r="C16" s="90"/>
      <c r="D16" s="91"/>
      <c r="E16" s="9">
        <v>794149.68098802795</v>
      </c>
      <c r="F16" s="8" t="s">
        <v>3</v>
      </c>
      <c r="G16" s="1"/>
    </row>
    <row r="17" spans="1:7" ht="15" customHeight="1" x14ac:dyDescent="0.25">
      <c r="A17" s="1"/>
      <c r="B17" s="89" t="s">
        <v>10</v>
      </c>
      <c r="C17" s="90"/>
      <c r="D17" s="91"/>
      <c r="E17" s="9">
        <v>0</v>
      </c>
      <c r="F17" s="8" t="s">
        <v>3</v>
      </c>
      <c r="G17" s="1"/>
    </row>
    <row r="18" spans="1:7" ht="15" customHeight="1" x14ac:dyDescent="0.25">
      <c r="A18" s="1"/>
      <c r="B18" s="89" t="s">
        <v>26</v>
      </c>
      <c r="C18" s="90"/>
      <c r="D18" s="91"/>
      <c r="E18" s="9">
        <f>-'Fane 4.1. Gen. krav - drift'!G33</f>
        <v>-476877.00387850666</v>
      </c>
      <c r="F18" s="8" t="s">
        <v>3</v>
      </c>
      <c r="G18" s="1"/>
    </row>
    <row r="19" spans="1:7" ht="15" customHeight="1" x14ac:dyDescent="0.25">
      <c r="A19" s="1"/>
      <c r="B19" s="89" t="s">
        <v>27</v>
      </c>
      <c r="C19" s="90"/>
      <c r="D19" s="91"/>
      <c r="E19" s="9">
        <f>-'Fane 4.2. Gen. krav - anlæg'!G31</f>
        <v>-496860.78930472879</v>
      </c>
      <c r="F19" s="8" t="s">
        <v>3</v>
      </c>
      <c r="G19" s="1"/>
    </row>
    <row r="20" spans="1:7" ht="15" customHeight="1" x14ac:dyDescent="0.25">
      <c r="A20" s="1"/>
      <c r="B20" s="59" t="s">
        <v>22</v>
      </c>
      <c r="C20" s="60"/>
      <c r="D20" s="67"/>
      <c r="E20" s="10">
        <f>SUM(E9:E19)</f>
        <v>40165433.06014125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6" t="s">
        <v>13</v>
      </c>
      <c r="C22" s="97"/>
      <c r="D22" s="98"/>
      <c r="E22" s="10">
        <v>3559581.83842128</v>
      </c>
      <c r="F22" s="11" t="s">
        <v>3</v>
      </c>
      <c r="G22" s="1"/>
    </row>
    <row r="23" spans="1:7" ht="15" customHeight="1" x14ac:dyDescent="0.25">
      <c r="A23" s="1"/>
      <c r="B23" s="99" t="s">
        <v>94</v>
      </c>
      <c r="C23" s="100"/>
      <c r="D23" s="101"/>
      <c r="E23" s="32"/>
      <c r="F23" s="32"/>
      <c r="G23" s="1"/>
    </row>
    <row r="24" spans="1:7" ht="15" customHeight="1" x14ac:dyDescent="0.25">
      <c r="A24" s="1"/>
      <c r="B24" s="59" t="s">
        <v>94</v>
      </c>
      <c r="C24" s="43"/>
      <c r="D24" s="44"/>
      <c r="E24" s="10">
        <v>275883.20511188946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3" t="s">
        <v>89</v>
      </c>
      <c r="C26" s="94"/>
      <c r="D26" s="95"/>
      <c r="E26" s="9">
        <v>0</v>
      </c>
      <c r="F26" s="8" t="s">
        <v>3</v>
      </c>
      <c r="G26" s="1"/>
    </row>
    <row r="27" spans="1:7" ht="15" customHeight="1" x14ac:dyDescent="0.25">
      <c r="A27" s="1"/>
      <c r="B27" s="93" t="s">
        <v>90</v>
      </c>
      <c r="C27" s="94"/>
      <c r="D27" s="94"/>
      <c r="E27" s="9">
        <v>0</v>
      </c>
      <c r="F27" s="8" t="s">
        <v>3</v>
      </c>
      <c r="G27" s="1"/>
    </row>
    <row r="28" spans="1:7" ht="15" customHeight="1" x14ac:dyDescent="0.25">
      <c r="A28" s="1"/>
      <c r="B28" s="102" t="s">
        <v>95</v>
      </c>
      <c r="C28" s="103"/>
      <c r="D28" s="103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6" t="s">
        <v>185</v>
      </c>
      <c r="C30" s="97"/>
      <c r="D30" s="97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6" t="s">
        <v>148</v>
      </c>
      <c r="C32" s="97"/>
      <c r="D32" s="98"/>
      <c r="E32" s="10">
        <v>268740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44269638.103674419</v>
      </c>
      <c r="F33" s="13" t="s">
        <v>3</v>
      </c>
      <c r="G33" s="1"/>
    </row>
    <row r="34" spans="1:7" ht="27" customHeight="1" x14ac:dyDescent="0.25">
      <c r="A34" s="1"/>
      <c r="B34" s="89" t="s">
        <v>252</v>
      </c>
      <c r="C34" s="90"/>
      <c r="D34" s="90"/>
      <c r="E34" s="90"/>
      <c r="F34" s="9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kQmVObwQj2o1kmmwoFwmsOWco3vn9YT089+r8nb/a5+1h96YeDe/0t/XHhl+FGQkGeZSKJbAev6a/yB58zduA==" saltValue="0pXj/S5zLgiHQsZ8f4boNQ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92" t="s">
        <v>130</v>
      </c>
      <c r="C2" s="92"/>
      <c r="D2" s="92"/>
      <c r="E2" s="92"/>
      <c r="F2" s="92"/>
      <c r="G2" s="92"/>
      <c r="H2" s="92"/>
      <c r="I2" s="1"/>
    </row>
    <row r="3" spans="1:9" ht="28.5" customHeight="1" x14ac:dyDescent="0.25">
      <c r="A3" s="1"/>
      <c r="B3" s="92"/>
      <c r="C3" s="92"/>
      <c r="D3" s="92"/>
      <c r="E3" s="92"/>
      <c r="F3" s="92"/>
      <c r="G3" s="92"/>
      <c r="H3" s="92"/>
      <c r="I3" s="1"/>
    </row>
    <row r="4" spans="1:9" x14ac:dyDescent="0.25">
      <c r="A4" s="1"/>
      <c r="B4" s="99" t="s">
        <v>56</v>
      </c>
      <c r="C4" s="100"/>
      <c r="D4" s="100"/>
      <c r="E4" s="100"/>
      <c r="F4" s="100"/>
      <c r="G4" s="100"/>
      <c r="H4" s="101"/>
      <c r="I4" s="1"/>
    </row>
    <row r="5" spans="1:9" x14ac:dyDescent="0.25">
      <c r="A5" s="1"/>
      <c r="B5" s="104" t="s">
        <v>45</v>
      </c>
      <c r="C5" s="105"/>
      <c r="D5" s="105"/>
      <c r="E5" s="105"/>
      <c r="F5" s="106"/>
      <c r="G5" s="24">
        <v>23851367.769403886</v>
      </c>
      <c r="H5" s="14" t="s">
        <v>3</v>
      </c>
      <c r="I5" s="1"/>
    </row>
    <row r="6" spans="1:9" x14ac:dyDescent="0.25">
      <c r="A6" s="1"/>
      <c r="B6" s="89" t="s">
        <v>145</v>
      </c>
      <c r="C6" s="90"/>
      <c r="D6" s="90"/>
      <c r="E6" s="90"/>
      <c r="F6" s="91"/>
      <c r="G6" s="24">
        <v>260945</v>
      </c>
      <c r="H6" s="14" t="s">
        <v>3</v>
      </c>
      <c r="I6" s="1"/>
    </row>
    <row r="7" spans="1:9" x14ac:dyDescent="0.25">
      <c r="A7" s="1"/>
      <c r="B7" s="104" t="s">
        <v>46</v>
      </c>
      <c r="C7" s="105"/>
      <c r="D7" s="105"/>
      <c r="E7" s="105"/>
      <c r="F7" s="106"/>
      <c r="G7" s="24">
        <f>SUM(G5:G6)*'Fane 14. Nøgletal'!C29</f>
        <v>482246.25538807776</v>
      </c>
      <c r="H7" s="14" t="s">
        <v>3</v>
      </c>
      <c r="I7" s="1"/>
    </row>
    <row r="8" spans="1:9" x14ac:dyDescent="0.2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9" t="s">
        <v>57</v>
      </c>
      <c r="C10" s="100"/>
      <c r="D10" s="100"/>
      <c r="E10" s="100"/>
      <c r="F10" s="100"/>
      <c r="G10" s="100"/>
      <c r="H10" s="101"/>
      <c r="I10" s="1"/>
    </row>
    <row r="11" spans="1:9" x14ac:dyDescent="0.25">
      <c r="A11" s="1"/>
      <c r="B11" s="104" t="s">
        <v>47</v>
      </c>
      <c r="C11" s="105"/>
      <c r="D11" s="105"/>
      <c r="E11" s="105"/>
      <c r="F11" s="106"/>
      <c r="G11" s="24">
        <f>(G5-G7)*(1+'Fane 14. Nøgletal'!C10)</f>
        <v>23778081.140511088</v>
      </c>
      <c r="H11" s="14" t="s">
        <v>3</v>
      </c>
      <c r="I11" s="1"/>
    </row>
    <row r="12" spans="1:9" ht="15" customHeight="1" x14ac:dyDescent="0.25">
      <c r="A12" s="1"/>
      <c r="B12" s="104" t="s">
        <v>146</v>
      </c>
      <c r="C12" s="105"/>
      <c r="D12" s="105"/>
      <c r="E12" s="105"/>
      <c r="F12" s="106"/>
      <c r="G12" s="24">
        <v>172561.27396173589</v>
      </c>
      <c r="H12" s="14" t="s">
        <v>3</v>
      </c>
      <c r="I12" s="1"/>
    </row>
    <row r="13" spans="1:9" x14ac:dyDescent="0.25">
      <c r="A13" s="1"/>
      <c r="B13" s="89" t="s">
        <v>143</v>
      </c>
      <c r="C13" s="90"/>
      <c r="D13" s="90"/>
      <c r="E13" s="90"/>
      <c r="F13" s="91"/>
      <c r="G13" s="24">
        <v>265510.63979180605</v>
      </c>
      <c r="H13" s="14" t="s">
        <v>3</v>
      </c>
      <c r="I13" s="1"/>
    </row>
    <row r="14" spans="1:9" x14ac:dyDescent="0.25">
      <c r="A14" s="1"/>
      <c r="B14" s="110" t="s">
        <v>48</v>
      </c>
      <c r="C14" s="111"/>
      <c r="D14" s="111"/>
      <c r="E14" s="111"/>
      <c r="F14" s="112"/>
      <c r="G14" s="9">
        <v>0</v>
      </c>
      <c r="H14" s="14" t="s">
        <v>3</v>
      </c>
      <c r="I14" s="1"/>
    </row>
    <row r="15" spans="1:9" x14ac:dyDescent="0.25">
      <c r="A15" s="1"/>
      <c r="B15" s="104" t="s">
        <v>49</v>
      </c>
      <c r="C15" s="105"/>
      <c r="D15" s="105"/>
      <c r="E15" s="105"/>
      <c r="F15" s="106"/>
      <c r="G15" s="24">
        <f>SUM(G11:G14)*'Fane 14. Nøgletal'!C29</f>
        <v>484323.0610852926</v>
      </c>
      <c r="H15" s="14" t="s">
        <v>3</v>
      </c>
      <c r="I15" s="1"/>
    </row>
    <row r="16" spans="1:9" x14ac:dyDescent="0.25">
      <c r="A16" s="1"/>
      <c r="B16" s="38"/>
      <c r="C16" s="32"/>
      <c r="D16" s="32"/>
      <c r="E16" s="32"/>
      <c r="F16" s="32"/>
      <c r="G16" s="32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9" t="s">
        <v>58</v>
      </c>
      <c r="C18" s="100"/>
      <c r="D18" s="100"/>
      <c r="E18" s="100"/>
      <c r="F18" s="100"/>
      <c r="G18" s="100"/>
      <c r="H18" s="101"/>
      <c r="I18" s="1"/>
    </row>
    <row r="19" spans="1:9" x14ac:dyDescent="0.25">
      <c r="A19" s="1"/>
      <c r="B19" s="104" t="s">
        <v>50</v>
      </c>
      <c r="C19" s="105"/>
      <c r="D19" s="105"/>
      <c r="E19" s="105"/>
      <c r="F19" s="106"/>
      <c r="G19" s="24">
        <f>(SUM(G11:G12,G14)-(G15))*(1+'Fane 14. Nøgletal'!C10)</f>
        <v>23876979.942071818</v>
      </c>
      <c r="H19" s="14" t="s">
        <v>3</v>
      </c>
      <c r="I19" s="1"/>
    </row>
    <row r="20" spans="1:9" x14ac:dyDescent="0.25">
      <c r="A20" s="1"/>
      <c r="B20" s="110" t="s">
        <v>51</v>
      </c>
      <c r="C20" s="111"/>
      <c r="D20" s="111"/>
      <c r="E20" s="111"/>
      <c r="F20" s="112"/>
      <c r="G20" s="9">
        <v>0</v>
      </c>
      <c r="H20" s="14" t="s">
        <v>3</v>
      </c>
      <c r="I20" s="1"/>
    </row>
    <row r="21" spans="1:9" x14ac:dyDescent="0.25">
      <c r="A21" s="1"/>
      <c r="B21" s="104" t="s">
        <v>52</v>
      </c>
      <c r="C21" s="105"/>
      <c r="D21" s="105"/>
      <c r="E21" s="105"/>
      <c r="F21" s="106"/>
      <c r="G21" s="24">
        <f>SUM(G19:G20)*'Fane 14. Nøgletal'!C29</f>
        <v>477539.59884143638</v>
      </c>
      <c r="H21" s="14" t="s">
        <v>3</v>
      </c>
      <c r="I21" s="1"/>
    </row>
    <row r="22" spans="1:9" x14ac:dyDescent="0.25">
      <c r="A22" s="1"/>
      <c r="B22" s="38"/>
      <c r="C22" s="32"/>
      <c r="D22" s="32"/>
      <c r="E22" s="32"/>
      <c r="F22" s="32"/>
      <c r="G22" s="32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9" t="s">
        <v>59</v>
      </c>
      <c r="C24" s="100"/>
      <c r="D24" s="100"/>
      <c r="E24" s="100"/>
      <c r="F24" s="100"/>
      <c r="G24" s="100"/>
      <c r="H24" s="101"/>
      <c r="I24" s="1"/>
    </row>
    <row r="25" spans="1:9" x14ac:dyDescent="0.25">
      <c r="A25" s="1"/>
      <c r="B25" s="104" t="s">
        <v>53</v>
      </c>
      <c r="C25" s="105"/>
      <c r="D25" s="105"/>
      <c r="E25" s="105"/>
      <c r="F25" s="106"/>
      <c r="G25" s="24">
        <f>(G19+G20-G21)*(1+'Fane 14. Nøgletal'!C12)</f>
        <v>23860409.31799202</v>
      </c>
      <c r="H25" s="14" t="s">
        <v>3</v>
      </c>
      <c r="I25" s="1"/>
    </row>
    <row r="26" spans="1:9" x14ac:dyDescent="0.25">
      <c r="A26" s="1"/>
      <c r="B26" s="110" t="s">
        <v>54</v>
      </c>
      <c r="C26" s="111"/>
      <c r="D26" s="111"/>
      <c r="E26" s="111"/>
      <c r="F26" s="112"/>
      <c r="G26" s="9">
        <v>0</v>
      </c>
      <c r="H26" s="14" t="s">
        <v>3</v>
      </c>
      <c r="I26" s="1"/>
    </row>
    <row r="27" spans="1:9" x14ac:dyDescent="0.25">
      <c r="A27" s="1"/>
      <c r="B27" s="104" t="s">
        <v>55</v>
      </c>
      <c r="C27" s="105"/>
      <c r="D27" s="105"/>
      <c r="E27" s="105"/>
      <c r="F27" s="106"/>
      <c r="G27" s="24">
        <f>(G25+G26)*'Fane 14. Nøgletal'!C29</f>
        <v>477208.18635984045</v>
      </c>
      <c r="H27" s="14" t="s">
        <v>3</v>
      </c>
      <c r="I27" s="1"/>
    </row>
    <row r="28" spans="1:9" x14ac:dyDescent="0.25">
      <c r="A28" s="1"/>
      <c r="B28" s="38"/>
      <c r="C28" s="32"/>
      <c r="D28" s="32"/>
      <c r="E28" s="32"/>
      <c r="F28" s="32"/>
      <c r="G28" s="32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9" t="s">
        <v>62</v>
      </c>
      <c r="C30" s="100"/>
      <c r="D30" s="100"/>
      <c r="E30" s="100"/>
      <c r="F30" s="100"/>
      <c r="G30" s="100"/>
      <c r="H30" s="101"/>
      <c r="I30" s="1"/>
    </row>
    <row r="31" spans="1:9" x14ac:dyDescent="0.25">
      <c r="A31" s="1"/>
      <c r="B31" s="104" t="s">
        <v>63</v>
      </c>
      <c r="C31" s="105"/>
      <c r="D31" s="105"/>
      <c r="E31" s="105"/>
      <c r="F31" s="106"/>
      <c r="G31" s="24">
        <f>(G25+G26-G27)*(1+'Fane 14. Nøgletal'!C12)</f>
        <v>23843850.193925332</v>
      </c>
      <c r="H31" s="14" t="s">
        <v>3</v>
      </c>
      <c r="I31" s="1"/>
    </row>
    <row r="32" spans="1:9" x14ac:dyDescent="0.25">
      <c r="A32" s="1"/>
      <c r="B32" s="104" t="s">
        <v>171</v>
      </c>
      <c r="C32" s="105"/>
      <c r="D32" s="105"/>
      <c r="E32" s="105"/>
      <c r="F32" s="106"/>
      <c r="G32" s="9">
        <v>0</v>
      </c>
      <c r="H32" s="14" t="s">
        <v>3</v>
      </c>
      <c r="I32" s="1"/>
    </row>
    <row r="33" spans="1:9" x14ac:dyDescent="0.25">
      <c r="A33" s="1"/>
      <c r="B33" s="104" t="s">
        <v>64</v>
      </c>
      <c r="C33" s="105"/>
      <c r="D33" s="105"/>
      <c r="E33" s="105"/>
      <c r="F33" s="106"/>
      <c r="G33" s="24">
        <f>(G31+G32)*'Fane 14. Nøgletal'!C29</f>
        <v>476877.00387850666</v>
      </c>
      <c r="H33" s="14" t="s">
        <v>3</v>
      </c>
      <c r="I33" s="1"/>
    </row>
    <row r="34" spans="1:9" x14ac:dyDescent="0.25">
      <c r="A34" s="1"/>
      <c r="B34" s="38"/>
      <c r="C34" s="32"/>
      <c r="D34" s="32"/>
      <c r="E34" s="32"/>
      <c r="F34" s="32"/>
      <c r="G34" s="32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9" t="s">
        <v>232</v>
      </c>
      <c r="C36" s="100"/>
      <c r="D36" s="100"/>
      <c r="E36" s="100"/>
      <c r="F36" s="100"/>
      <c r="G36" s="100"/>
      <c r="H36" s="101"/>
      <c r="I36" s="1"/>
    </row>
    <row r="37" spans="1:9" x14ac:dyDescent="0.25">
      <c r="A37" s="1"/>
      <c r="B37" s="104" t="s">
        <v>84</v>
      </c>
      <c r="C37" s="105"/>
      <c r="D37" s="105"/>
      <c r="E37" s="105"/>
      <c r="F37" s="106"/>
      <c r="G37" s="24">
        <f>(G31+G32-G33)*(1+'Fane 14. Nøgletal'!C14)</f>
        <v>23444084.201573979</v>
      </c>
      <c r="H37" s="14" t="s">
        <v>3</v>
      </c>
      <c r="I37" s="1"/>
    </row>
    <row r="38" spans="1:9" x14ac:dyDescent="0.25">
      <c r="A38" s="1"/>
      <c r="B38" s="104" t="s">
        <v>236</v>
      </c>
      <c r="C38" s="105"/>
      <c r="D38" s="105"/>
      <c r="E38" s="105"/>
      <c r="F38" s="106"/>
      <c r="G38" s="24">
        <f>SUM('Fane 2.1. Økonomisk ramme 2022'!C10,'Fane 2.1. Økonomisk ramme 2022'!C12,'Fane 2.1. Økonomisk ramme 2022'!C14)*(1+'Fane 14. Nøgletal'!C14)</f>
        <v>1206030.5734179001</v>
      </c>
      <c r="H38" s="14" t="s">
        <v>3</v>
      </c>
      <c r="I38" s="1"/>
    </row>
    <row r="39" spans="1:9" x14ac:dyDescent="0.25">
      <c r="A39" s="1"/>
      <c r="B39" s="104" t="s">
        <v>234</v>
      </c>
      <c r="C39" s="105"/>
      <c r="D39" s="105"/>
      <c r="E39" s="105"/>
      <c r="F39" s="106"/>
      <c r="G39" s="24">
        <f>(G37+G38)*'Fane 14. Nøgletal'!C29</f>
        <v>493002.29549983755</v>
      </c>
      <c r="H39" s="14" t="s">
        <v>3</v>
      </c>
      <c r="I39" s="1"/>
    </row>
    <row r="40" spans="1:9" x14ac:dyDescent="0.25">
      <c r="A40" s="1"/>
      <c r="B40" s="38"/>
      <c r="C40" s="32"/>
      <c r="D40" s="32"/>
      <c r="E40" s="32"/>
      <c r="F40" s="32"/>
      <c r="G40" s="32"/>
      <c r="H40" s="20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99" t="s">
        <v>233</v>
      </c>
      <c r="C42" s="100"/>
      <c r="D42" s="100"/>
      <c r="E42" s="100"/>
      <c r="F42" s="100"/>
      <c r="G42" s="100"/>
      <c r="H42" s="101"/>
      <c r="I42" s="1"/>
    </row>
    <row r="43" spans="1:9" x14ac:dyDescent="0.25">
      <c r="A43" s="1"/>
      <c r="B43" s="104" t="s">
        <v>83</v>
      </c>
      <c r="C43" s="105"/>
      <c r="D43" s="105"/>
      <c r="E43" s="105"/>
      <c r="F43" s="106"/>
      <c r="G43" s="24">
        <f>(G37+G38-G39)*(1+'Fane 14. Nøgletal'!C14)</f>
        <v>24236830.950674362</v>
      </c>
      <c r="H43" s="14" t="s">
        <v>3</v>
      </c>
      <c r="I43" s="1"/>
    </row>
    <row r="44" spans="1:9" x14ac:dyDescent="0.25">
      <c r="A44" s="1"/>
      <c r="B44" s="107" t="s">
        <v>237</v>
      </c>
      <c r="C44" s="108"/>
      <c r="D44" s="108"/>
      <c r="E44" s="108"/>
      <c r="F44" s="109"/>
      <c r="G44" s="24">
        <f>G38*(1+'Fane 14. Nøgletal'!C14)</f>
        <v>1210010.4743101792</v>
      </c>
      <c r="H44" s="14" t="s">
        <v>3</v>
      </c>
      <c r="I44" s="1"/>
    </row>
    <row r="45" spans="1:9" x14ac:dyDescent="0.25">
      <c r="A45" s="1"/>
      <c r="B45" s="104" t="s">
        <v>97</v>
      </c>
      <c r="C45" s="105"/>
      <c r="D45" s="105"/>
      <c r="E45" s="105"/>
      <c r="F45" s="106"/>
      <c r="G45" s="9">
        <f>-'Fane 13. Bortfald'!C18*(1+'Fane 14. Nøgletal'!C14)</f>
        <v>0</v>
      </c>
      <c r="H45" s="14" t="s">
        <v>3</v>
      </c>
      <c r="I45" s="1"/>
    </row>
    <row r="46" spans="1:9" x14ac:dyDescent="0.25">
      <c r="A46" s="1"/>
      <c r="B46" s="104" t="s">
        <v>235</v>
      </c>
      <c r="C46" s="105"/>
      <c r="D46" s="105"/>
      <c r="E46" s="105"/>
      <c r="F46" s="106"/>
      <c r="G46" s="24">
        <f>(G43+G45)*'Fane 14. Nøgletal'!C29</f>
        <v>484736.61901348724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9" t="s">
        <v>172</v>
      </c>
      <c r="C51" s="100"/>
      <c r="D51" s="100"/>
      <c r="E51" s="100"/>
      <c r="F51" s="100"/>
      <c r="G51" s="100"/>
      <c r="H51" s="101"/>
      <c r="I51" s="1"/>
    </row>
    <row r="52" spans="1:9" x14ac:dyDescent="0.25">
      <c r="A52" s="1"/>
      <c r="B52" s="104" t="s">
        <v>173</v>
      </c>
      <c r="C52" s="105"/>
      <c r="D52" s="105"/>
      <c r="E52" s="105"/>
      <c r="F52" s="106"/>
      <c r="G52" s="24">
        <f>(G43+G45-G46)*(1+'Fane 14. Nøgletal'!C14)</f>
        <v>23830476.242955357</v>
      </c>
      <c r="H52" s="14" t="s">
        <v>3</v>
      </c>
      <c r="I52" s="1"/>
    </row>
    <row r="53" spans="1:9" x14ac:dyDescent="0.25">
      <c r="A53" s="1"/>
      <c r="B53" s="104" t="s">
        <v>174</v>
      </c>
      <c r="C53" s="105"/>
      <c r="D53" s="105"/>
      <c r="E53" s="105"/>
      <c r="F53" s="106"/>
      <c r="G53" s="9">
        <f>-'Fane 13. Bortfald'!C24*(1+'Fane 14. Nøgletal'!C14)</f>
        <v>0</v>
      </c>
      <c r="H53" s="14" t="s">
        <v>3</v>
      </c>
      <c r="I53" s="1"/>
    </row>
    <row r="54" spans="1:9" x14ac:dyDescent="0.25">
      <c r="A54" s="1"/>
      <c r="B54" s="104" t="s">
        <v>175</v>
      </c>
      <c r="C54" s="105"/>
      <c r="D54" s="105"/>
      <c r="E54" s="105"/>
      <c r="F54" s="106"/>
      <c r="G54" s="24">
        <f>(G52+G53)*'Fane 14. Nøgletal'!C29</f>
        <v>476609.52485910716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56" t="s">
        <v>201</v>
      </c>
      <c r="C57" s="57"/>
      <c r="D57" s="57"/>
      <c r="E57" s="57"/>
      <c r="F57" s="57"/>
      <c r="G57" s="57"/>
      <c r="H57" s="58"/>
      <c r="I57" s="1"/>
    </row>
    <row r="58" spans="1:9" x14ac:dyDescent="0.25">
      <c r="A58" s="1"/>
      <c r="B58" s="62" t="s">
        <v>202</v>
      </c>
      <c r="C58" s="63"/>
      <c r="D58" s="63"/>
      <c r="E58" s="63"/>
      <c r="F58" s="64"/>
      <c r="G58" s="24">
        <f>(G52+G53-G54)*(1+'Fane 14. Nøgletal'!C14)</f>
        <v>23430934.478265967</v>
      </c>
      <c r="H58" s="14" t="s">
        <v>3</v>
      </c>
      <c r="I58" s="1"/>
    </row>
    <row r="59" spans="1:9" x14ac:dyDescent="0.25">
      <c r="A59" s="1"/>
      <c r="B59" s="62" t="s">
        <v>203</v>
      </c>
      <c r="C59" s="63"/>
      <c r="D59" s="63"/>
      <c r="E59" s="63"/>
      <c r="F59" s="64"/>
      <c r="G59" s="9">
        <f>-'Fane 13. Bortfald'!C30*(1+'Fane 14. Nøgletal'!C14)</f>
        <v>0</v>
      </c>
      <c r="H59" s="14" t="s">
        <v>3</v>
      </c>
      <c r="I59" s="1"/>
    </row>
    <row r="60" spans="1:9" x14ac:dyDescent="0.25">
      <c r="A60" s="1"/>
      <c r="B60" s="62" t="s">
        <v>204</v>
      </c>
      <c r="C60" s="63"/>
      <c r="D60" s="63"/>
      <c r="E60" s="63"/>
      <c r="F60" s="64"/>
      <c r="G60" s="24">
        <f>(G58+G59)*'Fane 14. Nøgletal'!C29</f>
        <v>468618.68956531934</v>
      </c>
      <c r="H60" s="14" t="s">
        <v>3</v>
      </c>
      <c r="I60" s="1"/>
    </row>
    <row r="61" spans="1:9" x14ac:dyDescent="0.2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c5tTBHI3mNSvqe/sPShL/POcUO9VnKVeDxw+8kZGDjLTOWg4zB2Hl+sDKcJw61ib3EAed7GsjReiuvJ1XcS62Q==" saltValue="aS+9iEVl9UVsoJ48bOfJtQ==" spinCount="100000" sheet="1" objects="1" scenarios="1"/>
  <mergeCells count="36">
    <mergeCell ref="B11:F11"/>
    <mergeCell ref="B10:H10"/>
    <mergeCell ref="B6:F6"/>
    <mergeCell ref="B2:H3"/>
    <mergeCell ref="B24:H24"/>
    <mergeCell ref="B4:H4"/>
    <mergeCell ref="B5:F5"/>
    <mergeCell ref="B7:F7"/>
    <mergeCell ref="B54:F54"/>
    <mergeCell ref="B12:F12"/>
    <mergeCell ref="B13:F13"/>
    <mergeCell ref="B30:H30"/>
    <mergeCell ref="B31:F31"/>
    <mergeCell ref="B36:H36"/>
    <mergeCell ref="B18:H18"/>
    <mergeCell ref="B14:F14"/>
    <mergeCell ref="B15:F15"/>
    <mergeCell ref="B19:F19"/>
    <mergeCell ref="B20:F20"/>
    <mergeCell ref="B21:F21"/>
    <mergeCell ref="B25:F25"/>
    <mergeCell ref="B26:F26"/>
    <mergeCell ref="B27:F27"/>
    <mergeCell ref="B37:F37"/>
    <mergeCell ref="B51:H51"/>
    <mergeCell ref="B52:F52"/>
    <mergeCell ref="B53:F53"/>
    <mergeCell ref="B32:F32"/>
    <mergeCell ref="B33:F33"/>
    <mergeCell ref="B42:H42"/>
    <mergeCell ref="B43:F43"/>
    <mergeCell ref="B46:F46"/>
    <mergeCell ref="B38:F38"/>
    <mergeCell ref="B45:F45"/>
    <mergeCell ref="B39:F39"/>
    <mergeCell ref="B44:F4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8.425781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2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2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25">
      <c r="A4" s="1"/>
      <c r="B4" s="99" t="s">
        <v>60</v>
      </c>
      <c r="C4" s="100"/>
      <c r="D4" s="100"/>
      <c r="E4" s="100"/>
      <c r="F4" s="100"/>
      <c r="G4" s="100"/>
      <c r="H4" s="101"/>
      <c r="I4" s="1"/>
    </row>
    <row r="5" spans="1:9" x14ac:dyDescent="0.25">
      <c r="A5" s="1"/>
      <c r="B5" s="104" t="s">
        <v>65</v>
      </c>
      <c r="C5" s="105"/>
      <c r="D5" s="105"/>
      <c r="E5" s="105"/>
      <c r="F5" s="106"/>
      <c r="G5" s="24">
        <v>17436331.202303279</v>
      </c>
      <c r="H5" s="14" t="s">
        <v>3</v>
      </c>
      <c r="I5" s="1"/>
    </row>
    <row r="6" spans="1:9" x14ac:dyDescent="0.25">
      <c r="A6" s="1"/>
      <c r="B6" s="104" t="s">
        <v>61</v>
      </c>
      <c r="C6" s="105"/>
      <c r="D6" s="105"/>
      <c r="E6" s="105"/>
      <c r="F6" s="106"/>
      <c r="G6" s="24">
        <f>G5*'Fane 14. Nøgletal'!C19</f>
        <v>158670.61394095985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9" t="s">
        <v>66</v>
      </c>
      <c r="C9" s="100"/>
      <c r="D9" s="100"/>
      <c r="E9" s="100"/>
      <c r="F9" s="100"/>
      <c r="G9" s="100"/>
      <c r="H9" s="101"/>
      <c r="I9" s="1"/>
    </row>
    <row r="10" spans="1:9" x14ac:dyDescent="0.2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17580019.648658659</v>
      </c>
      <c r="H10" s="14" t="s">
        <v>3</v>
      </c>
      <c r="I10" s="1"/>
    </row>
    <row r="11" spans="1:9" x14ac:dyDescent="0.25">
      <c r="A11" s="1"/>
      <c r="B11" s="104" t="s">
        <v>147</v>
      </c>
      <c r="C11" s="105"/>
      <c r="D11" s="105"/>
      <c r="E11" s="105"/>
      <c r="F11" s="106"/>
      <c r="G11" s="24">
        <v>-60375.032856828257</v>
      </c>
      <c r="H11" s="14" t="s">
        <v>3</v>
      </c>
      <c r="I11" s="1"/>
    </row>
    <row r="12" spans="1:9" x14ac:dyDescent="0.25">
      <c r="A12" s="1"/>
      <c r="B12" s="110" t="s">
        <v>68</v>
      </c>
      <c r="C12" s="111"/>
      <c r="D12" s="111"/>
      <c r="E12" s="111"/>
      <c r="F12" s="112"/>
      <c r="G12" s="9">
        <v>0</v>
      </c>
      <c r="H12" s="14" t="s">
        <v>3</v>
      </c>
      <c r="I12" s="1"/>
    </row>
    <row r="13" spans="1:9" x14ac:dyDescent="0.2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310097.70969969238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70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17510713.976958923</v>
      </c>
      <c r="H17" s="14" t="s">
        <v>3</v>
      </c>
      <c r="I17" s="1"/>
    </row>
    <row r="18" spans="1:9" x14ac:dyDescent="0.25">
      <c r="A18" s="1"/>
      <c r="B18" s="110" t="s">
        <v>72</v>
      </c>
      <c r="C18" s="111"/>
      <c r="D18" s="111"/>
      <c r="E18" s="111"/>
      <c r="F18" s="112"/>
      <c r="G18" s="24">
        <v>33244.818275889993</v>
      </c>
      <c r="H18" s="14" t="s">
        <v>3</v>
      </c>
      <c r="I18" s="1"/>
    </row>
    <row r="19" spans="1:9" x14ac:dyDescent="0.2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310228.86731117318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9" t="s">
        <v>74</v>
      </c>
      <c r="C22" s="100"/>
      <c r="D22" s="100"/>
      <c r="E22" s="100"/>
      <c r="F22" s="100"/>
      <c r="G22" s="100"/>
      <c r="H22" s="101"/>
      <c r="I22" s="1"/>
    </row>
    <row r="23" spans="1:9" x14ac:dyDescent="0.2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17573234.407503739</v>
      </c>
      <c r="H23" s="14" t="s">
        <v>3</v>
      </c>
      <c r="I23" s="1"/>
    </row>
    <row r="24" spans="1:9" x14ac:dyDescent="0.25">
      <c r="A24" s="1"/>
      <c r="B24" s="110" t="s">
        <v>76</v>
      </c>
      <c r="C24" s="111"/>
      <c r="D24" s="111"/>
      <c r="E24" s="111"/>
      <c r="F24" s="112"/>
      <c r="G24" s="9">
        <v>0</v>
      </c>
      <c r="H24" s="14" t="s">
        <v>3</v>
      </c>
      <c r="I24" s="1"/>
    </row>
    <row r="25" spans="1:9" x14ac:dyDescent="0.2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499079.85717310623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9" t="s">
        <v>78</v>
      </c>
      <c r="C28" s="100"/>
      <c r="D28" s="100"/>
      <c r="E28" s="100"/>
      <c r="F28" s="100"/>
      <c r="G28" s="100"/>
      <c r="H28" s="101"/>
      <c r="I28" s="1"/>
    </row>
    <row r="29" spans="1:9" x14ac:dyDescent="0.2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17410515.394972146</v>
      </c>
      <c r="H29" s="14" t="s">
        <v>3</v>
      </c>
      <c r="I29" s="1"/>
    </row>
    <row r="30" spans="1:9" x14ac:dyDescent="0.25">
      <c r="A30" s="1"/>
      <c r="B30" s="104" t="s">
        <v>176</v>
      </c>
      <c r="C30" s="105"/>
      <c r="D30" s="105"/>
      <c r="E30" s="105"/>
      <c r="F30" s="106"/>
      <c r="G30" s="24">
        <v>87350.98500072</v>
      </c>
      <c r="H30" s="14" t="s">
        <v>3</v>
      </c>
      <c r="I30" s="1"/>
    </row>
    <row r="31" spans="1:9" x14ac:dyDescent="0.2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496860.78930472879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9" t="s">
        <v>238</v>
      </c>
      <c r="C34" s="100"/>
      <c r="D34" s="100"/>
      <c r="E34" s="100"/>
      <c r="F34" s="100"/>
      <c r="G34" s="100"/>
      <c r="H34" s="101"/>
      <c r="I34" s="1"/>
    </row>
    <row r="35" spans="1:9" x14ac:dyDescent="0.2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17057108.909117341</v>
      </c>
      <c r="H35" s="14" t="s">
        <v>3</v>
      </c>
      <c r="I35" s="1"/>
    </row>
    <row r="36" spans="1:9" x14ac:dyDescent="0.25">
      <c r="A36" s="1"/>
      <c r="B36" s="104" t="s">
        <v>240</v>
      </c>
      <c r="C36" s="105"/>
      <c r="D36" s="105"/>
      <c r="E36" s="105"/>
      <c r="F36" s="106"/>
      <c r="G36" s="24">
        <f>SUM('Fane 2.1. Økonomisk ramme 2022'!C11,'Fane 2.1. Økonomisk ramme 2022'!C13,'Fane 2.1. Økonomisk ramme 2022'!C15)*(1+'Fane 14. Nøgletal'!C14)</f>
        <v>127070.53231004001</v>
      </c>
      <c r="H36" s="14" t="s">
        <v>3</v>
      </c>
      <c r="I36" s="1"/>
    </row>
    <row r="37" spans="1:9" x14ac:dyDescent="0.2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254325.85573312524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9" t="s">
        <v>85</v>
      </c>
      <c r="C40" s="100"/>
      <c r="D40" s="100"/>
      <c r="E40" s="100"/>
      <c r="F40" s="100"/>
      <c r="G40" s="100"/>
      <c r="H40" s="101"/>
      <c r="I40" s="1"/>
    </row>
    <row r="41" spans="1:9" x14ac:dyDescent="0.2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16985722.102527045</v>
      </c>
      <c r="H41" s="14" t="s">
        <v>3</v>
      </c>
      <c r="I41" s="1"/>
    </row>
    <row r="42" spans="1:9" x14ac:dyDescent="0.25">
      <c r="A42" s="1"/>
      <c r="B42" s="47" t="s">
        <v>242</v>
      </c>
      <c r="C42" s="63"/>
      <c r="D42" s="63"/>
      <c r="E42" s="63"/>
      <c r="F42" s="64"/>
      <c r="G42" s="24">
        <f>G36*(1+'Fane 14. Nøgletal'!C14)</f>
        <v>127489.86506666316</v>
      </c>
      <c r="H42" s="14" t="s">
        <v>3</v>
      </c>
      <c r="I42" s="1"/>
    </row>
    <row r="43" spans="1:9" x14ac:dyDescent="0.25">
      <c r="A43" s="1"/>
      <c r="B43" s="104" t="s">
        <v>101</v>
      </c>
      <c r="C43" s="105"/>
      <c r="D43" s="105"/>
      <c r="E43" s="105"/>
      <c r="F43" s="106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251388.68711740026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181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16789556.715680499</v>
      </c>
      <c r="H53" s="14" t="s">
        <v>3</v>
      </c>
      <c r="I53" s="1"/>
    </row>
    <row r="54" spans="1:9" x14ac:dyDescent="0.25">
      <c r="A54" s="1"/>
      <c r="B54" s="104" t="s">
        <v>183</v>
      </c>
      <c r="C54" s="105"/>
      <c r="D54" s="105"/>
      <c r="E54" s="105"/>
      <c r="F54" s="106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248485.43939207139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9" t="s">
        <v>205</v>
      </c>
      <c r="C58" s="100"/>
      <c r="D58" s="100"/>
      <c r="E58" s="100"/>
      <c r="F58" s="100"/>
      <c r="G58" s="100"/>
      <c r="H58" s="101"/>
      <c r="I58" s="1"/>
    </row>
    <row r="59" spans="1:9" x14ac:dyDescent="0.2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16595656.811500181</v>
      </c>
      <c r="H59" s="14" t="s">
        <v>3</v>
      </c>
      <c r="I59" s="1"/>
    </row>
    <row r="60" spans="1:9" x14ac:dyDescent="0.25">
      <c r="A60" s="1"/>
      <c r="B60" s="104" t="s">
        <v>256</v>
      </c>
      <c r="C60" s="105"/>
      <c r="D60" s="105"/>
      <c r="E60" s="105"/>
      <c r="F60" s="106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245615.72081020268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XmE6p9izuJcNxuJfpLl4OzTAfCKgtTQnqtwjNz3ya0c4SyVRD6GCeF/NwPkiSz1Dxu+l5vkkcG+DtQO5gnFoKw==" saltValue="vV1gTqxhzKq0v9kFmD5etw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10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4" t="s">
        <v>243</v>
      </c>
      <c r="C9" s="105"/>
      <c r="D9" s="105"/>
      <c r="E9" s="105"/>
      <c r="F9" s="106"/>
      <c r="G9" s="23">
        <v>7.9103891963495721E-6</v>
      </c>
      <c r="H9" s="14"/>
      <c r="I9" s="1"/>
    </row>
    <row r="10" spans="1:9" x14ac:dyDescent="0.25">
      <c r="A10" s="1"/>
      <c r="B10" s="104" t="s">
        <v>86</v>
      </c>
      <c r="C10" s="105"/>
      <c r="D10" s="105"/>
      <c r="E10" s="105"/>
      <c r="F10" s="106"/>
      <c r="G10" s="23">
        <v>2.3929653981182631E-3</v>
      </c>
      <c r="H10" s="14"/>
      <c r="I10" s="1"/>
    </row>
    <row r="11" spans="1:9" x14ac:dyDescent="0.25">
      <c r="A11" s="1"/>
      <c r="B11" s="104" t="s">
        <v>87</v>
      </c>
      <c r="C11" s="105"/>
      <c r="D11" s="105"/>
      <c r="E11" s="105"/>
      <c r="F11" s="106"/>
      <c r="G11" s="41">
        <v>0</v>
      </c>
      <c r="H11" s="14"/>
      <c r="I11" s="1"/>
    </row>
    <row r="12" spans="1:9" x14ac:dyDescent="0.25">
      <c r="A12" s="1"/>
      <c r="B12" s="104" t="s">
        <v>206</v>
      </c>
      <c r="C12" s="105"/>
      <c r="D12" s="105"/>
      <c r="E12" s="105"/>
      <c r="F12" s="106"/>
      <c r="G12" s="41">
        <v>0.02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2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1GEcotvt3to5b9pmIMdRuisZrxhHGqELHTJfdcmY3m/LHVz5Pszuxt98fV2FQLQlOWlMg5MPhX9LU2aUdOYwfg==" saltValue="IicyK6p7YfWlKQ3ZsfPgY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2021-10-12T11:35:25Z</dcterms:modified>
</cp:coreProperties>
</file>