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REFOR Vand AS (V18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<sst xmlns="http://schemas.openxmlformats.org/spreadsheetml/2006/main" count="622" uniqueCount="255">
  <si>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</si>
  <si>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</si>
  <si>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</si>
  <si>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</si>
  <si>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</si>
  <si>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</si>
  <si>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</si>
  <si>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</si>
  <si>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</si>
  <si>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</si>
  <si>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</si>
  <si>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</si>
  <si>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</si>
  <si>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</si>
  <si>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</si>
  <si>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</si>
  <si>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</si>
  <si>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</si>
  <si>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</si>
  <si>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</si>
  <si>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</si>
  <si>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</si>
  <si>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</si>
  <si>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</si>
  <si>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</si>
  <si>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</si>
  <si>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</si>
  <si>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</si>
  <si>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</si>
  <si>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</si>
  <si>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</si>
  <si>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</si>
  <si>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</si>
  <si>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</si>
  <si>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</si>
  <si>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</si>
  <si>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</si>
  <si>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</si>
  <si>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</si>
  <si>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</si>
  <si>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</si>
  <si>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</si>
  <si>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</si>
  <si>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</si>
  <si>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</si>
  <si>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</si>
  <si>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</si>
  <si>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</si>
  <si>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</si>
  <si>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</si>
  <si>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</si>
  <si>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</si>
  <si>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</si>
  <si>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</si>
  <si>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</si>
  <si>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</si>
  <si>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</si>
  <si>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</si>
  <si>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</si>
  <si>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</si>
  <si>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</si>
  <si>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</si>
  <si>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</si>
  <si>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</si>
  <si>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</si>
  <si>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</si>
  <si>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</si>
  <si>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</si>
  <si>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</si>
  <si>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</si>
  <si>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</si>
  <si>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</si>
  <si>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</si>
  <si>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</si>
  <si>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</si>
  <si>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</si>
  <si>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</si>
  <si>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</si>
  <si>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</si>
  <si>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</si>
  <si>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</si>
  <si>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</si>
  <si>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</si>
  <si>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</si>
  <si>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</si>
  <si>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</si>
  <si>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</si>
  <si>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</si>
  <si>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</si>
  <si>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</si>
  <si>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</si>
  <si>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</si>
  <si>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</si>
  <si>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</si>
  <si>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</si>
  <si>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</si>
  <si>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</si>
  <si>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</si>
  <si>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</si>
  <si>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</si>
  <si>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</si>
  <si>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</si>
  <si>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</si>
  <si>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</si>
  <si>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</si>
  <si>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</si>
  <si>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</si>
  <si>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</si>
  <si>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</si>
  <si>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</si>
  <si>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</si>
  <si>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</si>
  <si>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</si>
  <si>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</si>
  <si>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</si>
  <si>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</si>
  <si>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</si>
  <si>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</si>
  <si>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</si>
  <si>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</si>
  <si>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</si>
  <si>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</si>
  <si>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</si>
  <si>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</si>
  <si>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</si>
  <si>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</si>
  <si>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</si>
  <si>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</si>
  <si>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</si>
  <si>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</si>
  <si>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</si>
  <si>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</si>
  <si>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</si>
  <si>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</si>
  <si>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</si>
  <si>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</si>
  <si>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</si>
  <si>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</si>
  <si>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</si>
  <si>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</si>
  <si>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</si>
  <si>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</si>
  <si>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</si>
  <si>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</si>
  <si>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</si>
  <si>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</si>
  <si>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</si>
  <si>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</si>
  <si>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</si>
  <si>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</si>
  <si>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</si>
  <si>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</si>
  <si>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</si>
  <si>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</si>
  <si>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</si>
  <si>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</si>
  <si>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</si>
  <si>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</si>
  <si>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</si>
  <si>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</si>
  <si>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</si>
  <si>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</si>
  <si>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</si>
  <si>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</si>
  <si>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</si>
  <si>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</si>
  <si>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</si>
  <si>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</si>
  <si>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</si>
  <si>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</si>
  <si>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</si>
  <si>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</si>
  <si>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</si>
  <si>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</si>
  <si>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</si>
  <si>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</si>
  <si>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</si>
  <si>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</si>
  <si>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</si>
  <si>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</si>
  <si>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</si>
  <si>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</si>
  <si>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</si>
  <si>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</si>
  <si>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</si>
  <si>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</si>
  <si>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</si>
  <si>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</si>
  <si>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</si>
  <si>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</si>
  <si>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</si>
  <si>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</si>
  <si>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</si>
  <si>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</si>
  <si>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</si>
  <si>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</si>
  <si>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</si>
  <si>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</si>
  <si>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</si>
  <si>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</si>
  <si>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</si>
  <si>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</si>
  <si>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</si>
  <si>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</si>
  <si>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</si>
  <si>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</si>
  <si>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</si>
  <si>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</si>
  <si>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</si>
  <si>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</si>
  <si>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</si>
  <si>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</si>
  <si>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</si>
  <si>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</si>
  <si>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</si>
  <si>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</si>
  <si>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</si>
  <si>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</si>
  <si>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</si>
  <si>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</si>
  <si>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</si>
  <si>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</si>
  <si>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</si>
  <si>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</si>
  <si>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</si>
  <si>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</si>
  <si>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</si>
  <si>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</si>
  <si>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</si>
  <si>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</si>
  <si>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</si>
  <si>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Frivillige aftaler om dyrkningspraksis eller andre restriktioner i arealanvendelse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</si>
  <si>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</si>
  <si>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</si>
  <si>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</si>
  <si>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</si>
  <si>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</si>
  <si>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</si>
  <si>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</si>
  <si>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</si>
  <si>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</si>
  <si>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</si>
  <si>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</si>
  <si>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</si>
  <si>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</si>
  <si>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</si>
  <si>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Byggemodninger og nye tilslutninger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</si>
  <si>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</si>
  <si>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</si>
  <si>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</si>
  <si>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</si>
  <si>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</si>
  <si>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engangstillæg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</si>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</sst>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4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254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180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181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182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DA4azdceR77yeC3nj+1RLtRp6vnF6p2i9HBjy2DmddP5WTgRkdfqQ77XJqGKQRt7xnrKYuCEo9TvUSMmQgFTA==" saltValue="dD/NCqAVcwA8s4OG7cN0d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202</v>
      </c>
      <c r="C8" s="113"/>
      <c r="D8" s="114"/>
      <c r="E8" s="1"/>
      <c r="F8" s="1"/>
    </row>
    <row r="9" spans="1:6" ht="15" customHeight="1" x14ac:dyDescent="0.2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2" t="s">
        <v>227</v>
      </c>
      <c r="C10" s="9">
        <v>76175365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228</v>
      </c>
      <c r="C11" s="9">
        <v>271723</v>
      </c>
      <c r="D11" s="14" t="s">
        <v>3</v>
      </c>
      <c r="E11" s="1"/>
      <c r="F11" s="1"/>
    </row>
    <row r="12" spans="1:6" x14ac:dyDescent="0.25">
      <c r="A12" s="1"/>
      <c r="B12" s="62" t="s">
        <v>229</v>
      </c>
      <c r="C12" s="9">
        <v>291498</v>
      </c>
      <c r="D12" s="14" t="s">
        <v>3</v>
      </c>
      <c r="E12" s="1"/>
      <c r="F12" s="1"/>
    </row>
    <row r="13" spans="1:6" x14ac:dyDescent="0.25">
      <c r="A13" s="1"/>
      <c r="B13" s="62" t="s">
        <v>230</v>
      </c>
      <c r="C13" s="9">
        <v>461501</v>
      </c>
      <c r="D13" s="14" t="s">
        <v>3</v>
      </c>
      <c r="E13" s="1"/>
      <c r="F13" s="1"/>
    </row>
    <row r="14" spans="1:6" x14ac:dyDescent="0.25">
      <c r="A14" s="1"/>
      <c r="B14" s="62" t="s">
        <v>231</v>
      </c>
      <c r="C14" s="9">
        <v>1742973</v>
      </c>
      <c r="D14" s="14" t="s">
        <v>3</v>
      </c>
      <c r="E14" s="1"/>
      <c r="F14" s="1"/>
    </row>
    <row r="15" spans="1:6" x14ac:dyDescent="0.25">
      <c r="A15" s="1"/>
      <c r="B15" s="50" t="s">
        <v>204</v>
      </c>
      <c r="C15" s="12">
        <f>SUM(C10:C14)</f>
        <v>78943060</v>
      </c>
      <c r="D15" s="13" t="s">
        <v>3</v>
      </c>
      <c r="E15" s="1"/>
      <c r="F15" s="1"/>
    </row>
    <row r="16" spans="1:6" x14ac:dyDescent="0.25">
      <c r="A16" s="1"/>
      <c r="B16" s="50" t="s">
        <v>205</v>
      </c>
      <c r="C16" s="12">
        <f>C15*(1+'Fane 12. Nøgletal'!C14)^2</f>
        <v>79464943.885923415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CL/sraqvQRnJFQO30o0VQR+d7mkcTQEuvXJTdVXpeQblYKX+KDCJu7omdRdbloBUArdVpXPixPU+wdg9QVLysg==" saltValue="4GcgmpAxR1csQF8OqM+Ih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220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233</v>
      </c>
      <c r="C8" s="113"/>
      <c r="D8" s="113"/>
      <c r="E8" s="113"/>
      <c r="F8" s="114"/>
      <c r="G8" s="1"/>
    </row>
    <row r="9" spans="1:7" x14ac:dyDescent="0.25">
      <c r="A9" s="1"/>
      <c r="B9" s="115" t="s">
        <v>234</v>
      </c>
      <c r="C9" s="116"/>
      <c r="D9" s="117"/>
      <c r="E9" s="9">
        <v>61943648.055494368</v>
      </c>
      <c r="F9" s="14" t="s">
        <v>3</v>
      </c>
      <c r="G9" s="1"/>
    </row>
    <row r="10" spans="1:7" x14ac:dyDescent="0.25">
      <c r="A10" s="1"/>
      <c r="B10" s="115" t="s">
        <v>235</v>
      </c>
      <c r="C10" s="116"/>
      <c r="D10" s="117"/>
      <c r="E10" s="9">
        <v>12699412.671204656</v>
      </c>
      <c r="F10" s="14" t="s">
        <v>3</v>
      </c>
      <c r="G10" s="1"/>
    </row>
    <row r="11" spans="1:7" x14ac:dyDescent="0.25">
      <c r="A11" s="1"/>
      <c r="B11" s="115" t="s">
        <v>236</v>
      </c>
      <c r="C11" s="116"/>
      <c r="D11" s="117"/>
      <c r="E11" s="9">
        <v>16584450.584563434</v>
      </c>
      <c r="F11" s="14" t="s">
        <v>3</v>
      </c>
      <c r="G11" s="1"/>
    </row>
    <row r="12" spans="1:7" x14ac:dyDescent="0.25">
      <c r="A12" s="1"/>
      <c r="B12" s="115" t="s">
        <v>237</v>
      </c>
      <c r="C12" s="116"/>
      <c r="D12" s="117"/>
      <c r="E12" s="9">
        <f>IF(OR(AND(E10&gt;0,E11&lt;0),AND(E11&lt;0,E34&gt;0)),E17+E18,E11)</f>
        <v>16584450.584563434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101" t="s">
        <v>238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239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240</v>
      </c>
      <c r="C17" s="116"/>
      <c r="D17" s="117"/>
      <c r="E17" s="9">
        <v>0</v>
      </c>
      <c r="F17" s="14" t="s">
        <v>3</v>
      </c>
      <c r="G17" s="1"/>
    </row>
    <row r="18" spans="1:7" x14ac:dyDescent="0.25">
      <c r="A18" s="1"/>
      <c r="B18" s="115" t="s">
        <v>241</v>
      </c>
      <c r="C18" s="116"/>
      <c r="D18" s="117"/>
      <c r="E18" s="9">
        <v>0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101" t="s">
        <v>242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206</v>
      </c>
      <c r="C22" s="60"/>
      <c r="D22" s="60"/>
      <c r="E22" s="60"/>
      <c r="F22" s="61"/>
      <c r="G22" s="1"/>
    </row>
    <row r="23" spans="1:7" x14ac:dyDescent="0.25">
      <c r="A23" s="1"/>
      <c r="B23" s="56" t="s">
        <v>207</v>
      </c>
      <c r="C23" s="57"/>
      <c r="D23" s="58"/>
      <c r="E23" s="9">
        <v>251728919.70178473</v>
      </c>
      <c r="F23" s="14" t="s">
        <v>3</v>
      </c>
      <c r="G23" s="1"/>
    </row>
    <row r="24" spans="1:7" x14ac:dyDescent="0.25">
      <c r="A24" s="1"/>
      <c r="B24" s="56" t="s">
        <v>208</v>
      </c>
      <c r="C24" s="57"/>
      <c r="D24" s="58"/>
      <c r="E24" s="9">
        <v>242330957</v>
      </c>
      <c r="F24" s="14" t="s">
        <v>3</v>
      </c>
      <c r="G24" s="1"/>
    </row>
    <row r="25" spans="1:7" x14ac:dyDescent="0.2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25">
      <c r="A26" s="1"/>
      <c r="B26" s="63" t="s">
        <v>250</v>
      </c>
      <c r="C26" s="64"/>
      <c r="D26" s="65"/>
      <c r="E26" s="45">
        <f>E23-(E24-E25)</f>
        <v>9397962.70178473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243</v>
      </c>
      <c r="C29" s="113"/>
      <c r="D29" s="113"/>
      <c r="E29" s="113"/>
      <c r="F29" s="114"/>
      <c r="G29" s="1"/>
    </row>
    <row r="30" spans="1:7" x14ac:dyDescent="0.25">
      <c r="A30" s="1"/>
      <c r="B30" s="133" t="s">
        <v>244</v>
      </c>
      <c r="C30" s="134"/>
      <c r="D30" s="135"/>
      <c r="E30" s="7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245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251</v>
      </c>
      <c r="C34" s="138"/>
      <c r="D34" s="139"/>
      <c r="E34" s="9">
        <v>3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0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249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FPx2Fqv6czz0yqDNAbDSvG1J9zn5SHWiRL3iG+lT0S8GfyS+OaaX2plDoy2ZF/pxW1dOGFRz6xK655xjD7MlRA==" saltValue="zkZ45enTBBDDD+d/P+zkWw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67" t="s">
        <v>253</v>
      </c>
      <c r="C10" s="6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pCKMGQ+KIlUKqBwmc+8lzIqb4CGL+2nV7pedEx2lehc0QIVspViRqht8liTVokqfnb5TmW//hbnIMsANn9Htg==" saltValue="KI9DPIyFaMVxvbaNczz1n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246</v>
      </c>
      <c r="C11" s="22">
        <v>1152033</v>
      </c>
      <c r="D11" s="14" t="s">
        <v>3</v>
      </c>
      <c r="E11" s="9">
        <v>588573</v>
      </c>
      <c r="F11" s="14" t="s">
        <v>3</v>
      </c>
      <c r="G11" s="1"/>
    </row>
    <row r="12" spans="1:7" x14ac:dyDescent="0.25">
      <c r="A12" s="1"/>
      <c r="B12" s="50" t="s">
        <v>136</v>
      </c>
      <c r="C12" s="12">
        <f>SUM(C10:C11)</f>
        <v>1152033</v>
      </c>
      <c r="D12" s="13" t="s">
        <v>3</v>
      </c>
      <c r="E12" s="12">
        <f>SUM(E10:E11)</f>
        <v>588573</v>
      </c>
      <c r="F12" s="13" t="s">
        <v>3</v>
      </c>
      <c r="G12" s="1"/>
    </row>
    <row r="13" spans="1:7" x14ac:dyDescent="0.25">
      <c r="A13" s="1"/>
      <c r="B13" s="50" t="s">
        <v>209</v>
      </c>
      <c r="C13" s="12">
        <f>C12*(1+'Fane 12. Nøgletal'!C14)</f>
        <v>1155834.7089000002</v>
      </c>
      <c r="D13" s="13" t="s">
        <v>3</v>
      </c>
      <c r="E13" s="12">
        <f>E12*(1+'Fane 12. Nøgletal'!C14)</f>
        <v>590515.29090000002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3XcGfQVsj9pTHO0dBQvnqt6ca8JU4M2eoCfHleeWgk+qJIiUl8Mu5LdYzVMA5Sw+jx5c0WghBEz/Z7Y9gfYgUQ==" saltValue="PikrUwPD+IDhy1JFcwoDJ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252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25">
      <c r="A18" s="1"/>
      <c r="B18" s="25" t="s">
        <v>252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25">
      <c r="A26" s="1"/>
      <c r="B26" s="25" t="s">
        <v>252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211</v>
      </c>
      <c r="C32" s="113"/>
      <c r="D32" s="113"/>
      <c r="E32" s="113"/>
      <c r="F32" s="114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25">
      <c r="A34" s="1"/>
      <c r="B34" s="25" t="s">
        <v>252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QVW7PWvok0hfmCQm7Z5P/krxwN8kBNYGKBWiJOKpFWjRdhI+8WRMr9hEtV0cv0MqLukZSKFEFAD3PDEsUfnmA==" saltValue="Ne87BmLcq8ksJkPLkzi87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2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UgUmUPLs9OqjlvE9qAnbRuABDHiDCCaW+Kgs0fGFgtE4tbBgbJK1QLZugyDjoZLpxwR+dse5V3woW38JlEkkA==" saltValue="Y7erwgfRiTcfdg2pxr6Ae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214</v>
      </c>
      <c r="C29" s="113"/>
      <c r="D29" s="113"/>
      <c r="E29" s="113"/>
      <c r="F29" s="114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3fjMYbdXIzHswxQNpf0nYBmEVMF4d38ajYFv7KoOt7EHyzxybGezRTiB+/uh73DFCCmJc2yiIRsUw4tNVNytw==" saltValue="khyJbwbXQd9vC2rVzTTe+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9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217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FgOjOlntHI96IaZEzD6hDjg9XXamllqPMSlzTbXAN/17gKg6Aj/DQkGNWJf3KWz+6PL04ZwStMX+oLzKJ/vRKw==" saltValue="UDhAWl6DUyActrK1PB+u+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151512261.72379029</v>
      </c>
      <c r="D9" s="8" t="s">
        <v>3</v>
      </c>
      <c r="E9" s="1"/>
    </row>
    <row r="10" spans="1:5" x14ac:dyDescent="0.2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940269.28849378554</v>
      </c>
      <c r="D10" s="8" t="s">
        <v>3</v>
      </c>
      <c r="E10" s="1"/>
    </row>
    <row r="11" spans="1:5" x14ac:dyDescent="0.2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1698026.2611462991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1155834.7089000002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590515.29090000002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1854212.5480295816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-3102256.4854323971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-1099584.4705023426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-3133499.0471679531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147777484.26851717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omk.'!C16</f>
        <v>79464943.885923415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1"/>
      <c r="D31" s="20"/>
      <c r="E31" s="1"/>
    </row>
    <row r="32" spans="1:5" x14ac:dyDescent="0.2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227242428.15444058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CElZrEHKKZr0rWSkYXTtD83SPp0PNG0PcInFQLwid/F31BoI1CZGSIePPTub7Jt/ChHsjsGUcu3TJJ6PgBksWA==" saltValue="NtIjOADuCgo8TZqvFGRyY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147777484.26851717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487665.69808610663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-2965302.9993320657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-1081148.8372699004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-1649491.2834564652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142569206.84654483</v>
      </c>
      <c r="D16" s="11" t="s">
        <v>3</v>
      </c>
      <c r="E16" s="1"/>
    </row>
    <row r="17" spans="1:5" x14ac:dyDescent="0.25">
      <c r="A17" s="1"/>
      <c r="B17" s="50" t="s">
        <v>12</v>
      </c>
      <c r="C17" s="51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omk.'!C16*(1+'Fane 12. Nøgletal'!C14)</f>
        <v>79727178.200746968</v>
      </c>
      <c r="D18" s="11" t="s">
        <v>3</v>
      </c>
      <c r="E18" s="1"/>
    </row>
    <row r="19" spans="1:5" ht="15" customHeight="1" x14ac:dyDescent="0.25">
      <c r="A19" s="1"/>
      <c r="B19" s="50" t="s">
        <v>89</v>
      </c>
      <c r="C19" s="5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1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1"/>
      <c r="D25" s="20"/>
      <c r="E25" s="1"/>
    </row>
    <row r="26" spans="1:5" x14ac:dyDescent="0.25">
      <c r="A26" s="1"/>
      <c r="B26" s="66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0" t="s">
        <v>97</v>
      </c>
      <c r="C27" s="12">
        <f>SUM(C16,C18,C22,C24,C26)</f>
        <v>222296385.04729182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ZIifPYh7RuWgufEhuO+QAWxtchzaJDgLpxJapj0UB7qXsNEyWvorcM1OpteVT2wuRjEbANJfATUSLV/eS1k/A==" saltValue="Hzmwdded5WpbWMT3aMPo8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142569206.84654483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470478.38259359793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-2860793.704582769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-1063022.2958642333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-1630441.572542432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137485427.656149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Nøgletal'!C14)^2</f>
        <v>79990277.888809443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1"/>
      <c r="D24" s="20"/>
      <c r="E24" s="1"/>
    </row>
    <row r="25" spans="1:5" ht="15" customHeight="1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186</v>
      </c>
      <c r="C26" s="12">
        <f>SUM(C15,C17,C21,C23,C25)</f>
        <v>217475705.54495844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201iosZM/at1Cfz1v4Xds/3RtyYBAwQpgB6IuIEQ31L6Srjb4zvdNiZ+Efef7YtdJr5+xY9JlU+WLYkoHJv9SA==" saltValue="a3hm5Z3ccVAiRgC30JZH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188</v>
      </c>
      <c r="C8" s="7">
        <f>'Fane 2.3. Økonomisk ramme 2024'!C15</f>
        <v>137485427.656149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453701.91126529168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-2758782.5913482858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-1045199.6640517737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-1611611.8636917912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132523535.44832243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Nøgletal'!C14)^3</f>
        <v>80254245.805842519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1"/>
      <c r="D24" s="20"/>
      <c r="E24" s="1"/>
    </row>
    <row r="25" spans="1:5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189</v>
      </c>
      <c r="C26" s="12">
        <f>SUM(C15,C17,C21,C23,C25)</f>
        <v>212777781.25416493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MuBXAjSBmGDV+hyWo/qubyzbJp13p7CCCkBxduAliO81Zp/yljpFEiWyYXd+cg6qaR6EzcWRmOikcL+jjAQ+g==" saltValue="T6tbwqjmaL+yuf6JutFY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190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223</v>
      </c>
      <c r="C8" s="51"/>
      <c r="D8" s="51"/>
      <c r="E8" s="51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154306074.44944349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967641.94380000001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1761217.878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1915826.1981091707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-3179015.2093870533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-1085120.198107129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-3174363.338068191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151512261.72379029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73831173.748526886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1"/>
      <c r="F23" s="51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0" t="s">
        <v>247</v>
      </c>
      <c r="C29" s="51"/>
      <c r="D29" s="51"/>
      <c r="E29" s="51"/>
      <c r="F29" s="20"/>
      <c r="G29" s="1"/>
    </row>
    <row r="30" spans="1:7" ht="15" customHeight="1" x14ac:dyDescent="0.25">
      <c r="A30" s="1"/>
      <c r="B30" s="107" t="s">
        <v>248</v>
      </c>
      <c r="C30" s="108"/>
      <c r="D30" s="109"/>
      <c r="E30" s="10">
        <v>0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225343435.47231716</v>
      </c>
      <c r="F31" s="13" t="s">
        <v>3</v>
      </c>
      <c r="G31" s="1"/>
    </row>
    <row r="32" spans="1:7" ht="14.25" customHeight="1" x14ac:dyDescent="0.25">
      <c r="A32" s="1"/>
      <c r="B32" s="101" t="s">
        <v>191</v>
      </c>
      <c r="C32" s="102"/>
      <c r="D32" s="102"/>
      <c r="E32" s="102"/>
      <c r="F32" s="103"/>
      <c r="G32" s="1"/>
    </row>
    <row r="33" spans="1:7" ht="27.7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4PaZ9lER+H5xmYJ8XBmxvWTLdv2Nz4rXNYR5f5z4Xl5U2hIOuvZaBZpRB0BZLHZIDU6wtNNUDkertsDGVABB9g==" saltValue="nbTe4cVYpSsXSoagD14CyA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30:D30"/>
    <mergeCell ref="B23:D23"/>
    <mergeCell ref="B24:D24"/>
    <mergeCell ref="B25:D25"/>
    <mergeCell ref="B26:D26"/>
    <mergeCell ref="B28:D28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7109375" style="2" bestFit="1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53501163.982203498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1070023.27964407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53097016.189481929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1061940.3237896387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52914468.647822484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42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1058289.3729564496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52732548.704611272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976045.96071873012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1074171.8933065999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53276562.729842089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979447.17551435996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1085120.198107129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53819574.561677761</v>
      </c>
      <c r="H35" s="14" t="s">
        <v>3</v>
      </c>
      <c r="I35" s="1"/>
    </row>
    <row r="36" spans="1:9" x14ac:dyDescent="0.25">
      <c r="A36" s="1"/>
      <c r="B36" s="37" t="s">
        <v>192</v>
      </c>
      <c r="C36" s="57"/>
      <c r="D36" s="57"/>
      <c r="E36" s="57"/>
      <c r="F36" s="58"/>
      <c r="G36" s="24">
        <f>SUM('Fane 2.1. Økonomisk ramme 2022'!C10)*(1+'Fane 12. Nøgletal'!C14)</f>
        <v>943372.17714581511</v>
      </c>
      <c r="H36" s="14" t="s">
        <v>3</v>
      </c>
      <c r="I36" s="1"/>
    </row>
    <row r="37" spans="1:9" x14ac:dyDescent="0.25">
      <c r="A37" s="1"/>
      <c r="B37" s="115" t="s">
        <v>221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1159648.9634393703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1099584.4705023426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54057441.863495022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1081148.8372699004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53151114.793211669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1063022.2958642333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198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199</v>
      </c>
      <c r="C54" s="116"/>
      <c r="D54" s="116"/>
      <c r="E54" s="116"/>
      <c r="F54" s="117"/>
      <c r="G54" s="24">
        <f>(G48+G49-G50)*(1+'Fane 12. Nøgletal'!C14)</f>
        <v>52259983.202588685</v>
      </c>
      <c r="H54" s="14" t="s">
        <v>3</v>
      </c>
      <c r="I54" s="1"/>
    </row>
    <row r="55" spans="1:9" x14ac:dyDescent="0.25">
      <c r="A55" s="1"/>
      <c r="B55" s="115" t="s">
        <v>200</v>
      </c>
      <c r="C55" s="116"/>
      <c r="D55" s="116"/>
      <c r="E55" s="116"/>
      <c r="F55" s="117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201</v>
      </c>
      <c r="C56" s="116"/>
      <c r="D56" s="116"/>
      <c r="E56" s="116"/>
      <c r="F56" s="117"/>
      <c r="G56" s="24">
        <f>(G54+G55)*'Fane 12. Nøgletal'!C29</f>
        <v>1045199.6640517737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ENcMHP12YphJxDwCSpR38YWLXW6B384EfiINDH4gvYrLwn1+JlR/27VF5pNKcC4Vz8ReUY5Npj+CnPCilUZLFA==" saltValue="SXH5SqoUm88hOEVzxodmw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view="pageLayout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7109375" style="2" bestFit="1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107119430.78324479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974786.82012752758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107492680.94144884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978183.39656718448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108314592.55339015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223970.04631781884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2089656.4167189696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962465.50544291432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111519104.74531963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1780566.50944561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1020784.3001525361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113648689.37545897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1782704.7361116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3174363.3380681905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113626566.54893911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1703629.747808082</v>
      </c>
      <c r="H36" s="14" t="s">
        <v>3</v>
      </c>
      <c r="I36" s="38"/>
    </row>
    <row r="37" spans="1:9" x14ac:dyDescent="0.25">
      <c r="A37" s="1"/>
      <c r="B37" s="115" t="s">
        <v>193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592463.99135997007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3133499.0471679531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111452113.74705845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1649491.2834564652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110164971.11773188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1630441.572542432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194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195</v>
      </c>
      <c r="C54" s="116"/>
      <c r="D54" s="116"/>
      <c r="E54" s="116"/>
      <c r="F54" s="117"/>
      <c r="G54" s="24">
        <f>(G48+G49-G50)*(1+'Fane 12. Nøgletal'!C14)</f>
        <v>108892693.4926886</v>
      </c>
      <c r="H54" s="14" t="s">
        <v>3</v>
      </c>
      <c r="I54" s="1"/>
    </row>
    <row r="55" spans="1:9" x14ac:dyDescent="0.25">
      <c r="A55" s="1"/>
      <c r="B55" s="115" t="s">
        <v>196</v>
      </c>
      <c r="C55" s="116"/>
      <c r="D55" s="116"/>
      <c r="E55" s="116"/>
      <c r="F55" s="117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197</v>
      </c>
      <c r="C56" s="116"/>
      <c r="D56" s="116"/>
      <c r="E56" s="116"/>
      <c r="F56" s="117"/>
      <c r="G56" s="24">
        <f>(G54+G55)*'Fane 12. Nøgletal'!C24</f>
        <v>1611611.8636917912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XPB+mgW8meyJxExP9hCZlAn1g55cvQZFNtkDVjqMSiN91WYfD4AHwt50XGJwHu0BDo8m+P6NehwAmpw2gLIuYQ==" saltValue="Px3AyULcpwhYo02i3Btl7w==" spinCount="100000" sheet="1" objects="1" scenarios="1"/>
  <mergeCells count="37"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1.286403245278225E-2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0.02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tn909hoH5b27fwb0qwEy4k+SykAqce40g8WjVUxj6pIDaeTZxGeBNmVrb0IfCWy8gLbOKqzi5c0r7ZUr2XtWw==" saltValue="af2vf6q0GocGYgGWuiVEv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2021-09-07T12:23:59Z</dcterms:modified>
</cp:coreProperties>
</file>