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AQUADJURS AS (S003)\ØR2022\"/>
    </mc:Choice>
  </mc:AlternateContent>
  <bookViews>
    <workbookView xWindow="3105" yWindow="998" windowWidth="12735" windowHeight="4620" tabRatio="872"/>
  </bookViews>
  <sheets>
    <sheet name="1. Forside" sheetId="1" r:id="rId1"/>
    <sheet name="Fane 2.1. Økonomisk ramme 2022" sheetId="2" r:id="rId2"/>
    <sheet name="Fane 2.2. Økonomisk ramme 2023" sheetId="15" r:id="rId3"/>
    <sheet name="Fane 2.3. Økonomisk ramme 2024" sheetId="22" r:id="rId4"/>
    <sheet name="Fane 2.4. Økonomisk ramme 2025" sheetId="23" r:id="rId5"/>
    <sheet name="Fane 3. Omkostninger i ØR2021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20" sheetId="32" r:id="rId11"/>
    <sheet name="Fane 8. Korrektion af ØR2020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32" i="32" l="1"/>
  <c r="E16" i="40" l="1"/>
  <c r="E12" i="40"/>
  <c r="E26" i="32" l="1"/>
  <c r="E34" i="32" s="1"/>
  <c r="C26" i="15" l="1"/>
  <c r="C30" i="2"/>
  <c r="C14" i="19"/>
  <c r="E28" i="20" l="1"/>
  <c r="E22" i="20"/>
  <c r="E16" i="20"/>
  <c r="E10" i="20"/>
  <c r="E10" i="11" l="1"/>
  <c r="G8" i="30" l="1"/>
  <c r="G12" i="30" s="1"/>
  <c r="E29" i="20" l="1"/>
  <c r="E30" i="20" s="1"/>
  <c r="E23" i="20"/>
  <c r="E24" i="20" s="1"/>
  <c r="E17" i="20"/>
  <c r="E18" i="20" s="1"/>
  <c r="E11" i="20"/>
  <c r="E12" i="20" s="1"/>
  <c r="E17" i="40" l="1"/>
  <c r="C32" i="2" s="1"/>
  <c r="C20" i="22" l="1"/>
  <c r="C20" i="15"/>
  <c r="C24" i="2"/>
  <c r="C20" i="23"/>
  <c r="E29" i="21" l="1"/>
  <c r="C29" i="21"/>
  <c r="E23" i="21"/>
  <c r="C23" i="21"/>
  <c r="E17" i="21"/>
  <c r="E18" i="21" s="1"/>
  <c r="C17" i="21"/>
  <c r="C18" i="21" s="1"/>
  <c r="E30" i="21" l="1"/>
  <c r="G60" i="36" s="1"/>
  <c r="C30" i="21"/>
  <c r="E24" i="21"/>
  <c r="G54" i="36" s="1"/>
  <c r="C24" i="21"/>
  <c r="C11" i="15"/>
  <c r="C10" i="15"/>
  <c r="E35" i="39"/>
  <c r="C35" i="39"/>
  <c r="C36" i="39" s="1"/>
  <c r="E27" i="39"/>
  <c r="C27" i="39"/>
  <c r="C28" i="39" s="1"/>
  <c r="E19" i="39"/>
  <c r="C19" i="39"/>
  <c r="E11" i="39"/>
  <c r="C11" i="39"/>
  <c r="C11" i="23" l="1"/>
  <c r="C10" i="23"/>
  <c r="C11" i="22"/>
  <c r="C10" i="22"/>
  <c r="E37" i="39"/>
  <c r="E36" i="39"/>
  <c r="E28" i="39"/>
  <c r="E29" i="39"/>
  <c r="E21" i="39"/>
  <c r="E20" i="39"/>
  <c r="C20" i="39"/>
  <c r="C21" i="39"/>
  <c r="E13" i="39"/>
  <c r="E12" i="39"/>
  <c r="C13" i="39"/>
  <c r="C12" i="39"/>
  <c r="C37" i="39"/>
  <c r="C38" i="39" s="1"/>
  <c r="C29" i="39"/>
  <c r="C30" i="39" s="1"/>
  <c r="E22" i="39" l="1"/>
  <c r="C23" i="15" s="1"/>
  <c r="E38" i="39"/>
  <c r="C23" i="23" s="1"/>
  <c r="E30" i="39"/>
  <c r="C23" i="22" s="1"/>
  <c r="C14" i="39"/>
  <c r="C26" i="2" s="1"/>
  <c r="E14" i="39"/>
  <c r="C27" i="2" s="1"/>
  <c r="C22" i="39"/>
  <c r="C22" i="15" s="1"/>
  <c r="C22" i="22"/>
  <c r="C22" i="23"/>
  <c r="C24" i="23" l="1"/>
  <c r="C24" i="22"/>
  <c r="C24" i="15"/>
  <c r="C28" i="2"/>
  <c r="G6" i="36" l="1"/>
  <c r="G10" i="36" l="1"/>
  <c r="G13" i="36" l="1"/>
  <c r="G17" i="36" l="1"/>
  <c r="G19" i="36" s="1"/>
  <c r="G16" i="30"/>
  <c r="G20" i="30" s="1"/>
  <c r="G23" i="36" l="1"/>
  <c r="G25" i="36" s="1"/>
  <c r="G22" i="30"/>
  <c r="G29" i="36" l="1"/>
  <c r="G26" i="30"/>
  <c r="G31" i="36" l="1"/>
  <c r="F11" i="11"/>
  <c r="C10" i="37" s="1"/>
  <c r="C11" i="37" s="1"/>
  <c r="C12" i="37" s="1"/>
  <c r="G11" i="11"/>
  <c r="G35" i="36" l="1"/>
  <c r="E19" i="27"/>
  <c r="C10" i="2"/>
  <c r="E11" i="21"/>
  <c r="E12" i="21" s="1"/>
  <c r="C11" i="21"/>
  <c r="C12" i="21" s="1"/>
  <c r="E11" i="29"/>
  <c r="E12" i="29" s="1"/>
  <c r="C11" i="29"/>
  <c r="C12" i="29" s="1"/>
  <c r="C15" i="19"/>
  <c r="C18" i="23" l="1"/>
  <c r="C18" i="22"/>
  <c r="C18" i="15"/>
  <c r="C15" i="2"/>
  <c r="C14" i="2"/>
  <c r="C22" i="2"/>
  <c r="C12" i="2"/>
  <c r="C13" i="2"/>
  <c r="G28" i="30" l="1"/>
  <c r="G32" i="30" l="1"/>
  <c r="E11" i="11"/>
  <c r="E10" i="37" s="1"/>
  <c r="E11" i="37" s="1"/>
  <c r="E12" i="37" s="1"/>
  <c r="C11" i="2" l="1"/>
  <c r="G34" i="30"/>
  <c r="E18" i="27" s="1"/>
  <c r="G37" i="36" l="1"/>
  <c r="G41" i="36" s="1"/>
  <c r="G38" i="30"/>
  <c r="E20" i="27"/>
  <c r="E33" i="27" s="1"/>
  <c r="C9" i="2" l="1"/>
  <c r="C16" i="2" s="1"/>
  <c r="G40" i="30"/>
  <c r="G44" i="30" s="1"/>
  <c r="G47" i="30" s="1"/>
  <c r="G53" i="30" s="1"/>
  <c r="G44" i="36"/>
  <c r="G53" i="36" s="1"/>
  <c r="C19" i="2"/>
  <c r="G55" i="36" l="1"/>
  <c r="C15" i="15"/>
  <c r="G59" i="36" l="1"/>
  <c r="G61" i="36" s="1"/>
  <c r="C15" i="23" s="1"/>
  <c r="C15" i="22"/>
  <c r="C17" i="2"/>
  <c r="C18" i="2" l="1"/>
  <c r="C20" i="2" s="1"/>
  <c r="C35" i="2" l="1"/>
  <c r="C9" i="15"/>
  <c r="C14" i="15" l="1"/>
  <c r="C12" i="15"/>
  <c r="C13" i="15" s="1"/>
  <c r="C16" i="15" l="1"/>
  <c r="C29" i="15" s="1"/>
  <c r="C9" i="22" l="1"/>
  <c r="G55" i="30"/>
  <c r="C12" i="22" l="1"/>
  <c r="C13" i="22" s="1"/>
  <c r="C14" i="22"/>
  <c r="G59" i="30"/>
  <c r="G61" i="30" s="1"/>
  <c r="C14" i="23" s="1"/>
  <c r="C16" i="22" l="1"/>
  <c r="C9" i="23" l="1"/>
  <c r="C12" i="23" s="1"/>
  <c r="C13" i="23" s="1"/>
  <c r="C16" i="23" s="1"/>
  <c r="C27" i="23" s="1"/>
  <c r="C27" i="22"/>
</calcChain>
</file>

<file path=xl/sharedStrings.xml><?xml version="1.0" encoding="utf-8"?>
<sst xmlns="http://schemas.openxmlformats.org/spreadsheetml/2006/main" count="704" uniqueCount="285">
  <si>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</si>
  <si>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</si>
  <si>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</si>
  <si>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</si>
  <si>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</si>
  <si>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</si>
  <si>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</si>
  <si>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</si>
  <si>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</si>
  <si>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</si>
  <si>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</si>
  <si>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</si>
  <si>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</si>
  <si>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</si>
  <si>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</si>
  <si>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</si>
  <si>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</si>
  <si>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</si>
  <si>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</si>
  <si>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</si>
  <si>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</si>
  <si>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</si>
  <si>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</si>
  <si>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</si>
  <si>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</si>
  <si>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2020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</si>
  <si>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</si>
  <si>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</si>
  <si>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</si>
  <si>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</si>
  <si>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</si>
  <si>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</si>
  <si>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</si>
  <si>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</si>
  <si>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</si>
  <si>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</si>
  <si>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</si>
  <si>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</si>
  <si>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</si>
  <si>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Anlægsprojekter</t>
  </si>
  <si>
    <t>Bortfald</t>
  </si>
  <si>
    <t>Fane 13</t>
  </si>
  <si>
    <t>Fane 14</t>
  </si>
  <si>
    <t>Nye tillæg - Drift</t>
  </si>
  <si>
    <t>Nye tillæg - Anlæg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</si>
  <si>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</si>
  <si>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</si>
  <si>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</si>
  <si>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</si>
  <si>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</si>
  <si>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</si>
  <si>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</si>
  <si>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</si>
  <si>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</si>
  <si>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</si>
  <si>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</si>
  <si>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</si>
  <si>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</si>
  <si>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</si>
  <si>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</si>
  <si>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</si>
  <si>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</si>
  <si>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</si>
  <si>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</si>
  <si>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</si>
  <si>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</si>
  <si>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</si>
  <si>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</si>
  <si>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</si>
  <si>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</si>
  <si>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</si>
  <si>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</si>
  <si>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</si>
  <si>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</si>
  <si>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</si>
  <si>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</si>
  <si>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</si>
  <si>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</si>
  <si>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</si>
  <si>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</si>
  <si>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</si>
  <si>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</si>
  <si>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</si>
  <si>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</si>
  <si>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</si>
  <si>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anlægsomkostninger i de vejledende økonomiske rammer for 2023</t>
  </si>
  <si>
    <t>Individuelt effektiviseringskrav til de økonomiske rammer for 2018-2019</t>
  </si>
  <si>
    <t>Individuelt effektiviseringskrav til de økonomiske rammer for 2020-2021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</si>
  <si>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</si>
  <si>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</si>
  <si>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</si>
  <si>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</si>
  <si>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</si>
  <si>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</si>
  <si>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</si>
  <si>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</si>
  <si>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</si>
  <si>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</si>
  <si>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</si>
  <si>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</si>
  <si>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</si>
  <si>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2023</t>
  </si>
  <si>
    <t>Økonomisk ramme for 2023</t>
  </si>
  <si>
    <t>Periodevise driftsomkostninger til de økonomiske rammer for 2022</t>
  </si>
  <si>
    <t>Periodevise driftsomkostninger til de økonomiske rammer for 2023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</si>
  <si>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</si>
  <si>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</si>
  <si>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</si>
  <si>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</si>
  <si>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</si>
  <si>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</si>
  <si>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</si>
  <si>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Engangstillæg til de økonomiske rammer for 2022</t>
  </si>
  <si>
    <t>Engangstillæg til de økonomiske rammer for 2023</t>
  </si>
  <si>
    <t>Generelt effektiviseringskrav</t>
  </si>
  <si>
    <t>Tillæg til tilbagebetaling af vejbidrag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</si>
  <si>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</si>
  <si>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</si>
  <si>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</si>
  <si>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</si>
  <si>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</si>
  <si>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</si>
  <si>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</si>
  <si>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</si>
  <si>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</si>
  <si>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</si>
  <si>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</si>
  <si>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</si>
  <si>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</si>
  <si>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</si>
  <si>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</si>
  <si>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</si>
  <si>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</si>
  <si>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</si>
  <si>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</si>
  <si>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</si>
  <si>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</si>
  <si>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</si>
  <si>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</si>
  <si>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Generelt effektiviseringskrav til brug for anlægsomkostninger i ØR2017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</si>
  <si>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</si>
  <si>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</si>
  <si>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</si>
  <si>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</si>
  <si>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</si>
  <si>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</si>
  <si>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</si>
  <si>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</si>
  <si>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</si>
  <si>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Tidligere tilknyttet virksomhed - Drift</t>
  </si>
  <si>
    <t>Tidligere tilknyttet virksomhed - Anlæg</t>
  </si>
  <si>
    <t>Videreførte omkostninger fra den økonomiske ramme for 2022</t>
  </si>
  <si>
    <t>Videreførte omkostninger fra den økonomiske ramme for 2023</t>
  </si>
  <si>
    <t>Økonomisk ramme for 2024</t>
  </si>
  <si>
    <t>Tillæg til den økonomiske ramme for 2024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</si>
  <si>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</si>
  <si>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</si>
  <si>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</si>
  <si>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</si>
  <si>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</si>
  <si>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Vejledende økonomisk ramme for 2024</t>
  </si>
  <si>
    <t>Tilknyttet virksomhed</t>
  </si>
  <si>
    <t>Prisudvikling til brug for nye omkostninger i ØR2021</t>
  </si>
  <si>
    <t>Nye tillæg i alt i 2020-prisniveau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</si>
  <si>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</si>
  <si>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</si>
  <si>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</si>
  <si>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</si>
  <si>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</si>
  <si>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Bortfald eller nedsættelse fra og med de økonomiske rammer for 2024</t>
  </si>
  <si>
    <t>Bortfald eller nedsættelse i alt i 2023-prisniveau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</si>
  <si>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</si>
  <si>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</si>
  <si>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</si>
  <si>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</si>
  <si>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</si>
  <si>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</si>
  <si>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</si>
  <si>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</si>
  <si>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</si>
  <si>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</si>
  <si>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</si>
  <si>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</si>
  <si>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</si>
  <si>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</si>
  <si>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</si>
  <si>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Til indregning i de økonomiske rammer for 2022-2023</t>
  </si>
  <si>
    <t>Kontrol med overholdelse af økonomiske rammer</t>
  </si>
  <si>
    <t>Kontrol med de økonomiske rammer til indregning</t>
  </si>
  <si>
    <t>Fane 14: Nøgletal</t>
  </si>
  <si>
    <t>Generelt effektiviseringskrav til brug for anlægsomkostninger i ØR2018</t>
  </si>
  <si>
    <t>Generelt effektiviseringskrav til brug for anlægsomkostninger i ØR2019</t>
  </si>
  <si>
    <t>Generelt effektiviseringskrav til brug for anlægsomkostninger i ØR2021</t>
  </si>
  <si>
    <t>Generelt effektiviseringskrav til brug for anlægsomkostninger i ØR2022</t>
  </si>
  <si>
    <t>Fane 2.1: Samlet økonomisk ramme for 2022</t>
  </si>
  <si>
    <t>Korrektion af den økonomiske ramme for 2020</t>
  </si>
  <si>
    <t>Fane 2.2: Samlet økonomisk ramme for 2023</t>
  </si>
  <si>
    <t>Fane 2.3: Samlet økonomisk ramme for 2024</t>
  </si>
  <si>
    <t>Fane 2.4: Samlet økonomisk ramme for 2025</t>
  </si>
  <si>
    <t>Videreførte omkostninger fra den økonomiske ramme for 2024</t>
  </si>
  <si>
    <t>Økonomisk ramme for 2025</t>
  </si>
  <si>
    <t>Generelt effektiviseringskrav til driftsomkostninger i de vejledende økonomiske rammer for 2025</t>
  </si>
  <si>
    <t>Base for driftsomkostninger til de vejledende økonomiske rammer for 2025</t>
  </si>
  <si>
    <t>Bortfald af driftsomkostninger i de økonomiske rammer for 2025</t>
  </si>
  <si>
    <t>Vejledende generelt effektiviseringskrav til driftsomkostningerne i ØR25</t>
  </si>
  <si>
    <t>Generelt effektiviseringskrav til anlægsomkostninger i de vejledende økonomiske rammer for 2025</t>
  </si>
  <si>
    <t>Individuelt effektiviseringskrav til de økonomiske rammer for 2022-2023</t>
  </si>
  <si>
    <t>Beregningen af jeres individuelle effektiviseringskrav fremgår af metodepapir samt bilag til benchmarkingmodellen 2022</t>
  </si>
  <si>
    <t>Faktiske ikke-påvirkelige omkostninger i 2020</t>
  </si>
  <si>
    <t>Ikke-påvirkelige omkostninger i 2020-prisniveau</t>
  </si>
  <si>
    <t>Ikke-påvirkelige omkostninger i 2022-prisniveau</t>
  </si>
  <si>
    <t>Tillæg til den økonomiske ramme for 2025</t>
  </si>
  <si>
    <t>Fane 7: Kontrol med overholdelse af den økonomiske ramme for 2020</t>
  </si>
  <si>
    <t>Kontrol med overholdelse af den økonomiske ramme for 2020</t>
  </si>
  <si>
    <t>Indtægtsramme i den økonomiske ramme for 2020</t>
  </si>
  <si>
    <t>Faktiske indtægter i 2020</t>
  </si>
  <si>
    <t>Fane 8: Korrektioner af den økonomiske ramme for 2020</t>
  </si>
  <si>
    <t>Korrektion af periodevise driftsomkostninger i de økonomiske rammer for 2020</t>
  </si>
  <si>
    <t>Faktisk periodevis driftsomkostning i 2020</t>
  </si>
  <si>
    <t>Tidligere godkendt tillæg indregnet i den økonomiske ramme for 2020</t>
  </si>
  <si>
    <t>Faktisk omkostning til medfinansiering af klimatilpasningsprojekter i 2020</t>
  </si>
  <si>
    <t>Korrektioner af den økonomiske ramme for 2020 i alt</t>
  </si>
  <si>
    <t>Nye tillæg i alt i 2021-prisniveau</t>
  </si>
  <si>
    <t>Engangstillæg i alt i 2020-prisniveau</t>
  </si>
  <si>
    <t>Engangstillæg til de økonomiske rammer for 2025</t>
  </si>
  <si>
    <t>Engangstillæg i alt i 2025-prisniveau</t>
  </si>
  <si>
    <t>Periodevise driftsomkostninger i alt i 2020-prisniveau</t>
  </si>
  <si>
    <t>Periodevise driftsomkostninger til de økonomiske rammer for 2025</t>
  </si>
  <si>
    <t>Periodevise driftsomkostninger i alt i 2025-prisniveau</t>
  </si>
  <si>
    <t>Tilknyttet virksomhed under hovedvirksomheden i alt (2021-prisniveau)</t>
  </si>
  <si>
    <t>Bortfald eller nedsættelse i alt i 2024-prisniveau</t>
  </si>
  <si>
    <t>Bortfald eller nedsættelse fra og med de økonomiske rammer for 2025</t>
  </si>
  <si>
    <t>Generelt effektiviseringskrav til driftsomkostninger i de økonomiske rammer for 2022</t>
  </si>
  <si>
    <t>Generelt effektiviseringskrav til driftsomkostninger i de økonomiske rammer for 2023</t>
  </si>
  <si>
    <t>Generelt effektiviseringskrav til driftsomkostningerne i ØR22</t>
  </si>
  <si>
    <t>Generelt effektiviseringskrav til driftsomkostningerne i ØR23</t>
  </si>
  <si>
    <t>Nye driftsomkostninger til de økonomiske rammer for 2022</t>
  </si>
  <si>
    <t>- Heraf nye driftsomkostninger til de økonomiske rammer for 2022</t>
  </si>
  <si>
    <t>Generelt effektiviseringskrav til anlægsomkostninger i de økonomiske rammer for 2022</t>
  </si>
  <si>
    <t>Generelt effektiviseringskrav til anlægsomkostningerne i ØR22</t>
  </si>
  <si>
    <t>Nye anlægsomkostninger til de økonomiske rammer for 2022</t>
  </si>
  <si>
    <t>Generelt effektiviseringskrav til anlægsomkostningerne i ØR23</t>
  </si>
  <si>
    <t>- Heraf nye anlægsomkostninger til de økonomiske rammer for 2022</t>
  </si>
  <si>
    <t>Individuelt effektiviseringskrav til de økonomiske rammer for 2017</t>
  </si>
  <si>
    <t>Faktiske omkostninger i 2020</t>
  </si>
  <si>
    <t>Samlet økonomisk ramme for 2022</t>
  </si>
  <si>
    <t>Samlet økonomisk ramme for 2023</t>
  </si>
  <si>
    <t>Vejledende økonomisk ramme for 2025</t>
  </si>
  <si>
    <t>Omkostninger i ØR2021</t>
  </si>
  <si>
    <t>Kontrol af den økonomiske ramme for 2020</t>
  </si>
  <si>
    <t>Fane 3: Videreførte omkostninger fra den økonomiske ramme for 2021</t>
  </si>
  <si>
    <t>Økonomisk ramme for 2021</t>
  </si>
  <si>
    <t xml:space="preserve">Note: Denne opgørelse er taget fra jeres statusmeddelelse for den økonomiske ramme for 2021. I kan derfor ikke komme med høringssvar til denne opgørelse. </t>
  </si>
  <si>
    <t>Prisudvikling til brug for ØR2022-2023</t>
  </si>
  <si>
    <t>Prisudvikling til brug for nye omkostninger i ØR2020</t>
  </si>
  <si>
    <t>Base for anlægsomkostninger til de vejledende økonomiske rammer for 2025</t>
  </si>
  <si>
    <t>Bortfald af anlægsomkostninger i de økonomiske rammer for 2025</t>
  </si>
  <si>
    <t>Vejledende generelt effektiviseringskrav til anlægsomkostningerne i ØR25</t>
  </si>
  <si>
    <t xml:space="preserve">Indtægter fra tilbagebetalt skat eller sambeskatningsbidrag som følge af skattesagen </t>
  </si>
  <si>
    <t xml:space="preserve">Nedsættelse af økonomisk ramme som følge af skattesagen </t>
  </si>
  <si>
    <t>Videreførte omkostninger fra den økonomiske ramme for 2021</t>
  </si>
  <si>
    <t>Ingen tilknyttet virksomhed</t>
  </si>
  <si>
    <t>Spildevandsafgift</t>
  </si>
  <si>
    <t>Afgift til Forsyningssekretariatet</t>
  </si>
  <si>
    <t>Køb af produkter og ydelser fra andre vandselskaber reguleret af vandsektorloven</t>
  </si>
  <si>
    <t>Ejendomsskat</t>
  </si>
  <si>
    <t>Ingen bortfald eller nedsættelse</t>
  </si>
  <si>
    <t>Tidligere opgjorte over/underdækninger</t>
  </si>
  <si>
    <t>Over/underdækning i 2017</t>
  </si>
  <si>
    <t>Over/underdækning i 2018</t>
  </si>
  <si>
    <t>Korrigeret over/underdækning i 2018</t>
  </si>
  <si>
    <t>Over/underdækning i 2019</t>
  </si>
  <si>
    <t>Note: Opgørelsen af overholdelse af de økonomiske rammer og korrektioner heraf er taget fra jeres tidligere fremsendte økonomiske rammer og statusmeddelelser. I kan derfor ikke komme med høringssvar til denne opgørelse. Positive værdier er udtryk for at rammerne er overholdt(underdækning) og negative værdier er udtryk for at rammerne ikke er overholdt(overdækning).</t>
  </si>
  <si>
    <t>Allerede indregnet fradrag i jeres økonomiske rammer</t>
  </si>
  <si>
    <t>Indregnet fradrag i økonomisk ramme for 2022</t>
  </si>
  <si>
    <t>Indregnet fradrag i økonomisk ramme for 2023</t>
  </si>
  <si>
    <t xml:space="preserve">Note: Opgørelsen af over/underækningen er taget fra jeres tidligere fremsendte økonomiske rammer og statusmeddelelser. I kan derfor ikke komme med høringssvar til denne opgørelse. </t>
  </si>
  <si>
    <t>Resultat af kontrol med overholdelse af den økonomiske ramme for 2020</t>
  </si>
  <si>
    <t>Oversigt over den økonomiske ramme for 2021</t>
  </si>
  <si>
    <t>Note: Rækken 'Yderligere opkrævningsret for de økonomiske rammer for 2017 og/eller 2018' kan tage værdierne 0,1, 2 eller 3. Værdien er 1 hvis der er yderligere opkrævningsret fra 2017, 2 hvis der er yderligere opkrævningsret fra 2018 eller 3 hvis der er yderligere opkrævningsret for begge år. Hvis der ikke er nogen opkrævningsret overhovedet er værdien 0. Opkrævningsretten følger § 17, stk. 8 i den dagældende ØR-bekendtgørelse nr. 938 af 28. juni 2018.</t>
  </si>
  <si>
    <t>Yderligere opkrævningsret for de økonomiske rammer 2017 og/eller 2018</t>
  </si>
  <si>
    <t>Ingen engangstillæg</t>
  </si>
  <si>
    <t>Ingen anlægsprojekter</t>
  </si>
  <si>
    <t>Til økonomiske rammer for 2022 og 2023</t>
  </si>
  <si>
    <t>Kontrol med overholdelse af den økonomiske ramme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</si>
</sst>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27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8" fillId="8" borderId="3" xfId="0" applyFont="1" applyFill="1" applyBorder="1" applyProtection="1"/>
    <xf numFmtId="49" fontId="8" fillId="8" borderId="2" xfId="0" applyNumberFormat="1" applyFont="1" applyFill="1" applyBorder="1" applyAlignment="1" applyProtection="1">
      <alignment horizontal="left"/>
    </xf>
    <xf numFmtId="3" fontId="8" fillId="4" borderId="2" xfId="0" applyNumberFormat="1" applyFont="1" applyFill="1" applyBorder="1" applyAlignment="1" applyProtection="1">
      <alignment horizontal="right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1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Protection="1"/>
    <xf numFmtId="10" fontId="8" fillId="0" borderId="1" xfId="4" applyNumberFormat="1" applyFont="1" applyFill="1" applyBorder="1" applyAlignment="1" applyProtection="1"/>
    <xf numFmtId="1" fontId="8" fillId="8" borderId="1" xfId="1" applyNumberFormat="1" applyFont="1" applyFill="1" applyBorder="1" applyProtection="1"/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8" fillId="8" borderId="2" xfId="0" quotePrefix="1" applyFont="1" applyFill="1" applyBorder="1" applyAlignment="1" applyProtection="1"/>
    <xf numFmtId="0" fontId="8" fillId="8" borderId="6" xfId="0" quotePrefix="1" applyFont="1" applyFill="1" applyBorder="1" applyAlignment="1" applyProtection="1"/>
    <xf numFmtId="0" fontId="8" fillId="8" borderId="3" xfId="0" quotePrefix="1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F2DCDB"/>
      <color rgb="FF212121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328125" defaultRowHeight="14.25" x14ac:dyDescent="0.45"/>
  <cols>
    <col min="1" max="1" width="9.1328125" style="2"/>
    <col min="2" max="2" width="5.86328125" style="2" customWidth="1"/>
    <col min="3" max="4" width="9.1328125" style="2"/>
    <col min="5" max="5" width="11.6640625" style="2" customWidth="1"/>
    <col min="6" max="6" width="11.53125" style="2" customWidth="1"/>
    <col min="7" max="8" width="9.1328125" style="2"/>
    <col min="9" max="9" width="12.1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45">
      <c r="A4" s="1"/>
      <c r="B4" s="1"/>
      <c r="C4" s="1"/>
      <c r="D4" s="1"/>
      <c r="E4" s="1"/>
      <c r="F4" s="1"/>
      <c r="G4" s="1"/>
      <c r="H4" s="1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4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4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5">
      <c r="A8" s="1"/>
      <c r="B8" s="1"/>
      <c r="C8" s="4"/>
      <c r="D8" s="80" t="s">
        <v>283</v>
      </c>
      <c r="E8" s="80"/>
      <c r="F8" s="80"/>
      <c r="G8" s="80"/>
      <c r="H8" s="4"/>
      <c r="I8" s="1"/>
    </row>
    <row r="9" spans="1:9" x14ac:dyDescent="0.45">
      <c r="A9" s="1"/>
      <c r="B9" s="1"/>
      <c r="C9" s="5"/>
      <c r="D9" s="5"/>
      <c r="E9" s="5"/>
      <c r="F9" s="5"/>
      <c r="G9" s="5"/>
      <c r="H9" s="5"/>
      <c r="I9" s="1"/>
    </row>
    <row r="10" spans="1:9" x14ac:dyDescent="0.4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45">
      <c r="A11" s="1"/>
      <c r="B11" s="5"/>
      <c r="C11" s="5"/>
      <c r="D11" s="79" t="s">
        <v>5</v>
      </c>
      <c r="E11" s="79"/>
      <c r="F11" s="79"/>
      <c r="G11" s="79"/>
      <c r="H11" s="5"/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6" t="s">
        <v>6</v>
      </c>
      <c r="D13" s="69" t="s">
        <v>245</v>
      </c>
      <c r="E13" s="70"/>
      <c r="F13" s="70"/>
      <c r="G13" s="71"/>
      <c r="H13" s="1"/>
      <c r="I13" s="1"/>
    </row>
    <row r="14" spans="1:9" x14ac:dyDescent="0.45">
      <c r="A14" s="1"/>
      <c r="B14" s="1"/>
      <c r="C14" s="6" t="s">
        <v>17</v>
      </c>
      <c r="D14" s="69" t="s">
        <v>246</v>
      </c>
      <c r="E14" s="70"/>
      <c r="F14" s="70"/>
      <c r="G14" s="71"/>
      <c r="H14" s="1"/>
      <c r="I14" s="1"/>
    </row>
    <row r="15" spans="1:9" x14ac:dyDescent="0.45">
      <c r="A15" s="1"/>
      <c r="B15" s="1"/>
      <c r="C15" s="6" t="s">
        <v>37</v>
      </c>
      <c r="D15" s="69" t="s">
        <v>160</v>
      </c>
      <c r="E15" s="70"/>
      <c r="F15" s="70"/>
      <c r="G15" s="71"/>
      <c r="H15" s="1"/>
      <c r="I15" s="1"/>
    </row>
    <row r="16" spans="1:9" x14ac:dyDescent="0.45">
      <c r="A16" s="1"/>
      <c r="B16" s="1"/>
      <c r="C16" s="6" t="s">
        <v>38</v>
      </c>
      <c r="D16" s="69" t="s">
        <v>247</v>
      </c>
      <c r="E16" s="70"/>
      <c r="F16" s="70"/>
      <c r="G16" s="71"/>
      <c r="H16" s="1"/>
      <c r="I16" s="1"/>
    </row>
    <row r="17" spans="1:9" x14ac:dyDescent="0.45">
      <c r="A17" s="1"/>
      <c r="B17" s="1"/>
      <c r="C17" s="6" t="s">
        <v>144</v>
      </c>
      <c r="D17" s="69" t="s">
        <v>248</v>
      </c>
      <c r="E17" s="70"/>
      <c r="F17" s="70"/>
      <c r="G17" s="71"/>
      <c r="H17" s="1"/>
      <c r="I17" s="1"/>
    </row>
    <row r="18" spans="1:9" x14ac:dyDescent="0.45">
      <c r="A18" s="1"/>
      <c r="B18" s="1"/>
      <c r="C18" s="6" t="s">
        <v>124</v>
      </c>
      <c r="D18" s="81" t="s">
        <v>110</v>
      </c>
      <c r="E18" s="82"/>
      <c r="F18" s="82"/>
      <c r="G18" s="83"/>
      <c r="H18" s="1"/>
      <c r="I18" s="1"/>
    </row>
    <row r="19" spans="1:9" x14ac:dyDescent="0.45">
      <c r="A19" s="1"/>
      <c r="B19" s="1"/>
      <c r="C19" s="6" t="s">
        <v>125</v>
      </c>
      <c r="D19" s="81" t="s">
        <v>111</v>
      </c>
      <c r="E19" s="82"/>
      <c r="F19" s="82"/>
      <c r="G19" s="83"/>
      <c r="H19" s="1"/>
      <c r="I19" s="1"/>
    </row>
    <row r="20" spans="1:9" x14ac:dyDescent="0.45">
      <c r="A20" s="1"/>
      <c r="B20" s="1"/>
      <c r="C20" s="6" t="s">
        <v>7</v>
      </c>
      <c r="D20" s="81" t="s">
        <v>10</v>
      </c>
      <c r="E20" s="82"/>
      <c r="F20" s="82"/>
      <c r="G20" s="83"/>
      <c r="H20" s="1"/>
      <c r="I20" s="1"/>
    </row>
    <row r="21" spans="1:9" x14ac:dyDescent="0.45">
      <c r="A21" s="1"/>
      <c r="B21" s="1"/>
      <c r="C21" s="6" t="s">
        <v>126</v>
      </c>
      <c r="D21" s="73" t="s">
        <v>13</v>
      </c>
      <c r="E21" s="74"/>
      <c r="F21" s="74"/>
      <c r="G21" s="75"/>
      <c r="H21" s="1"/>
      <c r="I21" s="1"/>
    </row>
    <row r="22" spans="1:9" x14ac:dyDescent="0.45">
      <c r="A22" s="1"/>
      <c r="B22" s="1"/>
      <c r="C22" s="6" t="s">
        <v>91</v>
      </c>
      <c r="D22" s="76" t="s">
        <v>249</v>
      </c>
      <c r="E22" s="77"/>
      <c r="F22" s="77"/>
      <c r="G22" s="78"/>
      <c r="H22" s="1"/>
      <c r="I22" s="1"/>
    </row>
    <row r="23" spans="1:9" x14ac:dyDescent="0.45">
      <c r="A23" s="1"/>
      <c r="B23" s="1"/>
      <c r="C23" s="6" t="s">
        <v>8</v>
      </c>
      <c r="D23" s="76" t="s">
        <v>195</v>
      </c>
      <c r="E23" s="77"/>
      <c r="F23" s="77"/>
      <c r="G23" s="78"/>
      <c r="H23" s="1"/>
      <c r="I23" s="1"/>
    </row>
    <row r="24" spans="1:9" x14ac:dyDescent="0.45">
      <c r="A24" s="1"/>
      <c r="B24" s="1"/>
      <c r="C24" s="6" t="s">
        <v>9</v>
      </c>
      <c r="D24" s="76" t="s">
        <v>39</v>
      </c>
      <c r="E24" s="77"/>
      <c r="F24" s="77"/>
      <c r="G24" s="78"/>
      <c r="H24" s="1"/>
      <c r="I24" s="1"/>
    </row>
    <row r="25" spans="1:9" x14ac:dyDescent="0.45">
      <c r="A25" s="1"/>
      <c r="B25" s="1"/>
      <c r="C25" s="6" t="s">
        <v>127</v>
      </c>
      <c r="D25" s="76" t="s">
        <v>92</v>
      </c>
      <c r="E25" s="77"/>
      <c r="F25" s="77"/>
      <c r="G25" s="78"/>
      <c r="H25" s="1"/>
      <c r="I25" s="1"/>
    </row>
    <row r="26" spans="1:9" x14ac:dyDescent="0.45">
      <c r="A26" s="1"/>
      <c r="B26" s="1"/>
      <c r="C26" s="6" t="s">
        <v>128</v>
      </c>
      <c r="D26" s="76" t="s">
        <v>93</v>
      </c>
      <c r="E26" s="77"/>
      <c r="F26" s="77"/>
      <c r="G26" s="78"/>
      <c r="H26" s="1"/>
      <c r="I26" s="1"/>
    </row>
    <row r="27" spans="1:9" x14ac:dyDescent="0.45">
      <c r="A27" s="1"/>
      <c r="B27" s="1"/>
      <c r="C27" s="6" t="s">
        <v>129</v>
      </c>
      <c r="D27" s="76" t="s">
        <v>94</v>
      </c>
      <c r="E27" s="77"/>
      <c r="F27" s="77"/>
      <c r="G27" s="78"/>
      <c r="H27" s="1"/>
      <c r="I27" s="1"/>
    </row>
    <row r="28" spans="1:9" x14ac:dyDescent="0.45">
      <c r="A28" s="1"/>
      <c r="B28" s="1"/>
      <c r="C28" s="6" t="s">
        <v>16</v>
      </c>
      <c r="D28" s="76" t="s">
        <v>161</v>
      </c>
      <c r="E28" s="77"/>
      <c r="F28" s="77"/>
      <c r="G28" s="78"/>
      <c r="H28" s="1"/>
      <c r="I28" s="1"/>
    </row>
    <row r="29" spans="1:9" x14ac:dyDescent="0.45">
      <c r="A29" s="1"/>
      <c r="B29" s="1"/>
      <c r="C29" s="6" t="s">
        <v>41</v>
      </c>
      <c r="D29" s="76" t="s">
        <v>40</v>
      </c>
      <c r="E29" s="77"/>
      <c r="F29" s="77"/>
      <c r="G29" s="78"/>
      <c r="H29" s="1"/>
      <c r="I29" s="1"/>
    </row>
    <row r="30" spans="1:9" x14ac:dyDescent="0.45">
      <c r="A30" s="1"/>
      <c r="B30" s="1"/>
      <c r="C30" s="6" t="s">
        <v>42</v>
      </c>
      <c r="D30" s="84" t="s">
        <v>123</v>
      </c>
      <c r="E30" s="85"/>
      <c r="F30" s="85"/>
      <c r="G30" s="86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1Xq4bplox9lc640lEW8Ji3sdFy/s8hiXXc0B4cFOUeUkD63mb2+p7AL5vA0kWu1/VMLGQzxHd86yYqnL2GsXtQ==" saltValue="VxoP3RCRhDT2NigQxPSunA==" spinCount="100000" sheet="1" objects="1" scenarios="1"/>
  <mergeCells count="21"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</mergeCells>
  <hyperlinks>
    <hyperlink ref="D14:G14" location="'Fane 2.2. Økonomisk ramme 2023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2'!A1" display="Samlet økonomisk ramme for 2021"/>
    <hyperlink ref="D16:G16" location="'Fane 2.4. Økonomisk ramme 2025'!A1" display="Vejledende økonomisk ramme for 2024"/>
    <hyperlink ref="D15:G15" location="'Fane 2.3. Økonomisk ramme 2024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1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6. Korrektion af ØR2020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1"/>
  <sheetViews>
    <sheetView showGridLines="0" view="pageLayout" zoomScaleNormal="100" workbookViewId="0"/>
  </sheetViews>
  <sheetFormatPr defaultColWidth="9.1328125" defaultRowHeight="14.25" x14ac:dyDescent="0.45"/>
  <cols>
    <col min="1" max="1" width="8.1328125" style="2" customWidth="1"/>
    <col min="2" max="2" width="38" style="2" customWidth="1"/>
    <col min="3" max="3" width="24.86328125" style="2" customWidth="1"/>
    <col min="4" max="4" width="3.33203125" style="2" customWidth="1"/>
    <col min="5" max="5" width="7.86328125" style="2" customWidth="1"/>
    <col min="6" max="6" width="4" style="2" customWidth="1"/>
    <col min="7" max="16384" width="9.1328125" style="2"/>
  </cols>
  <sheetData>
    <row r="1" spans="1:6" x14ac:dyDescent="0.45">
      <c r="A1" s="1"/>
      <c r="B1" s="1"/>
      <c r="C1" s="1"/>
      <c r="D1" s="1"/>
      <c r="E1" s="1"/>
      <c r="F1" s="1"/>
    </row>
    <row r="2" spans="1:6" x14ac:dyDescent="0.45">
      <c r="A2" s="1"/>
      <c r="B2" s="1"/>
      <c r="C2" s="1"/>
      <c r="D2" s="1"/>
      <c r="E2" s="1"/>
      <c r="F2" s="1"/>
    </row>
    <row r="3" spans="1:6" ht="15" customHeight="1" x14ac:dyDescent="0.45">
      <c r="A3" s="1"/>
      <c r="B3" s="87" t="s">
        <v>132</v>
      </c>
      <c r="C3" s="87"/>
      <c r="D3" s="87"/>
      <c r="E3" s="1"/>
      <c r="F3" s="1"/>
    </row>
    <row r="4" spans="1:6" ht="15" customHeight="1" x14ac:dyDescent="0.45">
      <c r="A4" s="1"/>
      <c r="B4" s="87"/>
      <c r="C4" s="87"/>
      <c r="D4" s="87"/>
      <c r="E4" s="1"/>
      <c r="F4" s="1"/>
    </row>
    <row r="5" spans="1:6" x14ac:dyDescent="0.45">
      <c r="A5" s="1"/>
      <c r="B5" s="1"/>
      <c r="C5" s="1"/>
      <c r="D5" s="1"/>
      <c r="E5" s="1"/>
      <c r="F5" s="1"/>
    </row>
    <row r="6" spans="1:6" x14ac:dyDescent="0.45">
      <c r="A6" s="1"/>
      <c r="B6" s="1"/>
      <c r="C6" s="1"/>
      <c r="D6" s="1"/>
      <c r="E6" s="1"/>
      <c r="F6" s="1"/>
    </row>
    <row r="7" spans="1:6" x14ac:dyDescent="0.45">
      <c r="A7" s="1"/>
      <c r="B7" s="1"/>
      <c r="C7" s="1"/>
      <c r="D7" s="1"/>
      <c r="E7" s="1"/>
      <c r="F7" s="1"/>
    </row>
    <row r="8" spans="1:6" x14ac:dyDescent="0.45">
      <c r="A8" s="1"/>
      <c r="B8" s="95" t="s">
        <v>208</v>
      </c>
      <c r="C8" s="96"/>
      <c r="D8" s="97"/>
      <c r="E8" s="1"/>
      <c r="F8" s="1"/>
    </row>
    <row r="9" spans="1:6" ht="15" customHeight="1" x14ac:dyDescent="0.45">
      <c r="A9" s="1"/>
      <c r="B9" s="31" t="s">
        <v>35</v>
      </c>
      <c r="C9" s="11" t="s">
        <v>244</v>
      </c>
      <c r="D9" s="11"/>
      <c r="E9" s="1"/>
      <c r="F9" s="1"/>
    </row>
    <row r="10" spans="1:6" ht="15" customHeight="1" x14ac:dyDescent="0.45">
      <c r="A10" s="1"/>
      <c r="B10" s="62" t="s">
        <v>262</v>
      </c>
      <c r="C10" s="9">
        <v>1638479</v>
      </c>
      <c r="D10" s="14" t="s">
        <v>3</v>
      </c>
      <c r="E10" s="1"/>
      <c r="F10" s="1"/>
    </row>
    <row r="11" spans="1:6" x14ac:dyDescent="0.45">
      <c r="A11" s="1"/>
      <c r="B11" s="62" t="s">
        <v>263</v>
      </c>
      <c r="C11" s="9">
        <v>73559</v>
      </c>
      <c r="D11" s="14" t="s">
        <v>3</v>
      </c>
      <c r="E11" s="1"/>
      <c r="F11" s="1"/>
    </row>
    <row r="12" spans="1:6" x14ac:dyDescent="0.45">
      <c r="A12" s="1"/>
      <c r="B12" s="62" t="s">
        <v>264</v>
      </c>
      <c r="C12" s="9">
        <v>1883218</v>
      </c>
      <c r="D12" s="14" t="s">
        <v>3</v>
      </c>
      <c r="E12" s="1"/>
      <c r="F12" s="1"/>
    </row>
    <row r="13" spans="1:6" x14ac:dyDescent="0.45">
      <c r="A13" s="1"/>
      <c r="B13" s="62" t="s">
        <v>265</v>
      </c>
      <c r="C13" s="9">
        <v>98293</v>
      </c>
      <c r="D13" s="14" t="s">
        <v>3</v>
      </c>
      <c r="E13" s="1"/>
      <c r="F13" s="1"/>
    </row>
    <row r="14" spans="1:6" x14ac:dyDescent="0.45">
      <c r="A14" s="1"/>
      <c r="B14" s="38" t="s">
        <v>209</v>
      </c>
      <c r="C14" s="12">
        <f>SUM(C10:C13)</f>
        <v>3693549</v>
      </c>
      <c r="D14" s="13" t="s">
        <v>3</v>
      </c>
      <c r="E14" s="1"/>
      <c r="F14" s="1"/>
    </row>
    <row r="15" spans="1:6" x14ac:dyDescent="0.45">
      <c r="A15" s="1"/>
      <c r="B15" s="38" t="s">
        <v>210</v>
      </c>
      <c r="C15" s="12">
        <f>C14*(1+'Fane 14. Nøgletal'!C14)^2</f>
        <v>3717966.6461486104</v>
      </c>
      <c r="D15" s="13" t="s">
        <v>3</v>
      </c>
      <c r="E15" s="1"/>
      <c r="F15" s="1"/>
    </row>
    <row r="16" spans="1:6" x14ac:dyDescent="0.45">
      <c r="A16" s="1"/>
      <c r="B16" s="16"/>
      <c r="C16" s="15"/>
      <c r="D16" s="15"/>
      <c r="E16" s="1"/>
      <c r="F16" s="1"/>
    </row>
    <row r="17" spans="1:6" x14ac:dyDescent="0.45">
      <c r="A17" s="1"/>
      <c r="B17" s="16"/>
      <c r="C17" s="15"/>
      <c r="D17" s="15"/>
      <c r="E17" s="1"/>
      <c r="F17" s="1"/>
    </row>
    <row r="18" spans="1:6" x14ac:dyDescent="0.45">
      <c r="A18" s="1"/>
      <c r="B18" s="95" t="s">
        <v>142</v>
      </c>
      <c r="C18" s="96"/>
      <c r="D18" s="97"/>
      <c r="E18" s="1"/>
      <c r="F18" s="1"/>
    </row>
    <row r="19" spans="1:6" x14ac:dyDescent="0.45">
      <c r="A19" s="1"/>
      <c r="B19" s="62" t="s">
        <v>116</v>
      </c>
      <c r="C19" s="9">
        <v>0</v>
      </c>
      <c r="D19" s="14" t="s">
        <v>3</v>
      </c>
      <c r="E19" s="1"/>
      <c r="F19" s="1"/>
    </row>
    <row r="20" spans="1:6" x14ac:dyDescent="0.45">
      <c r="A20" s="1"/>
      <c r="B20" s="62" t="s">
        <v>117</v>
      </c>
      <c r="C20" s="9">
        <v>0</v>
      </c>
      <c r="D20" s="14" t="s">
        <v>3</v>
      </c>
      <c r="E20" s="1"/>
      <c r="F20" s="1"/>
    </row>
    <row r="21" spans="1:6" x14ac:dyDescent="0.45">
      <c r="A21" s="1"/>
      <c r="B21" s="62" t="s">
        <v>154</v>
      </c>
      <c r="C21" s="9">
        <v>0</v>
      </c>
      <c r="D21" s="14" t="s">
        <v>3</v>
      </c>
      <c r="E21" s="1"/>
      <c r="F21" s="1"/>
    </row>
    <row r="22" spans="1:6" x14ac:dyDescent="0.45">
      <c r="A22" s="1"/>
      <c r="B22" s="62" t="s">
        <v>211</v>
      </c>
      <c r="C22" s="9">
        <v>0</v>
      </c>
      <c r="D22" s="14" t="s">
        <v>3</v>
      </c>
      <c r="E22" s="1"/>
      <c r="F22" s="1"/>
    </row>
    <row r="23" spans="1:6" x14ac:dyDescent="0.45">
      <c r="A23" s="1"/>
      <c r="B23" s="95"/>
      <c r="C23" s="96"/>
      <c r="D23" s="97"/>
      <c r="E23" s="1"/>
      <c r="F23" s="1"/>
    </row>
    <row r="24" spans="1:6" x14ac:dyDescent="0.45">
      <c r="A24" s="1"/>
      <c r="B24" s="1"/>
      <c r="C24" s="1"/>
      <c r="D24" s="1"/>
      <c r="E24" s="1"/>
      <c r="F24" s="1"/>
    </row>
    <row r="25" spans="1:6" x14ac:dyDescent="0.45">
      <c r="A25" s="1"/>
      <c r="B25" s="1"/>
      <c r="C25" s="1"/>
      <c r="D25" s="1"/>
      <c r="E25" s="1"/>
      <c r="F25" s="1"/>
    </row>
    <row r="26" spans="1:6" x14ac:dyDescent="0.45">
      <c r="A26" s="1"/>
      <c r="B26" s="95" t="s">
        <v>115</v>
      </c>
      <c r="C26" s="96"/>
      <c r="D26" s="97"/>
      <c r="E26" s="1"/>
      <c r="F26" s="1"/>
    </row>
    <row r="27" spans="1:6" x14ac:dyDescent="0.45">
      <c r="A27" s="1"/>
      <c r="B27" s="62" t="s">
        <v>116</v>
      </c>
      <c r="C27" s="9">
        <v>0</v>
      </c>
      <c r="D27" s="14" t="s">
        <v>3</v>
      </c>
      <c r="E27" s="1"/>
      <c r="F27" s="1"/>
    </row>
    <row r="28" spans="1:6" x14ac:dyDescent="0.45">
      <c r="A28" s="1"/>
      <c r="B28" s="62" t="s">
        <v>117</v>
      </c>
      <c r="C28" s="9">
        <v>0</v>
      </c>
      <c r="D28" s="14" t="s">
        <v>3</v>
      </c>
      <c r="E28" s="1"/>
      <c r="F28" s="1"/>
    </row>
    <row r="29" spans="1:6" x14ac:dyDescent="0.45">
      <c r="A29" s="1"/>
      <c r="B29" s="62" t="s">
        <v>154</v>
      </c>
      <c r="C29" s="9">
        <v>0</v>
      </c>
      <c r="D29" s="14" t="s">
        <v>3</v>
      </c>
      <c r="E29" s="1"/>
      <c r="F29" s="1"/>
    </row>
    <row r="30" spans="1:6" x14ac:dyDescent="0.45">
      <c r="A30" s="1"/>
      <c r="B30" s="62" t="s">
        <v>211</v>
      </c>
      <c r="C30" s="9">
        <v>0</v>
      </c>
      <c r="D30" s="14" t="s">
        <v>3</v>
      </c>
      <c r="E30" s="1"/>
      <c r="F30" s="1"/>
    </row>
    <row r="31" spans="1:6" x14ac:dyDescent="0.45">
      <c r="A31" s="1"/>
      <c r="B31" s="95"/>
      <c r="C31" s="96"/>
      <c r="D31" s="97"/>
      <c r="E31" s="1"/>
      <c r="F31" s="1"/>
    </row>
    <row r="32" spans="1:6" x14ac:dyDescent="0.45">
      <c r="A32" s="1"/>
      <c r="B32" s="1"/>
      <c r="C32" s="1"/>
      <c r="D32" s="1"/>
      <c r="E32" s="1"/>
      <c r="F32" s="1"/>
    </row>
    <row r="33" spans="1:6" x14ac:dyDescent="0.45">
      <c r="A33" s="1"/>
      <c r="B33" s="1"/>
      <c r="C33" s="1"/>
      <c r="D33" s="1"/>
      <c r="E33" s="1"/>
      <c r="F33" s="1"/>
    </row>
    <row r="34" spans="1:6" x14ac:dyDescent="0.45">
      <c r="A34" s="1"/>
      <c r="B34" s="1"/>
      <c r="C34" s="1"/>
      <c r="D34" s="1"/>
      <c r="E34" s="1"/>
      <c r="F34" s="1"/>
    </row>
    <row r="35" spans="1:6" x14ac:dyDescent="0.45">
      <c r="A35" s="1"/>
      <c r="B35" s="1"/>
      <c r="C35" s="1"/>
      <c r="D35" s="1"/>
      <c r="E35" s="1"/>
      <c r="F35" s="1"/>
    </row>
    <row r="36" spans="1:6" x14ac:dyDescent="0.45">
      <c r="A36" s="1"/>
      <c r="B36" s="1"/>
      <c r="C36" s="1"/>
      <c r="D36" s="1"/>
      <c r="E36" s="1"/>
      <c r="F36" s="1"/>
    </row>
    <row r="37" spans="1:6" x14ac:dyDescent="0.45">
      <c r="A37" s="1"/>
      <c r="B37" s="1"/>
      <c r="C37" s="1"/>
      <c r="D37" s="1"/>
      <c r="E37" s="1"/>
      <c r="F37" s="1"/>
    </row>
    <row r="38" spans="1:6" x14ac:dyDescent="0.45">
      <c r="A38" s="1"/>
      <c r="B38" s="1"/>
      <c r="C38" s="1"/>
      <c r="D38" s="1"/>
      <c r="E38" s="1"/>
      <c r="F38" s="1"/>
    </row>
    <row r="39" spans="1:6" x14ac:dyDescent="0.45">
      <c r="A39" s="1"/>
      <c r="B39" s="1"/>
      <c r="C39" s="1"/>
      <c r="D39" s="1"/>
      <c r="E39" s="1"/>
      <c r="F39" s="1"/>
    </row>
    <row r="40" spans="1:6" x14ac:dyDescent="0.45">
      <c r="A40" s="1"/>
      <c r="B40" s="1"/>
      <c r="C40" s="1"/>
      <c r="D40" s="1"/>
      <c r="E40" s="1"/>
      <c r="F40" s="1"/>
    </row>
    <row r="41" spans="1:6" x14ac:dyDescent="0.45">
      <c r="A41" s="1"/>
      <c r="B41" s="1"/>
      <c r="C41" s="1"/>
      <c r="D41" s="1"/>
      <c r="E41" s="1"/>
      <c r="F41" s="1"/>
    </row>
    <row r="42" spans="1:6" x14ac:dyDescent="0.45">
      <c r="A42" s="1"/>
      <c r="B42" s="1"/>
      <c r="C42" s="1"/>
      <c r="D42" s="1"/>
      <c r="E42" s="1"/>
      <c r="F42" s="1"/>
    </row>
    <row r="43" spans="1:6" x14ac:dyDescent="0.45">
      <c r="A43" s="1"/>
      <c r="B43" s="1"/>
      <c r="C43" s="1"/>
      <c r="D43" s="1"/>
      <c r="E43" s="1"/>
      <c r="F43" s="1"/>
    </row>
    <row r="44" spans="1:6" x14ac:dyDescent="0.45">
      <c r="A44" s="1"/>
      <c r="B44" s="1"/>
      <c r="C44" s="1"/>
      <c r="D44" s="1"/>
      <c r="E44" s="1"/>
      <c r="F44" s="1"/>
    </row>
    <row r="45" spans="1:6" x14ac:dyDescent="0.45">
      <c r="A45" s="1"/>
      <c r="B45" s="1"/>
      <c r="C45" s="1"/>
      <c r="D45" s="1"/>
      <c r="E45" s="1"/>
      <c r="F45" s="1"/>
    </row>
    <row r="46" spans="1:6" x14ac:dyDescent="0.45">
      <c r="A46" s="1"/>
      <c r="B46" s="1"/>
      <c r="C46" s="1"/>
      <c r="D46" s="1"/>
      <c r="E46" s="1"/>
      <c r="F46" s="1"/>
    </row>
    <row r="47" spans="1:6" x14ac:dyDescent="0.45">
      <c r="A47" s="1"/>
      <c r="B47" s="1"/>
      <c r="C47" s="1"/>
      <c r="D47" s="1"/>
      <c r="E47" s="1"/>
      <c r="F47" s="1"/>
    </row>
    <row r="48" spans="1:6" x14ac:dyDescent="0.45">
      <c r="A48" s="1"/>
      <c r="B48" s="1"/>
      <c r="C48" s="1"/>
      <c r="D48" s="1"/>
      <c r="E48" s="1"/>
      <c r="F48" s="1"/>
    </row>
    <row r="49" spans="1:6" x14ac:dyDescent="0.45">
      <c r="A49" s="1"/>
      <c r="B49" s="1"/>
      <c r="C49" s="1"/>
      <c r="D49" s="1"/>
      <c r="E49" s="1"/>
      <c r="F49" s="1"/>
    </row>
    <row r="50" spans="1:6" x14ac:dyDescent="0.45">
      <c r="A50" s="1"/>
      <c r="B50" s="1"/>
      <c r="C50" s="1"/>
      <c r="D50" s="1"/>
      <c r="E50" s="1"/>
      <c r="F50" s="1"/>
    </row>
    <row r="51" spans="1:6" x14ac:dyDescent="0.45">
      <c r="A51" s="1"/>
      <c r="B51" s="1"/>
      <c r="C51" s="1"/>
      <c r="D51" s="1"/>
      <c r="E51" s="1"/>
      <c r="F51" s="1"/>
    </row>
  </sheetData>
  <sheetProtection algorithmName="SHA-512" hashValue="FBja34uD1Y5bgq9hs1JPsM1ZPxnFWyb6E6lEgytxOOJPw4niKmmnlmX69tT5PxeQMJflmHXrteuWdw/uJ5Jptw==" saltValue="6f6jCnZYvlYwhfvdYV9kkg==" spinCount="100000" sheet="1" objects="1" scenarios="1"/>
  <mergeCells count="6">
    <mergeCell ref="B31:D31"/>
    <mergeCell ref="B3:D4"/>
    <mergeCell ref="B8:D8"/>
    <mergeCell ref="B18:D18"/>
    <mergeCell ref="B26:D26"/>
    <mergeCell ref="B23:D23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43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86328125" style="2" customWidth="1"/>
    <col min="5" max="5" width="12.332031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212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ht="15" customHeight="1" x14ac:dyDescent="0.45">
      <c r="A5" s="1"/>
      <c r="B5" s="58"/>
      <c r="C5" s="58"/>
      <c r="D5" s="58"/>
      <c r="E5" s="58"/>
      <c r="F5" s="58"/>
      <c r="G5" s="1"/>
    </row>
    <row r="6" spans="1:7" ht="15" customHeight="1" x14ac:dyDescent="0.45">
      <c r="A6" s="1"/>
      <c r="B6" s="58"/>
      <c r="C6" s="58"/>
      <c r="D6" s="58"/>
      <c r="E6" s="58"/>
      <c r="F6" s="58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267</v>
      </c>
      <c r="C8" s="96"/>
      <c r="D8" s="96"/>
      <c r="E8" s="96"/>
      <c r="F8" s="97"/>
      <c r="G8" s="1"/>
    </row>
    <row r="9" spans="1:7" x14ac:dyDescent="0.45">
      <c r="A9" s="1"/>
      <c r="B9" s="104" t="s">
        <v>268</v>
      </c>
      <c r="C9" s="105"/>
      <c r="D9" s="106"/>
      <c r="E9" s="9">
        <v>37320673.149433337</v>
      </c>
      <c r="F9" s="14" t="s">
        <v>3</v>
      </c>
      <c r="G9" s="1"/>
    </row>
    <row r="10" spans="1:7" x14ac:dyDescent="0.45">
      <c r="A10" s="1"/>
      <c r="B10" s="104" t="s">
        <v>269</v>
      </c>
      <c r="C10" s="105"/>
      <c r="D10" s="106"/>
      <c r="E10" s="9">
        <v>22246435.302649513</v>
      </c>
      <c r="F10" s="14" t="s">
        <v>3</v>
      </c>
      <c r="G10" s="1"/>
    </row>
    <row r="11" spans="1:7" x14ac:dyDescent="0.45">
      <c r="A11" s="1"/>
      <c r="B11" s="104" t="s">
        <v>270</v>
      </c>
      <c r="C11" s="105"/>
      <c r="D11" s="106"/>
      <c r="E11" s="9">
        <v>22246435.302649513</v>
      </c>
      <c r="F11" s="14" t="s">
        <v>3</v>
      </c>
      <c r="G11" s="1"/>
    </row>
    <row r="12" spans="1:7" x14ac:dyDescent="0.45">
      <c r="A12" s="1"/>
      <c r="B12" s="104" t="s">
        <v>271</v>
      </c>
      <c r="C12" s="105"/>
      <c r="D12" s="106"/>
      <c r="E12" s="9">
        <v>22399928.766619697</v>
      </c>
      <c r="F12" s="14" t="s">
        <v>3</v>
      </c>
      <c r="G12" s="1"/>
    </row>
    <row r="13" spans="1:7" x14ac:dyDescent="0.45">
      <c r="A13" s="1"/>
      <c r="B13" s="38"/>
      <c r="C13" s="32"/>
      <c r="D13" s="32"/>
      <c r="E13" s="32"/>
      <c r="F13" s="20"/>
      <c r="G13" s="1"/>
    </row>
    <row r="14" spans="1:7" ht="51.75" customHeight="1" x14ac:dyDescent="0.45">
      <c r="A14" s="1"/>
      <c r="B14" s="98" t="s">
        <v>272</v>
      </c>
      <c r="C14" s="99"/>
      <c r="D14" s="99"/>
      <c r="E14" s="99"/>
      <c r="F14" s="100"/>
      <c r="G14" s="1"/>
    </row>
    <row r="15" spans="1:7" ht="27" customHeight="1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273</v>
      </c>
      <c r="C16" s="96"/>
      <c r="D16" s="96"/>
      <c r="E16" s="96"/>
      <c r="F16" s="97"/>
      <c r="G16" s="1"/>
    </row>
    <row r="17" spans="1:7" x14ac:dyDescent="0.45">
      <c r="A17" s="1"/>
      <c r="B17" s="104" t="s">
        <v>274</v>
      </c>
      <c r="C17" s="105"/>
      <c r="D17" s="106"/>
      <c r="E17" s="9">
        <v>0</v>
      </c>
      <c r="F17" s="14" t="s">
        <v>3</v>
      </c>
      <c r="G17" s="1"/>
    </row>
    <row r="18" spans="1:7" x14ac:dyDescent="0.45">
      <c r="A18" s="1"/>
      <c r="B18" s="104" t="s">
        <v>275</v>
      </c>
      <c r="C18" s="105"/>
      <c r="D18" s="106"/>
      <c r="E18" s="9">
        <v>0</v>
      </c>
      <c r="F18" s="14" t="s">
        <v>3</v>
      </c>
      <c r="G18" s="1"/>
    </row>
    <row r="19" spans="1:7" x14ac:dyDescent="0.45">
      <c r="A19" s="1"/>
      <c r="B19" s="38"/>
      <c r="C19" s="32"/>
      <c r="D19" s="32"/>
      <c r="E19" s="32"/>
      <c r="F19" s="20"/>
      <c r="G19" s="1"/>
    </row>
    <row r="20" spans="1:7" ht="29.25" customHeight="1" x14ac:dyDescent="0.45">
      <c r="A20" s="1"/>
      <c r="B20" s="98" t="s">
        <v>276</v>
      </c>
      <c r="C20" s="99"/>
      <c r="D20" s="99"/>
      <c r="E20" s="99"/>
      <c r="F20" s="100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53" t="s">
        <v>213</v>
      </c>
      <c r="C22" s="54"/>
      <c r="D22" s="54"/>
      <c r="E22" s="54"/>
      <c r="F22" s="55"/>
      <c r="G22" s="1"/>
    </row>
    <row r="23" spans="1:7" x14ac:dyDescent="0.45">
      <c r="A23" s="1"/>
      <c r="B23" s="59" t="s">
        <v>214</v>
      </c>
      <c r="C23" s="60"/>
      <c r="D23" s="61"/>
      <c r="E23" s="9">
        <v>81272479.529908627</v>
      </c>
      <c r="F23" s="14" t="s">
        <v>3</v>
      </c>
      <c r="G23" s="1"/>
    </row>
    <row r="24" spans="1:7" x14ac:dyDescent="0.45">
      <c r="A24" s="1"/>
      <c r="B24" s="59" t="s">
        <v>215</v>
      </c>
      <c r="C24" s="60"/>
      <c r="D24" s="61"/>
      <c r="E24" s="9">
        <v>62112993</v>
      </c>
      <c r="F24" s="14" t="s">
        <v>3</v>
      </c>
      <c r="G24" s="1"/>
    </row>
    <row r="25" spans="1:7" x14ac:dyDescent="0.45">
      <c r="A25" s="1"/>
      <c r="B25" s="59" t="s">
        <v>36</v>
      </c>
      <c r="C25" s="60"/>
      <c r="D25" s="61"/>
      <c r="E25" s="9">
        <v>0</v>
      </c>
      <c r="F25" s="14" t="s">
        <v>3</v>
      </c>
      <c r="G25" s="1"/>
    </row>
    <row r="26" spans="1:7" x14ac:dyDescent="0.45">
      <c r="A26" s="1"/>
      <c r="B26" s="56" t="s">
        <v>277</v>
      </c>
      <c r="C26" s="57"/>
      <c r="D26" s="64"/>
      <c r="E26" s="48">
        <f>E23-(E24-E25)</f>
        <v>19159486.529908627</v>
      </c>
      <c r="F26" s="17" t="s">
        <v>3</v>
      </c>
      <c r="G26" s="1"/>
    </row>
    <row r="27" spans="1:7" x14ac:dyDescent="0.45">
      <c r="A27" s="1"/>
      <c r="B27" s="38"/>
      <c r="C27" s="32"/>
      <c r="D27" s="32"/>
      <c r="E27" s="32"/>
      <c r="F27" s="20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95" t="s">
        <v>186</v>
      </c>
      <c r="C30" s="96"/>
      <c r="D30" s="96"/>
      <c r="E30" s="96"/>
      <c r="F30" s="97"/>
      <c r="G30" s="1"/>
    </row>
    <row r="31" spans="1:7" x14ac:dyDescent="0.45">
      <c r="A31" s="1"/>
      <c r="B31" s="116" t="s">
        <v>280</v>
      </c>
      <c r="C31" s="117"/>
      <c r="D31" s="118"/>
      <c r="E31" s="9">
        <v>0</v>
      </c>
      <c r="F31" s="14"/>
      <c r="G31" s="1"/>
    </row>
    <row r="32" spans="1:7" x14ac:dyDescent="0.45">
      <c r="A32" s="1"/>
      <c r="B32" s="116" t="s">
        <v>187</v>
      </c>
      <c r="C32" s="117"/>
      <c r="D32" s="118"/>
      <c r="E32" s="9">
        <f>IF(AND(E26&gt;0,E31&gt;0),0,
IF(AND(E26&lt;0,OR(E31=1,E31=3),ABS(E26)&lt;ABS(SUM(E9:E10,E12))),0,
IF(AND(E26&lt;0,OR(E31=1,E31=3),ABS(E26)&gt;ABS(SUM(E9:E10,E12))),(E26+SUM(E9:E10,E12)),
IF(AND(E26&lt;0,E31=2,ABS(E26)&lt;ABS(SUM(E10,E12))),0,
IF(AND(E26&lt;0,E31=2,ABS(E26)&gt;ABS(SUM(E10,E12))),(E26+SUM(E10,E12)),
IF(AND(E10&lt;0,E12&gt;0,E26&lt;0,ABS(E11)&gt;ABS(E12)),E26,
IF(AND(E10&lt;0,E12&gt;0,E26&lt;0,ABS(E11)&lt;ABS(E12),ABS(SUM(E11,E12))&gt;ABS(E26)),0,
IF(AND(E10&lt;0,E12&gt;0,E26&lt;0,ABS(E11)&lt;ABS(E12),ABS(SUM(E11,E12))&lt;ABS(E26)),(ABS(SUM(E11,E12))-ABS(E26)),
IF(AND(E10&gt;0,E12&gt;0,E26&lt;0,ABS(E12)&gt;ABS(E26)),0,
IF(AND(E10&gt;0,E12&gt;0,E26&lt;0,ABS(E12)&lt;ABS(E26)),(ABS(E12)-ABS(E26)),
IF(AND(E12&lt;0,E26&lt;0),E17+E18+E26,
IF(AND(E12&lt;0,E26&gt;0),E18+E17,
IF(AND(E12&gt;0,E26&gt;0),0,"Fejl")))))))))))))</f>
        <v>0</v>
      </c>
      <c r="F32" s="14" t="s">
        <v>3</v>
      </c>
      <c r="G32" s="1"/>
    </row>
    <row r="33" spans="1:7" x14ac:dyDescent="0.45">
      <c r="A33" s="1"/>
      <c r="B33" s="116" t="s">
        <v>120</v>
      </c>
      <c r="C33" s="117"/>
      <c r="D33" s="118"/>
      <c r="E33" s="9">
        <v>2</v>
      </c>
      <c r="F33" s="14" t="s">
        <v>21</v>
      </c>
      <c r="G33" s="1"/>
    </row>
    <row r="34" spans="1:7" x14ac:dyDescent="0.45">
      <c r="A34" s="1"/>
      <c r="B34" s="119" t="s">
        <v>188</v>
      </c>
      <c r="C34" s="119"/>
      <c r="D34" s="119"/>
      <c r="E34" s="10">
        <f>E32/E33</f>
        <v>0</v>
      </c>
      <c r="F34" s="17" t="s">
        <v>3</v>
      </c>
      <c r="G34" s="1"/>
    </row>
    <row r="35" spans="1:7" x14ac:dyDescent="0.45">
      <c r="A35" s="1"/>
      <c r="B35" s="120"/>
      <c r="C35" s="121"/>
      <c r="D35" s="121"/>
      <c r="E35" s="121"/>
      <c r="F35" s="122"/>
      <c r="G35" s="1"/>
    </row>
    <row r="36" spans="1:7" ht="75" customHeight="1" x14ac:dyDescent="0.45">
      <c r="A36" s="1"/>
      <c r="B36" s="98" t="s">
        <v>279</v>
      </c>
      <c r="C36" s="99"/>
      <c r="D36" s="99"/>
      <c r="E36" s="99"/>
      <c r="F36" s="100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</sheetData>
  <sheetProtection algorithmName="SHA-512" hashValue="bbPbGi/ZNDiXoxZJT3eii7R0e3wPdl7feQsZQC8Ep+L87lvAF2xsPw5ORXnRMu667kUmfJIcu0uzA+rpHMLFGQ==" saltValue="7kg8Q1cTqFuNpG8oL5li0Q==" spinCount="100000" sheet="1" objects="1" scenarios="1"/>
  <mergeCells count="18">
    <mergeCell ref="B32:D32"/>
    <mergeCell ref="B33:D33"/>
    <mergeCell ref="B34:D34"/>
    <mergeCell ref="B35:F35"/>
    <mergeCell ref="B36:F36"/>
    <mergeCell ref="B20:F20"/>
    <mergeCell ref="B30:F30"/>
    <mergeCell ref="B31:D31"/>
    <mergeCell ref="B3:F4"/>
    <mergeCell ref="B16:F16"/>
    <mergeCell ref="B17:D17"/>
    <mergeCell ref="B18:D18"/>
    <mergeCell ref="B8:F8"/>
    <mergeCell ref="B9:D9"/>
    <mergeCell ref="B10:D10"/>
    <mergeCell ref="B11:D11"/>
    <mergeCell ref="B12:D12"/>
    <mergeCell ref="B14:F14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328125" defaultRowHeight="14.25" x14ac:dyDescent="0.45"/>
  <cols>
    <col min="1" max="1" width="3.53125" style="2" customWidth="1"/>
    <col min="2" max="3" width="9.1328125" style="2"/>
    <col min="4" max="4" width="45.53125" style="2" customWidth="1"/>
    <col min="5" max="5" width="12.6640625" style="2" bestFit="1" customWidth="1"/>
    <col min="6" max="6" width="3.33203125" style="2" customWidth="1"/>
    <col min="7" max="7" width="2.4648437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29.25" customHeight="1" x14ac:dyDescent="0.45">
      <c r="A3" s="1"/>
      <c r="B3" s="103" t="s">
        <v>216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1"/>
      <c r="C8" s="1"/>
      <c r="D8" s="1"/>
      <c r="E8" s="1"/>
      <c r="F8" s="1"/>
      <c r="G8" s="1"/>
    </row>
    <row r="9" spans="1:7" ht="15" customHeight="1" x14ac:dyDescent="0.45">
      <c r="A9" s="1"/>
      <c r="B9" s="95" t="s">
        <v>217</v>
      </c>
      <c r="C9" s="96"/>
      <c r="D9" s="96"/>
      <c r="E9" s="96"/>
      <c r="F9" s="97"/>
      <c r="G9" s="1"/>
    </row>
    <row r="10" spans="1:7" x14ac:dyDescent="0.45">
      <c r="A10" s="1"/>
      <c r="B10" s="98" t="s">
        <v>118</v>
      </c>
      <c r="C10" s="99"/>
      <c r="D10" s="100"/>
      <c r="E10" s="7">
        <v>0</v>
      </c>
      <c r="F10" s="8" t="s">
        <v>3</v>
      </c>
      <c r="G10" s="1"/>
    </row>
    <row r="11" spans="1:7" x14ac:dyDescent="0.45">
      <c r="A11" s="1"/>
      <c r="B11" s="104" t="s">
        <v>218</v>
      </c>
      <c r="C11" s="105"/>
      <c r="D11" s="106"/>
      <c r="E11" s="7">
        <v>0</v>
      </c>
      <c r="F11" s="8" t="s">
        <v>3</v>
      </c>
      <c r="G11" s="1"/>
    </row>
    <row r="12" spans="1:7" x14ac:dyDescent="0.45">
      <c r="A12" s="1"/>
      <c r="B12" s="101" t="s">
        <v>119</v>
      </c>
      <c r="C12" s="102"/>
      <c r="D12" s="123"/>
      <c r="E12" s="10">
        <f>E11-E10</f>
        <v>0</v>
      </c>
      <c r="F12" s="11" t="s">
        <v>3</v>
      </c>
      <c r="G12" s="1"/>
    </row>
    <row r="13" spans="1:7" x14ac:dyDescent="0.45">
      <c r="A13" s="1"/>
      <c r="B13" s="95" t="s">
        <v>109</v>
      </c>
      <c r="C13" s="96"/>
      <c r="D13" s="96"/>
      <c r="E13" s="96"/>
      <c r="F13" s="97"/>
      <c r="G13" s="1"/>
    </row>
    <row r="14" spans="1:7" x14ac:dyDescent="0.45">
      <c r="A14" s="1"/>
      <c r="B14" s="104" t="s">
        <v>219</v>
      </c>
      <c r="C14" s="105"/>
      <c r="D14" s="106"/>
      <c r="E14" s="9">
        <v>0</v>
      </c>
      <c r="F14" s="8" t="s">
        <v>3</v>
      </c>
      <c r="G14" s="1"/>
    </row>
    <row r="15" spans="1:7" x14ac:dyDescent="0.45">
      <c r="A15" s="1"/>
      <c r="B15" s="98" t="s">
        <v>220</v>
      </c>
      <c r="C15" s="99"/>
      <c r="D15" s="100"/>
      <c r="E15" s="9">
        <v>0</v>
      </c>
      <c r="F15" s="8" t="s">
        <v>3</v>
      </c>
      <c r="G15" s="1"/>
    </row>
    <row r="16" spans="1:7" x14ac:dyDescent="0.45">
      <c r="A16" s="1"/>
      <c r="B16" s="101" t="s">
        <v>119</v>
      </c>
      <c r="C16" s="102"/>
      <c r="D16" s="123"/>
      <c r="E16" s="10">
        <f>E15-E14</f>
        <v>0</v>
      </c>
      <c r="F16" s="11" t="s">
        <v>3</v>
      </c>
      <c r="G16" s="1"/>
    </row>
    <row r="17" spans="1:7" x14ac:dyDescent="0.45">
      <c r="A17" s="1"/>
      <c r="B17" s="38" t="s">
        <v>221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</sheetData>
  <sheetProtection algorithmName="SHA-512" hashValue="b7scv4FUtWS8Ql2KXvlHJrF9k6VTZe7Usagx3WwXYI3h1zaVoQ0w4Hu0vXo+Qa6uN7RMXqxOUmJLArgqtdqcDA==" saltValue="V8Ewd66Q66ccZCIx7+R/OA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46"/>
  <sheetViews>
    <sheetView showGridLines="0" view="pageLayout" zoomScaleNormal="100" workbookViewId="0"/>
  </sheetViews>
  <sheetFormatPr defaultColWidth="9.1328125" defaultRowHeight="14.25" x14ac:dyDescent="0.45"/>
  <cols>
    <col min="1" max="1" width="4.6640625" style="2" customWidth="1"/>
    <col min="2" max="2" width="22.53125" style="2" customWidth="1"/>
    <col min="3" max="3" width="8.33203125" style="2" customWidth="1"/>
    <col min="4" max="6" width="10.6640625" style="2" customWidth="1"/>
    <col min="7" max="7" width="11.1328125" style="2" customWidth="1"/>
    <col min="8" max="8" width="3.33203125" style="2" customWidth="1"/>
    <col min="9" max="9" width="4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177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178</v>
      </c>
      <c r="C8" s="96"/>
      <c r="D8" s="96"/>
      <c r="E8" s="96"/>
      <c r="F8" s="96"/>
      <c r="G8" s="96"/>
      <c r="H8" s="97"/>
      <c r="I8" s="1"/>
    </row>
    <row r="9" spans="1:9" ht="39.75" customHeight="1" x14ac:dyDescent="0.4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33</v>
      </c>
      <c r="H9" s="37"/>
      <c r="I9" s="1"/>
    </row>
    <row r="10" spans="1:9" x14ac:dyDescent="0.45">
      <c r="A10" s="1"/>
      <c r="B10" s="65" t="s">
        <v>282</v>
      </c>
      <c r="C10" s="66">
        <v>0</v>
      </c>
      <c r="D10" s="9">
        <v>0</v>
      </c>
      <c r="E10" s="9">
        <f t="shared" ref="E10" si="0">IFERROR(D10/C10,0)</f>
        <v>0</v>
      </c>
      <c r="F10" s="9">
        <v>0</v>
      </c>
      <c r="G10" s="9">
        <v>0</v>
      </c>
      <c r="H10" s="14" t="s">
        <v>3</v>
      </c>
      <c r="I10" s="1"/>
    </row>
    <row r="11" spans="1:9" x14ac:dyDescent="0.45">
      <c r="A11" s="1"/>
      <c r="B11" s="95" t="s">
        <v>179</v>
      </c>
      <c r="C11" s="96"/>
      <c r="D11" s="97"/>
      <c r="E11" s="12">
        <f>SUM(E10:E10)</f>
        <v>0</v>
      </c>
      <c r="F11" s="12">
        <f>SUM(F10:F10)</f>
        <v>0</v>
      </c>
      <c r="G11" s="12">
        <f>SUM(G10:G10)</f>
        <v>0</v>
      </c>
      <c r="H11" s="13" t="s">
        <v>3</v>
      </c>
      <c r="I11" s="1"/>
    </row>
    <row r="12" spans="1:9" x14ac:dyDescent="0.4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45">
      <c r="A13" s="1"/>
      <c r="B13" s="1"/>
      <c r="C13" s="1"/>
      <c r="D13" s="1"/>
      <c r="E13" s="1"/>
      <c r="F13" s="1"/>
      <c r="G13" s="1"/>
      <c r="H13" s="1"/>
      <c r="I13" s="1"/>
    </row>
    <row r="14" spans="1:9" x14ac:dyDescent="0.45">
      <c r="A14" s="1"/>
      <c r="B14" s="1"/>
      <c r="C14" s="1"/>
      <c r="D14" s="1"/>
      <c r="E14" s="1"/>
      <c r="F14" s="1"/>
      <c r="G14" s="1"/>
      <c r="H14" s="1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</sheetData>
  <sheetProtection algorithmName="SHA-512" hashValue="buaPJV0G1TR5RlbEOBYjRRwwoLNEGpQapwOxCRZu56oy0SXwSWGVyyxXEbf+dd9i3pTVEsdG7L0FEelI5OLShA==" saltValue="Wq/vd/BVONSVgUZyi02ozA==" spinCount="100000" sheet="1" objects="1" scenarios="1"/>
  <mergeCells count="3">
    <mergeCell ref="B3:H4"/>
    <mergeCell ref="B11:D11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48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135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88</v>
      </c>
      <c r="C8" s="32"/>
      <c r="D8" s="32"/>
      <c r="E8" s="32"/>
      <c r="F8" s="20"/>
      <c r="G8" s="1"/>
    </row>
    <row r="9" spans="1:7" ht="17.25" customHeight="1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180</v>
      </c>
      <c r="C10" s="22">
        <f>'Fane 9. Anlægsprojekter'!F11</f>
        <v>0</v>
      </c>
      <c r="D10" s="14" t="s">
        <v>3</v>
      </c>
      <c r="E10" s="9">
        <f>SUM('Fane 9. Anlægsprojekter'!E11,'Fane 9. Anlægsprojekter'!G11)</f>
        <v>0</v>
      </c>
      <c r="F10" s="14" t="s">
        <v>3</v>
      </c>
      <c r="G10" s="1"/>
    </row>
    <row r="11" spans="1:7" x14ac:dyDescent="0.45">
      <c r="A11" s="1"/>
      <c r="B11" s="38" t="s">
        <v>163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222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</sheetData>
  <sheetProtection algorithmName="SHA-512" hashValue="K/6ZZ4kB78GJVT3Di+2xBXUPZmwLOf//tM+ndV6jugQfl1FO93vI7JbOr1Uz9n1UrGUIMr4zyeCnVxTfB5LGGA==" saltValue="Fy68xyJCI0+4JcqFzk3vnA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2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46484375" style="2" bestFit="1" customWidth="1"/>
    <col min="5" max="5" width="17.6640625" style="2" bestFit="1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87" t="s">
        <v>134</v>
      </c>
      <c r="C3" s="87"/>
      <c r="D3" s="87"/>
      <c r="E3" s="87"/>
      <c r="F3" s="87"/>
      <c r="G3" s="1"/>
    </row>
    <row r="4" spans="1:7" ht="15" customHeight="1" x14ac:dyDescent="0.45">
      <c r="A4" s="1"/>
      <c r="B4" s="87"/>
      <c r="C4" s="87"/>
      <c r="D4" s="87"/>
      <c r="E4" s="87"/>
      <c r="F4" s="87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112</v>
      </c>
      <c r="C8" s="96"/>
      <c r="D8" s="96"/>
      <c r="E8" s="96"/>
      <c r="F8" s="97"/>
      <c r="G8" s="1"/>
    </row>
    <row r="9" spans="1:7" x14ac:dyDescent="0.45">
      <c r="A9" s="1"/>
      <c r="B9" s="51" t="s">
        <v>18</v>
      </c>
      <c r="C9" s="51" t="s">
        <v>12</v>
      </c>
      <c r="D9" s="52"/>
      <c r="E9" s="51" t="s">
        <v>34</v>
      </c>
      <c r="F9" s="37"/>
      <c r="G9" s="1"/>
    </row>
    <row r="10" spans="1:7" x14ac:dyDescent="0.45">
      <c r="A10" s="1"/>
      <c r="B10" s="25" t="s">
        <v>281</v>
      </c>
      <c r="C10" s="22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223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27" t="s">
        <v>10</v>
      </c>
      <c r="C12" s="28">
        <f>-C11*'Fane 5. Individuelt eff. krav'!G12</f>
        <v>0</v>
      </c>
      <c r="D12" s="29" t="s">
        <v>3</v>
      </c>
      <c r="E12" s="28">
        <f>-E11*'Fane 5. Individuelt eff. krav'!G12</f>
        <v>0</v>
      </c>
      <c r="F12" s="29" t="s">
        <v>3</v>
      </c>
      <c r="G12" s="1"/>
    </row>
    <row r="13" spans="1:7" x14ac:dyDescent="0.45">
      <c r="A13" s="1"/>
      <c r="B13" s="27" t="s">
        <v>114</v>
      </c>
      <c r="C13" s="28">
        <f>-C11*'Fane 14. Nøgletal'!C29</f>
        <v>0</v>
      </c>
      <c r="D13" s="29" t="s">
        <v>3</v>
      </c>
      <c r="E13" s="28">
        <f>-E11*'Fane 14. Nøgletal'!C24</f>
        <v>0</v>
      </c>
      <c r="F13" s="29" t="s">
        <v>3</v>
      </c>
      <c r="G13" s="1"/>
    </row>
    <row r="14" spans="1:7" x14ac:dyDescent="0.45">
      <c r="A14" s="1"/>
      <c r="B14" s="38" t="s">
        <v>164</v>
      </c>
      <c r="C14" s="12">
        <f>SUM(C11:C13)*(1+'Fane 14. Nøgletal'!C14)^2</f>
        <v>0</v>
      </c>
      <c r="D14" s="13" t="s">
        <v>3</v>
      </c>
      <c r="E14" s="12">
        <f>SUM(E11:E13)*(1+'Fane 14. Nøgletal'!C14)^2</f>
        <v>0</v>
      </c>
      <c r="F14" s="13" t="s">
        <v>3</v>
      </c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95" t="s">
        <v>113</v>
      </c>
      <c r="C16" s="96"/>
      <c r="D16" s="96"/>
      <c r="E16" s="96"/>
      <c r="F16" s="97"/>
      <c r="G16" s="1"/>
    </row>
    <row r="17" spans="1:7" x14ac:dyDescent="0.45">
      <c r="A17" s="1"/>
      <c r="B17" s="51" t="s">
        <v>18</v>
      </c>
      <c r="C17" s="51" t="s">
        <v>12</v>
      </c>
      <c r="D17" s="52"/>
      <c r="E17" s="51" t="s">
        <v>34</v>
      </c>
      <c r="F17" s="37"/>
      <c r="G17" s="1"/>
    </row>
    <row r="18" spans="1:7" x14ac:dyDescent="0.45">
      <c r="A18" s="1"/>
      <c r="B18" s="25" t="s">
        <v>281</v>
      </c>
      <c r="C18" s="22">
        <v>0</v>
      </c>
      <c r="D18" s="14" t="s">
        <v>3</v>
      </c>
      <c r="E18" s="9">
        <v>0</v>
      </c>
      <c r="F18" s="14" t="s">
        <v>3</v>
      </c>
      <c r="G18" s="1"/>
    </row>
    <row r="19" spans="1:7" x14ac:dyDescent="0.45">
      <c r="A19" s="1"/>
      <c r="B19" s="38" t="s">
        <v>223</v>
      </c>
      <c r="C19" s="12">
        <f>SUM(C18:C18)</f>
        <v>0</v>
      </c>
      <c r="D19" s="13" t="s">
        <v>3</v>
      </c>
      <c r="E19" s="12">
        <f>SUM(E18:E18)</f>
        <v>0</v>
      </c>
      <c r="F19" s="13" t="s">
        <v>3</v>
      </c>
      <c r="G19" s="1"/>
    </row>
    <row r="20" spans="1:7" x14ac:dyDescent="0.45">
      <c r="A20" s="1"/>
      <c r="B20" s="27" t="s">
        <v>10</v>
      </c>
      <c r="C20" s="28">
        <f>-C19*'Fane 5. Individuelt eff. krav'!G12</f>
        <v>0</v>
      </c>
      <c r="D20" s="29" t="s">
        <v>3</v>
      </c>
      <c r="E20" s="28">
        <f>-E19*'Fane 5. Individuelt eff. krav'!G12</f>
        <v>0</v>
      </c>
      <c r="F20" s="29" t="s">
        <v>3</v>
      </c>
      <c r="G20" s="1"/>
    </row>
    <row r="21" spans="1:7" x14ac:dyDescent="0.45">
      <c r="A21" s="1"/>
      <c r="B21" s="27" t="s">
        <v>114</v>
      </c>
      <c r="C21" s="28">
        <f>-C19*'Fane 14. Nøgletal'!C29</f>
        <v>0</v>
      </c>
      <c r="D21" s="29" t="s">
        <v>3</v>
      </c>
      <c r="E21" s="28">
        <f>-E19*'Fane 14. Nøgletal'!C24</f>
        <v>0</v>
      </c>
      <c r="F21" s="29" t="s">
        <v>3</v>
      </c>
      <c r="G21" s="1"/>
    </row>
    <row r="22" spans="1:7" x14ac:dyDescent="0.45">
      <c r="A22" s="1"/>
      <c r="B22" s="38" t="s">
        <v>165</v>
      </c>
      <c r="C22" s="12">
        <f>SUM(C19:C21)*(1+'Fane 14. Nøgletal'!C14)^3</f>
        <v>0</v>
      </c>
      <c r="D22" s="13" t="s">
        <v>3</v>
      </c>
      <c r="E22" s="12">
        <f>SUM(E19:E21)*(1+'Fane 14. Nøgletal'!C14)^3</f>
        <v>0</v>
      </c>
      <c r="F22" s="13" t="s">
        <v>3</v>
      </c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95" t="s">
        <v>166</v>
      </c>
      <c r="C24" s="96"/>
      <c r="D24" s="96"/>
      <c r="E24" s="96"/>
      <c r="F24" s="97"/>
      <c r="G24" s="1"/>
    </row>
    <row r="25" spans="1:7" x14ac:dyDescent="0.45">
      <c r="A25" s="1"/>
      <c r="B25" s="51" t="s">
        <v>18</v>
      </c>
      <c r="C25" s="51" t="s">
        <v>12</v>
      </c>
      <c r="D25" s="52"/>
      <c r="E25" s="51" t="s">
        <v>34</v>
      </c>
      <c r="F25" s="37"/>
      <c r="G25" s="1"/>
    </row>
    <row r="26" spans="1:7" x14ac:dyDescent="0.45">
      <c r="A26" s="1"/>
      <c r="B26" s="25" t="s">
        <v>281</v>
      </c>
      <c r="C26" s="22">
        <v>0</v>
      </c>
      <c r="D26" s="14" t="s">
        <v>3</v>
      </c>
      <c r="E26" s="9">
        <v>0</v>
      </c>
      <c r="F26" s="14" t="s">
        <v>3</v>
      </c>
      <c r="G26" s="1"/>
    </row>
    <row r="27" spans="1:7" x14ac:dyDescent="0.45">
      <c r="A27" s="1"/>
      <c r="B27" s="38" t="s">
        <v>223</v>
      </c>
      <c r="C27" s="12">
        <f>SUM(C26:C26)</f>
        <v>0</v>
      </c>
      <c r="D27" s="13" t="s">
        <v>3</v>
      </c>
      <c r="E27" s="12">
        <f>SUM(E26:E26)</f>
        <v>0</v>
      </c>
      <c r="F27" s="13" t="s">
        <v>3</v>
      </c>
      <c r="G27" s="1"/>
    </row>
    <row r="28" spans="1:7" x14ac:dyDescent="0.45">
      <c r="A28" s="1"/>
      <c r="B28" s="27" t="s">
        <v>10</v>
      </c>
      <c r="C28" s="28">
        <f>-C27*'Fane 5. Individuelt eff. krav'!G12</f>
        <v>0</v>
      </c>
      <c r="D28" s="29" t="s">
        <v>3</v>
      </c>
      <c r="E28" s="28">
        <f>-E27*'Fane 5. Individuelt eff. krav'!G12</f>
        <v>0</v>
      </c>
      <c r="F28" s="29" t="s">
        <v>3</v>
      </c>
      <c r="G28" s="1"/>
    </row>
    <row r="29" spans="1:7" x14ac:dyDescent="0.45">
      <c r="A29" s="1"/>
      <c r="B29" s="27" t="s">
        <v>114</v>
      </c>
      <c r="C29" s="28">
        <f>-C27*'Fane 14. Nøgletal'!C29</f>
        <v>0</v>
      </c>
      <c r="D29" s="29" t="s">
        <v>3</v>
      </c>
      <c r="E29" s="28">
        <f>-E27*'Fane 14. Nøgletal'!C24</f>
        <v>0</v>
      </c>
      <c r="F29" s="29" t="s">
        <v>3</v>
      </c>
      <c r="G29" s="1"/>
    </row>
    <row r="30" spans="1:7" x14ac:dyDescent="0.45">
      <c r="A30" s="1"/>
      <c r="B30" s="38" t="s">
        <v>167</v>
      </c>
      <c r="C30" s="12">
        <f>SUM(C27:C29)*(1+'Fane 14. Nøgletal'!C14)^4</f>
        <v>0</v>
      </c>
      <c r="D30" s="13" t="s">
        <v>3</v>
      </c>
      <c r="E30" s="12">
        <f>SUM(E27:E29)*(1+'Fane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95" t="s">
        <v>224</v>
      </c>
      <c r="C32" s="96"/>
      <c r="D32" s="96"/>
      <c r="E32" s="96"/>
      <c r="F32" s="97"/>
      <c r="G32" s="1"/>
    </row>
    <row r="33" spans="1:7" x14ac:dyDescent="0.45">
      <c r="A33" s="1"/>
      <c r="B33" s="51" t="s">
        <v>18</v>
      </c>
      <c r="C33" s="51" t="s">
        <v>12</v>
      </c>
      <c r="D33" s="52"/>
      <c r="E33" s="51" t="s">
        <v>34</v>
      </c>
      <c r="F33" s="37"/>
      <c r="G33" s="1"/>
    </row>
    <row r="34" spans="1:7" x14ac:dyDescent="0.45">
      <c r="A34" s="1"/>
      <c r="B34" s="25" t="s">
        <v>281</v>
      </c>
      <c r="C34" s="22">
        <v>0</v>
      </c>
      <c r="D34" s="14" t="s">
        <v>3</v>
      </c>
      <c r="E34" s="9">
        <v>0</v>
      </c>
      <c r="F34" s="14" t="s">
        <v>3</v>
      </c>
      <c r="G34" s="1"/>
    </row>
    <row r="35" spans="1:7" x14ac:dyDescent="0.45">
      <c r="A35" s="1"/>
      <c r="B35" s="38" t="s">
        <v>223</v>
      </c>
      <c r="C35" s="12">
        <f>SUM(C34:C34)</f>
        <v>0</v>
      </c>
      <c r="D35" s="13" t="s">
        <v>3</v>
      </c>
      <c r="E35" s="12">
        <f>SUM(E34:E34)</f>
        <v>0</v>
      </c>
      <c r="F35" s="13" t="s">
        <v>3</v>
      </c>
      <c r="G35" s="1"/>
    </row>
    <row r="36" spans="1:7" x14ac:dyDescent="0.45">
      <c r="A36" s="1"/>
      <c r="B36" s="27" t="s">
        <v>10</v>
      </c>
      <c r="C36" s="28">
        <f>-C35*'Fane 5. Individuelt eff. krav'!G12</f>
        <v>0</v>
      </c>
      <c r="D36" s="29" t="s">
        <v>3</v>
      </c>
      <c r="E36" s="28">
        <f>-E35*'Fane 5. Individuelt eff. krav'!G12</f>
        <v>0</v>
      </c>
      <c r="F36" s="29" t="s">
        <v>3</v>
      </c>
      <c r="G36" s="1"/>
    </row>
    <row r="37" spans="1:7" x14ac:dyDescent="0.45">
      <c r="A37" s="1"/>
      <c r="B37" s="27" t="s">
        <v>114</v>
      </c>
      <c r="C37" s="28">
        <f>-C35*'Fane 14. Nøgletal'!C29</f>
        <v>0</v>
      </c>
      <c r="D37" s="29" t="s">
        <v>3</v>
      </c>
      <c r="E37" s="28">
        <f>-E35*'Fane 14. Nøgletal'!C24</f>
        <v>0</v>
      </c>
      <c r="F37" s="29" t="s">
        <v>3</v>
      </c>
      <c r="G37" s="1"/>
    </row>
    <row r="38" spans="1:7" x14ac:dyDescent="0.45">
      <c r="A38" s="1"/>
      <c r="B38" s="38" t="s">
        <v>225</v>
      </c>
      <c r="C38" s="12">
        <f>SUM(C35:C37)*(1+'Fane 14. Nøgletal'!C14)^5</f>
        <v>0</v>
      </c>
      <c r="D38" s="13" t="s">
        <v>3</v>
      </c>
      <c r="E38" s="12">
        <f>SUM(E35:E37)*(1+'Fane 14. Nøgletal'!C14)^5</f>
        <v>0</v>
      </c>
      <c r="F38" s="13" t="s">
        <v>3</v>
      </c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</sheetData>
  <sheetProtection algorithmName="SHA-512" hashValue="IEmZjo9rg2Dh5Cka70jpBNnIQsUUjiuyj65uxrs90MEoAMRHG6EQYp5TZbvCMd77Ljnd1zbQmlgwMtkb/cGqOw==" saltValue="PxaS/sbaGsSuFvL9QiKJ+w==" spinCount="100000" sheet="1" objects="1" scenarios="1"/>
  <mergeCells count="5">
    <mergeCell ref="B3:F4"/>
    <mergeCell ref="B8:F8"/>
    <mergeCell ref="B16:F16"/>
    <mergeCell ref="B24:F24"/>
    <mergeCell ref="B32:F32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4.46484375" style="2" customWidth="1"/>
    <col min="3" max="3" width="16.33203125" style="2" customWidth="1"/>
    <col min="4" max="4" width="3.33203125" style="2" customWidth="1"/>
    <col min="5" max="5" width="19.132812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136</v>
      </c>
      <c r="C3" s="103"/>
      <c r="D3" s="103"/>
      <c r="E3" s="103"/>
      <c r="F3" s="103"/>
      <c r="G3" s="1"/>
    </row>
    <row r="4" spans="1:7" ht="1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03"/>
      <c r="C5" s="103"/>
      <c r="D5" s="103"/>
      <c r="E5" s="103"/>
      <c r="F5" s="103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103</v>
      </c>
      <c r="C8" s="96"/>
      <c r="D8" s="96"/>
      <c r="E8" s="96"/>
      <c r="F8" s="97"/>
      <c r="G8" s="1"/>
    </row>
    <row r="9" spans="1:7" x14ac:dyDescent="0.45">
      <c r="A9" s="1"/>
      <c r="B9" s="124" t="s">
        <v>226</v>
      </c>
      <c r="C9" s="125"/>
      <c r="D9" s="126"/>
      <c r="E9" s="9">
        <v>0</v>
      </c>
      <c r="F9" s="14" t="s">
        <v>3</v>
      </c>
      <c r="G9" s="1"/>
    </row>
    <row r="10" spans="1:7" x14ac:dyDescent="0.45">
      <c r="A10" s="1"/>
      <c r="B10" s="89" t="s">
        <v>10</v>
      </c>
      <c r="C10" s="90"/>
      <c r="D10" s="91"/>
      <c r="E10" s="9">
        <f>-E9*'Fane 5. Individuelt eff. krav'!G12</f>
        <v>0</v>
      </c>
      <c r="F10" s="14" t="s">
        <v>3</v>
      </c>
      <c r="G10" s="1"/>
    </row>
    <row r="11" spans="1:7" x14ac:dyDescent="0.45">
      <c r="A11" s="1"/>
      <c r="B11" s="89" t="s">
        <v>26</v>
      </c>
      <c r="C11" s="90"/>
      <c r="D11" s="91"/>
      <c r="E11" s="9">
        <f>-E9*'Fane 14. Nøgletal'!C29</f>
        <v>0</v>
      </c>
      <c r="F11" s="14" t="s">
        <v>3</v>
      </c>
      <c r="G11" s="1"/>
    </row>
    <row r="12" spans="1:7" x14ac:dyDescent="0.45">
      <c r="A12" s="1"/>
      <c r="B12" s="95" t="s">
        <v>105</v>
      </c>
      <c r="C12" s="96"/>
      <c r="D12" s="97"/>
      <c r="E12" s="12">
        <f>SUM(E9:E11)*(1+'Fane 14. Nøgletal'!C14)^2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104</v>
      </c>
      <c r="C14" s="96"/>
      <c r="D14" s="96"/>
      <c r="E14" s="96"/>
      <c r="F14" s="97"/>
      <c r="G14" s="1"/>
    </row>
    <row r="15" spans="1:7" ht="15" customHeight="1" x14ac:dyDescent="0.45">
      <c r="A15" s="1"/>
      <c r="B15" s="124" t="s">
        <v>226</v>
      </c>
      <c r="C15" s="125"/>
      <c r="D15" s="126"/>
      <c r="E15" s="9">
        <v>0</v>
      </c>
      <c r="F15" s="14" t="s">
        <v>3</v>
      </c>
      <c r="G15" s="1"/>
    </row>
    <row r="16" spans="1:7" x14ac:dyDescent="0.45">
      <c r="A16" s="1"/>
      <c r="B16" s="89" t="s">
        <v>10</v>
      </c>
      <c r="C16" s="90"/>
      <c r="D16" s="91"/>
      <c r="E16" s="9">
        <f>-E15*'Fane 5. Individuelt eff. krav'!G12</f>
        <v>0</v>
      </c>
      <c r="F16" s="14" t="s">
        <v>3</v>
      </c>
      <c r="G16" s="1"/>
    </row>
    <row r="17" spans="1:7" x14ac:dyDescent="0.45">
      <c r="A17" s="1"/>
      <c r="B17" s="89" t="s">
        <v>26</v>
      </c>
      <c r="C17" s="90"/>
      <c r="D17" s="91"/>
      <c r="E17" s="9">
        <f>-E15*'Fane 14. Nøgletal'!C29</f>
        <v>0</v>
      </c>
      <c r="F17" s="14" t="s">
        <v>3</v>
      </c>
      <c r="G17" s="1"/>
    </row>
    <row r="18" spans="1:7" x14ac:dyDescent="0.45">
      <c r="A18" s="1"/>
      <c r="B18" s="95" t="s">
        <v>106</v>
      </c>
      <c r="C18" s="96"/>
      <c r="D18" s="97"/>
      <c r="E18" s="12">
        <f>SUM(E15:E17)*(1+'Fane 14. Nøgletal'!C14)^3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155</v>
      </c>
      <c r="C20" s="96"/>
      <c r="D20" s="96"/>
      <c r="E20" s="96"/>
      <c r="F20" s="97"/>
      <c r="G20" s="1"/>
    </row>
    <row r="21" spans="1:7" ht="15" customHeight="1" x14ac:dyDescent="0.45">
      <c r="A21" s="1"/>
      <c r="B21" s="124" t="s">
        <v>226</v>
      </c>
      <c r="C21" s="125"/>
      <c r="D21" s="126"/>
      <c r="E21" s="9">
        <v>0</v>
      </c>
      <c r="F21" s="14" t="s">
        <v>3</v>
      </c>
      <c r="G21" s="1"/>
    </row>
    <row r="22" spans="1:7" x14ac:dyDescent="0.45">
      <c r="A22" s="1"/>
      <c r="B22" s="89" t="s">
        <v>10</v>
      </c>
      <c r="C22" s="90"/>
      <c r="D22" s="91"/>
      <c r="E22" s="9">
        <f>-E21*'Fane 5. Individuelt eff. krav'!G12</f>
        <v>0</v>
      </c>
      <c r="F22" s="14" t="s">
        <v>3</v>
      </c>
      <c r="G22" s="1"/>
    </row>
    <row r="23" spans="1:7" x14ac:dyDescent="0.45">
      <c r="A23" s="1"/>
      <c r="B23" s="89" t="s">
        <v>26</v>
      </c>
      <c r="C23" s="90"/>
      <c r="D23" s="91"/>
      <c r="E23" s="9">
        <f>-E21*'Fane 14. Nøgletal'!C29</f>
        <v>0</v>
      </c>
      <c r="F23" s="14" t="s">
        <v>3</v>
      </c>
      <c r="G23" s="1"/>
    </row>
    <row r="24" spans="1:7" x14ac:dyDescent="0.45">
      <c r="A24" s="1"/>
      <c r="B24" s="95" t="s">
        <v>156</v>
      </c>
      <c r="C24" s="96"/>
      <c r="D24" s="97"/>
      <c r="E24" s="12">
        <f>SUM(E21:E23)*(1+'Fane 14. Nøgletal'!C14)^4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227</v>
      </c>
      <c r="C26" s="96"/>
      <c r="D26" s="96"/>
      <c r="E26" s="96"/>
      <c r="F26" s="97"/>
      <c r="G26" s="1"/>
    </row>
    <row r="27" spans="1:7" ht="15" customHeight="1" x14ac:dyDescent="0.45">
      <c r="A27" s="1"/>
      <c r="B27" s="124" t="s">
        <v>226</v>
      </c>
      <c r="C27" s="125"/>
      <c r="D27" s="126"/>
      <c r="E27" s="9">
        <v>0</v>
      </c>
      <c r="F27" s="14" t="s">
        <v>3</v>
      </c>
      <c r="G27" s="1"/>
    </row>
    <row r="28" spans="1:7" x14ac:dyDescent="0.45">
      <c r="A28" s="1"/>
      <c r="B28" s="89" t="s">
        <v>10</v>
      </c>
      <c r="C28" s="90"/>
      <c r="D28" s="91"/>
      <c r="E28" s="9">
        <f>-E27*'Fane 5. Individuelt eff. krav'!G12</f>
        <v>0</v>
      </c>
      <c r="F28" s="14" t="s">
        <v>3</v>
      </c>
      <c r="G28" s="1"/>
    </row>
    <row r="29" spans="1:7" x14ac:dyDescent="0.45">
      <c r="A29" s="1"/>
      <c r="B29" s="89" t="s">
        <v>26</v>
      </c>
      <c r="C29" s="90"/>
      <c r="D29" s="91"/>
      <c r="E29" s="9">
        <f>-E27*'Fane 14. Nøgletal'!C29</f>
        <v>0</v>
      </c>
      <c r="F29" s="14" t="s">
        <v>3</v>
      </c>
      <c r="G29" s="1"/>
    </row>
    <row r="30" spans="1:7" x14ac:dyDescent="0.45">
      <c r="A30" s="1"/>
      <c r="B30" s="95" t="s">
        <v>228</v>
      </c>
      <c r="C30" s="96"/>
      <c r="D30" s="97"/>
      <c r="E30" s="12">
        <f>SUM(E27:E29)*(1+'Fane 14. Nøgletal'!C14)^5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mRwaV9VmZq4lZheZNTDs8wFgR+YU2XemUGkeDFHaRKqXAjME8QHm8C/c6SIiYFsDkwLZmxR4vUIdy+rMyXHmhw==" saltValue="z/1XV5GYqBFkye58iF8Oww==" spinCount="100000" sheet="1" objects="1" scenarios="1"/>
  <mergeCells count="21"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328125" defaultRowHeight="14.25" x14ac:dyDescent="0.45"/>
  <cols>
    <col min="1" max="1" width="5.46484375" style="2" customWidth="1"/>
    <col min="2" max="2" width="36.46484375" style="2" customWidth="1"/>
    <col min="3" max="3" width="15.53125" style="2" customWidth="1"/>
    <col min="4" max="4" width="3.33203125" style="2" customWidth="1"/>
    <col min="5" max="5" width="17.1328125" style="2" customWidth="1"/>
    <col min="6" max="6" width="3.33203125" style="2" customWidth="1"/>
    <col min="7" max="7" width="5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157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158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159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45">
      <c r="A11" s="1"/>
      <c r="B11" s="21" t="s">
        <v>168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45">
      <c r="A12" s="1"/>
      <c r="B12" s="21" t="s">
        <v>229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1"/>
      <c r="C14" s="1"/>
      <c r="D14" s="1"/>
      <c r="E14" s="1"/>
      <c r="F14" s="1"/>
      <c r="G14" s="1"/>
    </row>
    <row r="15" spans="1:7" x14ac:dyDescent="0.45">
      <c r="A15" s="1"/>
      <c r="B15" s="1"/>
      <c r="C15" s="1"/>
      <c r="D15" s="1"/>
      <c r="E15" s="1"/>
      <c r="F15" s="1"/>
      <c r="G15" s="1"/>
    </row>
    <row r="16" spans="1:7" x14ac:dyDescent="0.45">
      <c r="A16" s="1"/>
      <c r="B16" s="1"/>
      <c r="C16" s="1"/>
      <c r="D16" s="1"/>
      <c r="E16" s="1"/>
      <c r="F16" s="1"/>
      <c r="G16" s="1"/>
    </row>
    <row r="17" spans="1:7" x14ac:dyDescent="0.45">
      <c r="A17" s="1"/>
      <c r="B17" s="1"/>
      <c r="C17" s="1"/>
      <c r="D17" s="1"/>
      <c r="E17" s="1"/>
      <c r="F17" s="1"/>
      <c r="G17" s="1"/>
    </row>
    <row r="18" spans="1:7" x14ac:dyDescent="0.45">
      <c r="A18" s="1"/>
      <c r="B18" s="1"/>
      <c r="C18" s="1"/>
      <c r="D18" s="1"/>
      <c r="E18" s="1"/>
      <c r="F18" s="1"/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1"/>
      <c r="C20" s="1"/>
      <c r="D20" s="1"/>
      <c r="E20" s="1"/>
      <c r="F20" s="1"/>
      <c r="G20" s="1"/>
    </row>
    <row r="21" spans="1:7" x14ac:dyDescent="0.45">
      <c r="A21" s="1"/>
      <c r="B21" s="1"/>
      <c r="C21" s="1"/>
      <c r="D21" s="1"/>
      <c r="E21" s="1"/>
      <c r="F21" s="1"/>
      <c r="G21" s="1"/>
    </row>
    <row r="22" spans="1:7" x14ac:dyDescent="0.45">
      <c r="A22" s="1"/>
      <c r="B22" s="1"/>
      <c r="C22" s="1"/>
      <c r="D22" s="1"/>
      <c r="E22" s="1"/>
      <c r="F22" s="1"/>
      <c r="G22" s="1"/>
    </row>
    <row r="23" spans="1:7" x14ac:dyDescent="0.45">
      <c r="A23" s="1"/>
      <c r="B23" s="1"/>
      <c r="C23" s="1"/>
      <c r="D23" s="1"/>
      <c r="E23" s="1"/>
      <c r="F23" s="1"/>
      <c r="G23" s="1"/>
    </row>
    <row r="24" spans="1:7" x14ac:dyDescent="0.45">
      <c r="A24" s="1"/>
      <c r="B24" s="1"/>
      <c r="C24" s="1"/>
      <c r="D24" s="1"/>
      <c r="E24" s="1"/>
      <c r="F24" s="1"/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1"/>
      <c r="C26" s="1"/>
      <c r="D26" s="1"/>
      <c r="E26" s="1"/>
      <c r="F26" s="1"/>
      <c r="G26" s="1"/>
    </row>
    <row r="27" spans="1:7" x14ac:dyDescent="0.45">
      <c r="A27" s="1"/>
      <c r="B27" s="1"/>
      <c r="C27" s="1"/>
      <c r="D27" s="1"/>
      <c r="E27" s="1"/>
      <c r="F27" s="1"/>
      <c r="G27" s="1"/>
    </row>
    <row r="28" spans="1:7" x14ac:dyDescent="0.45">
      <c r="A28" s="1"/>
      <c r="B28" s="1"/>
      <c r="C28" s="1"/>
      <c r="D28" s="1"/>
      <c r="E28" s="1"/>
      <c r="F28" s="1"/>
      <c r="G28" s="1"/>
    </row>
    <row r="29" spans="1:7" x14ac:dyDescent="0.45">
      <c r="A29" s="1"/>
      <c r="B29" s="1"/>
      <c r="C29" s="1"/>
      <c r="D29" s="1"/>
      <c r="E29" s="1"/>
      <c r="F29" s="1"/>
      <c r="G29" s="1"/>
    </row>
    <row r="30" spans="1:7" x14ac:dyDescent="0.45">
      <c r="A30" s="1"/>
      <c r="B30" s="1"/>
      <c r="C30" s="1"/>
      <c r="D30" s="1"/>
      <c r="E30" s="1"/>
      <c r="F30" s="1"/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</sheetData>
  <sheetProtection algorithmName="SHA-512" hashValue="mvvWgkw2lMlzCqNUGd+pfSuvCPKCfany9Rghy4qpivZHqx12avkgULH6LJHwQw47d7kAqMXmHZY9hmBzyvGNyQ==" saltValue="1MDyd5pCG6iEpaq+xnzAN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36.46484375" style="2" customWidth="1"/>
    <col min="3" max="3" width="15.6640625" style="2" customWidth="1"/>
    <col min="4" max="4" width="3.33203125" style="2" customWidth="1"/>
    <col min="5" max="5" width="18.46484375" style="2" customWidth="1"/>
    <col min="6" max="6" width="3.33203125" style="2" customWidth="1"/>
    <col min="7" max="7" width="5.1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133</v>
      </c>
      <c r="C3" s="103"/>
      <c r="D3" s="103"/>
      <c r="E3" s="103"/>
      <c r="F3" s="103"/>
      <c r="G3" s="1"/>
    </row>
    <row r="4" spans="1:7" ht="25.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95" t="s">
        <v>107</v>
      </c>
      <c r="C8" s="96"/>
      <c r="D8" s="96"/>
      <c r="E8" s="96"/>
      <c r="F8" s="97"/>
      <c r="G8" s="1"/>
    </row>
    <row r="9" spans="1:7" ht="15" customHeight="1" x14ac:dyDescent="0.45">
      <c r="A9" s="1"/>
      <c r="B9" s="36" t="s">
        <v>19</v>
      </c>
      <c r="C9" s="36" t="s">
        <v>12</v>
      </c>
      <c r="D9" s="37"/>
      <c r="E9" s="36" t="s">
        <v>34</v>
      </c>
      <c r="F9" s="37"/>
      <c r="G9" s="1"/>
    </row>
    <row r="10" spans="1:7" x14ac:dyDescent="0.45">
      <c r="A10" s="1"/>
      <c r="B10" s="25" t="s">
        <v>266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45">
      <c r="A11" s="1"/>
      <c r="B11" s="38" t="s">
        <v>98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45">
      <c r="A12" s="1"/>
      <c r="B12" s="38" t="s">
        <v>99</v>
      </c>
      <c r="C12" s="12">
        <f>C11*(1+'Fane 14. Nøgletal'!C14)</f>
        <v>0</v>
      </c>
      <c r="D12" s="13" t="s">
        <v>3</v>
      </c>
      <c r="E12" s="12">
        <f>E11*(1+'Fane 14. Nøgletal'!C14)</f>
        <v>0</v>
      </c>
      <c r="F12" s="13" t="s">
        <v>3</v>
      </c>
      <c r="G12" s="1"/>
    </row>
    <row r="13" spans="1:7" x14ac:dyDescent="0.45">
      <c r="A13" s="1"/>
      <c r="B13" s="1"/>
      <c r="C13" s="1"/>
      <c r="D13" s="1"/>
      <c r="E13" s="1"/>
      <c r="F13" s="1"/>
      <c r="G13" s="1"/>
    </row>
    <row r="14" spans="1:7" x14ac:dyDescent="0.45">
      <c r="A14" s="1"/>
      <c r="B14" s="95" t="s">
        <v>108</v>
      </c>
      <c r="C14" s="96"/>
      <c r="D14" s="96"/>
      <c r="E14" s="96"/>
      <c r="F14" s="97"/>
      <c r="G14" s="1"/>
    </row>
    <row r="15" spans="1:7" x14ac:dyDescent="0.45">
      <c r="A15" s="1"/>
      <c r="B15" s="36" t="s">
        <v>19</v>
      </c>
      <c r="C15" s="36" t="s">
        <v>12</v>
      </c>
      <c r="D15" s="37"/>
      <c r="E15" s="36" t="s">
        <v>34</v>
      </c>
      <c r="F15" s="37"/>
      <c r="G15" s="1"/>
    </row>
    <row r="16" spans="1:7" x14ac:dyDescent="0.45">
      <c r="A16" s="1"/>
      <c r="B16" s="25" t="s">
        <v>266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45">
      <c r="A17" s="1"/>
      <c r="B17" s="38" t="s">
        <v>98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45">
      <c r="A18" s="1"/>
      <c r="B18" s="38" t="s">
        <v>100</v>
      </c>
      <c r="C18" s="12">
        <f>C17*(1+'Fane 14. Nøgletal'!C14)^2</f>
        <v>0</v>
      </c>
      <c r="D18" s="13" t="s">
        <v>3</v>
      </c>
      <c r="E18" s="12">
        <f>E17*(1+'Fane 14. Nøgletal'!C14)^2</f>
        <v>0</v>
      </c>
      <c r="F18" s="13" t="s">
        <v>3</v>
      </c>
      <c r="G18" s="1"/>
    </row>
    <row r="19" spans="1:7" x14ac:dyDescent="0.45">
      <c r="A19" s="1"/>
      <c r="B19" s="1"/>
      <c r="C19" s="1"/>
      <c r="D19" s="1"/>
      <c r="E19" s="1"/>
      <c r="F19" s="1"/>
      <c r="G19" s="1"/>
    </row>
    <row r="20" spans="1:7" x14ac:dyDescent="0.45">
      <c r="A20" s="1"/>
      <c r="B20" s="95" t="s">
        <v>169</v>
      </c>
      <c r="C20" s="96"/>
      <c r="D20" s="96"/>
      <c r="E20" s="96"/>
      <c r="F20" s="97"/>
      <c r="G20" s="1"/>
    </row>
    <row r="21" spans="1:7" x14ac:dyDescent="0.45">
      <c r="A21" s="1"/>
      <c r="B21" s="36" t="s">
        <v>19</v>
      </c>
      <c r="C21" s="36" t="s">
        <v>12</v>
      </c>
      <c r="D21" s="37"/>
      <c r="E21" s="36" t="s">
        <v>34</v>
      </c>
      <c r="F21" s="37"/>
      <c r="G21" s="1"/>
    </row>
    <row r="22" spans="1:7" x14ac:dyDescent="0.45">
      <c r="A22" s="1"/>
      <c r="B22" s="25" t="s">
        <v>266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45">
      <c r="A23" s="1"/>
      <c r="B23" s="38" t="s">
        <v>98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45">
      <c r="A24" s="1"/>
      <c r="B24" s="38" t="s">
        <v>170</v>
      </c>
      <c r="C24" s="12">
        <f>C23*(1+'Fane 14. Nøgletal'!C14)^3</f>
        <v>0</v>
      </c>
      <c r="D24" s="13" t="s">
        <v>3</v>
      </c>
      <c r="E24" s="12">
        <f>E23*(1+'Fane 14. Nøgletal'!C14)^3</f>
        <v>0</v>
      </c>
      <c r="F24" s="13" t="s">
        <v>3</v>
      </c>
      <c r="G24" s="1"/>
    </row>
    <row r="25" spans="1:7" x14ac:dyDescent="0.45">
      <c r="A25" s="1"/>
      <c r="B25" s="1"/>
      <c r="C25" s="1"/>
      <c r="D25" s="1"/>
      <c r="E25" s="1"/>
      <c r="F25" s="1"/>
      <c r="G25" s="1"/>
    </row>
    <row r="26" spans="1:7" x14ac:dyDescent="0.45">
      <c r="A26" s="1"/>
      <c r="B26" s="95" t="s">
        <v>231</v>
      </c>
      <c r="C26" s="96"/>
      <c r="D26" s="96"/>
      <c r="E26" s="96"/>
      <c r="F26" s="97"/>
      <c r="G26" s="1"/>
    </row>
    <row r="27" spans="1:7" x14ac:dyDescent="0.45">
      <c r="A27" s="1"/>
      <c r="B27" s="36" t="s">
        <v>19</v>
      </c>
      <c r="C27" s="36" t="s">
        <v>12</v>
      </c>
      <c r="D27" s="37"/>
      <c r="E27" s="36" t="s">
        <v>34</v>
      </c>
      <c r="F27" s="37"/>
      <c r="G27" s="1"/>
    </row>
    <row r="28" spans="1:7" x14ac:dyDescent="0.45">
      <c r="A28" s="1"/>
      <c r="B28" s="25" t="s">
        <v>266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45">
      <c r="A29" s="1"/>
      <c r="B29" s="38" t="s">
        <v>98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45">
      <c r="A30" s="1"/>
      <c r="B30" s="38" t="s">
        <v>230</v>
      </c>
      <c r="C30" s="12">
        <f>C29*(1+'Fane 14. Nøgletal'!C14)^4</f>
        <v>0</v>
      </c>
      <c r="D30" s="13" t="s">
        <v>3</v>
      </c>
      <c r="E30" s="12">
        <f>E29*(1+'Fane 14. Nøgletal'!C14)^4</f>
        <v>0</v>
      </c>
      <c r="F30" s="13" t="s">
        <v>3</v>
      </c>
      <c r="G30" s="1"/>
    </row>
    <row r="31" spans="1:7" x14ac:dyDescent="0.45">
      <c r="A31" s="1"/>
      <c r="B31" s="1"/>
      <c r="C31" s="1"/>
      <c r="D31" s="1"/>
      <c r="E31" s="1"/>
      <c r="F31" s="1"/>
      <c r="G31" s="1"/>
    </row>
    <row r="32" spans="1:7" x14ac:dyDescent="0.45">
      <c r="A32" s="1"/>
      <c r="B32" s="1"/>
      <c r="C32" s="1"/>
      <c r="D32" s="1"/>
      <c r="E32" s="1"/>
      <c r="F32" s="1"/>
      <c r="G32" s="1"/>
    </row>
    <row r="33" spans="1:7" x14ac:dyDescent="0.45">
      <c r="A33" s="1"/>
      <c r="B33" s="1"/>
      <c r="C33" s="1"/>
      <c r="D33" s="1"/>
      <c r="E33" s="1"/>
      <c r="F33" s="1"/>
      <c r="G33" s="1"/>
    </row>
    <row r="34" spans="1:7" x14ac:dyDescent="0.45">
      <c r="A34" s="1"/>
      <c r="B34" s="1"/>
      <c r="C34" s="1"/>
      <c r="D34" s="1"/>
      <c r="E34" s="1"/>
      <c r="F34" s="1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</sheetData>
  <sheetProtection algorithmName="SHA-512" hashValue="Gme8/JJD2Io5Ww2b6oAMQVfev0EnRp1x0z00GpGbr6BBBiC2L0RxjMGBNQMrTcRl5at9DyL1QsOe0FArp3EK8g==" saltValue="y7cBBGx4anVjlxw6F5FWbQ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51"/>
  <sheetViews>
    <sheetView showGridLines="0" view="pageLayout" zoomScaleNormal="100" workbookViewId="0"/>
  </sheetViews>
  <sheetFormatPr defaultColWidth="9.1328125" defaultRowHeight="14.25" x14ac:dyDescent="0.45"/>
  <cols>
    <col min="1" max="1" width="11.1328125" style="2" customWidth="1"/>
    <col min="2" max="2" width="55.46484375" style="2" customWidth="1"/>
    <col min="3" max="3" width="6.33203125" style="2" customWidth="1"/>
    <col min="4" max="4" width="12.33203125" style="2" customWidth="1"/>
    <col min="5" max="16384" width="9.1328125" style="2"/>
  </cols>
  <sheetData>
    <row r="1" spans="1:4" x14ac:dyDescent="0.45">
      <c r="A1" s="1"/>
      <c r="B1" s="1"/>
      <c r="C1" s="1"/>
      <c r="D1" s="1"/>
    </row>
    <row r="2" spans="1:4" x14ac:dyDescent="0.45">
      <c r="A2" s="1"/>
      <c r="B2" s="1"/>
      <c r="C2" s="1"/>
      <c r="D2" s="1"/>
    </row>
    <row r="3" spans="1:4" ht="15" customHeight="1" x14ac:dyDescent="0.45">
      <c r="A3" s="1"/>
      <c r="B3" s="103" t="s">
        <v>189</v>
      </c>
      <c r="C3" s="103"/>
      <c r="D3" s="1"/>
    </row>
    <row r="4" spans="1:4" ht="25.5" customHeight="1" x14ac:dyDescent="0.45">
      <c r="A4" s="1"/>
      <c r="B4" s="103"/>
      <c r="C4" s="103"/>
      <c r="D4" s="1"/>
    </row>
    <row r="5" spans="1:4" x14ac:dyDescent="0.45">
      <c r="A5" s="1"/>
      <c r="B5" s="1"/>
      <c r="C5" s="1"/>
      <c r="D5" s="1"/>
    </row>
    <row r="6" spans="1:4" x14ac:dyDescent="0.45">
      <c r="A6" s="1"/>
      <c r="B6" s="1"/>
      <c r="C6" s="1"/>
      <c r="D6" s="1"/>
    </row>
    <row r="7" spans="1:4" x14ac:dyDescent="0.45">
      <c r="A7" s="1"/>
      <c r="B7" s="1"/>
      <c r="C7" s="1"/>
      <c r="D7" s="1"/>
    </row>
    <row r="8" spans="1:4" x14ac:dyDescent="0.45">
      <c r="A8" s="1"/>
      <c r="B8" s="38" t="s">
        <v>15</v>
      </c>
      <c r="C8" s="20"/>
      <c r="D8" s="1"/>
    </row>
    <row r="9" spans="1:4" x14ac:dyDescent="0.45">
      <c r="A9" s="1"/>
      <c r="B9" s="62" t="s">
        <v>137</v>
      </c>
      <c r="C9" s="26">
        <v>1.2699999999999999E-2</v>
      </c>
      <c r="D9" s="1"/>
    </row>
    <row r="10" spans="1:4" x14ac:dyDescent="0.45">
      <c r="A10" s="1"/>
      <c r="B10" s="62" t="s">
        <v>138</v>
      </c>
      <c r="C10" s="26">
        <v>1.7500000000000002E-2</v>
      </c>
      <c r="D10" s="1"/>
    </row>
    <row r="11" spans="1:4" x14ac:dyDescent="0.45">
      <c r="A11" s="1"/>
      <c r="B11" s="62" t="s">
        <v>24</v>
      </c>
      <c r="C11" s="26">
        <v>1.6899999999999998E-2</v>
      </c>
      <c r="D11" s="1"/>
    </row>
    <row r="12" spans="1:4" x14ac:dyDescent="0.45">
      <c r="A12" s="1"/>
      <c r="B12" s="39" t="s">
        <v>254</v>
      </c>
      <c r="C12" s="40">
        <v>1.9699999999999999E-2</v>
      </c>
      <c r="D12" s="1"/>
    </row>
    <row r="13" spans="1:4" x14ac:dyDescent="0.45">
      <c r="A13" s="1"/>
      <c r="B13" s="39" t="s">
        <v>162</v>
      </c>
      <c r="C13" s="40">
        <v>1.2200000000000001E-2</v>
      </c>
      <c r="D13" s="1"/>
    </row>
    <row r="14" spans="1:4" x14ac:dyDescent="0.45">
      <c r="A14" s="1"/>
      <c r="B14" s="62" t="s">
        <v>253</v>
      </c>
      <c r="C14" s="67">
        <v>3.3E-3</v>
      </c>
      <c r="D14" s="1"/>
    </row>
    <row r="15" spans="1:4" x14ac:dyDescent="0.45">
      <c r="A15" s="1"/>
      <c r="B15" s="38"/>
      <c r="C15" s="20"/>
      <c r="D15" s="1"/>
    </row>
    <row r="16" spans="1:4" x14ac:dyDescent="0.45">
      <c r="A16" s="1"/>
      <c r="B16" s="1"/>
      <c r="C16" s="1"/>
      <c r="D16" s="1"/>
    </row>
    <row r="17" spans="1:4" x14ac:dyDescent="0.45">
      <c r="A17" s="1"/>
      <c r="B17" s="1"/>
      <c r="C17" s="1"/>
      <c r="D17" s="1"/>
    </row>
    <row r="18" spans="1:4" x14ac:dyDescent="0.45">
      <c r="A18" s="1"/>
      <c r="B18" s="38" t="s">
        <v>121</v>
      </c>
      <c r="C18" s="20"/>
      <c r="D18" s="1"/>
    </row>
    <row r="19" spans="1:4" x14ac:dyDescent="0.45">
      <c r="A19" s="1"/>
      <c r="B19" s="62" t="s">
        <v>139</v>
      </c>
      <c r="C19" s="23">
        <v>9.1000000000000004E-3</v>
      </c>
      <c r="D19" s="1"/>
    </row>
    <row r="20" spans="1:4" x14ac:dyDescent="0.45">
      <c r="A20" s="1"/>
      <c r="B20" s="62" t="s">
        <v>190</v>
      </c>
      <c r="C20" s="23">
        <v>1.77E-2</v>
      </c>
      <c r="D20" s="1"/>
    </row>
    <row r="21" spans="1:4" x14ac:dyDescent="0.45">
      <c r="A21" s="1"/>
      <c r="B21" s="62" t="s">
        <v>191</v>
      </c>
      <c r="C21" s="23">
        <v>8.6999999999999994E-3</v>
      </c>
      <c r="D21" s="1"/>
    </row>
    <row r="22" spans="1:4" x14ac:dyDescent="0.45">
      <c r="A22" s="1"/>
      <c r="B22" s="62" t="s">
        <v>140</v>
      </c>
      <c r="C22" s="41">
        <v>2.8400000000000002E-2</v>
      </c>
      <c r="D22" s="1"/>
    </row>
    <row r="23" spans="1:4" x14ac:dyDescent="0.45">
      <c r="A23" s="1"/>
      <c r="B23" s="62" t="s">
        <v>192</v>
      </c>
      <c r="C23" s="41">
        <v>2.75E-2</v>
      </c>
      <c r="D23" s="1"/>
    </row>
    <row r="24" spans="1:4" x14ac:dyDescent="0.45">
      <c r="A24" s="1"/>
      <c r="B24" s="62" t="s">
        <v>193</v>
      </c>
      <c r="C24" s="41">
        <v>1.4800000000000001E-2</v>
      </c>
      <c r="D24" s="1"/>
    </row>
    <row r="25" spans="1:4" x14ac:dyDescent="0.45">
      <c r="A25" s="1"/>
      <c r="B25" s="38"/>
      <c r="C25" s="20"/>
      <c r="D25" s="1"/>
    </row>
    <row r="26" spans="1:4" x14ac:dyDescent="0.45">
      <c r="A26" s="1"/>
      <c r="B26" s="1"/>
      <c r="C26" s="1"/>
      <c r="D26" s="1"/>
    </row>
    <row r="27" spans="1:4" x14ac:dyDescent="0.45">
      <c r="A27" s="1"/>
      <c r="B27" s="1"/>
      <c r="C27" s="1"/>
      <c r="D27" s="1"/>
    </row>
    <row r="28" spans="1:4" x14ac:dyDescent="0.45">
      <c r="A28" s="1"/>
      <c r="B28" s="38" t="s">
        <v>122</v>
      </c>
      <c r="C28" s="20"/>
      <c r="D28" s="1"/>
    </row>
    <row r="29" spans="1:4" x14ac:dyDescent="0.45">
      <c r="A29" s="1"/>
      <c r="B29" s="62" t="s">
        <v>141</v>
      </c>
      <c r="C29" s="26">
        <v>0.02</v>
      </c>
      <c r="D29" s="1"/>
    </row>
    <row r="30" spans="1:4" x14ac:dyDescent="0.45">
      <c r="A30" s="1"/>
      <c r="B30" s="38"/>
      <c r="C30" s="20"/>
      <c r="D30" s="1"/>
    </row>
    <row r="31" spans="1:4" x14ac:dyDescent="0.45">
      <c r="A31" s="1"/>
      <c r="B31" s="1"/>
      <c r="C31" s="1"/>
      <c r="D31" s="1"/>
    </row>
    <row r="32" spans="1:4" x14ac:dyDescent="0.45">
      <c r="A32" s="1"/>
      <c r="B32" s="1"/>
      <c r="C32" s="1"/>
      <c r="D32" s="1"/>
    </row>
    <row r="33" spans="1:4" x14ac:dyDescent="0.45">
      <c r="A33" s="1"/>
      <c r="B33" s="1"/>
      <c r="C33" s="1"/>
      <c r="D33" s="1"/>
    </row>
    <row r="34" spans="1:4" x14ac:dyDescent="0.45">
      <c r="A34" s="1"/>
      <c r="B34" s="1"/>
      <c r="C34" s="1"/>
      <c r="D34" s="1"/>
    </row>
    <row r="35" spans="1:4" x14ac:dyDescent="0.45">
      <c r="A35" s="1"/>
      <c r="B35" s="1"/>
      <c r="C35" s="1"/>
      <c r="D35" s="1"/>
    </row>
    <row r="36" spans="1:4" x14ac:dyDescent="0.45">
      <c r="A36" s="1"/>
      <c r="B36" s="1"/>
      <c r="C36" s="1"/>
      <c r="D36" s="1"/>
    </row>
    <row r="37" spans="1:4" x14ac:dyDescent="0.45">
      <c r="A37" s="1"/>
      <c r="B37" s="1"/>
      <c r="C37" s="1"/>
      <c r="D37" s="1"/>
    </row>
    <row r="38" spans="1:4" x14ac:dyDescent="0.45">
      <c r="A38" s="1"/>
      <c r="B38" s="1"/>
      <c r="C38" s="1"/>
      <c r="D38" s="1"/>
    </row>
    <row r="39" spans="1:4" x14ac:dyDescent="0.45">
      <c r="A39" s="1"/>
      <c r="B39" s="1"/>
      <c r="C39" s="1"/>
      <c r="D39" s="1"/>
    </row>
    <row r="40" spans="1:4" x14ac:dyDescent="0.45">
      <c r="A40" s="1"/>
      <c r="B40" s="1"/>
      <c r="C40" s="1"/>
      <c r="D40" s="1"/>
    </row>
    <row r="41" spans="1:4" x14ac:dyDescent="0.45">
      <c r="A41" s="1"/>
      <c r="B41" s="1"/>
      <c r="C41" s="1"/>
      <c r="D41" s="1"/>
    </row>
    <row r="42" spans="1:4" x14ac:dyDescent="0.45">
      <c r="A42" s="1"/>
      <c r="B42" s="1"/>
      <c r="C42" s="1"/>
      <c r="D42" s="1"/>
    </row>
    <row r="43" spans="1:4" x14ac:dyDescent="0.45">
      <c r="A43" s="1"/>
      <c r="B43" s="1"/>
      <c r="C43" s="1"/>
      <c r="D43" s="1"/>
    </row>
    <row r="44" spans="1:4" x14ac:dyDescent="0.45">
      <c r="A44" s="1"/>
      <c r="B44" s="1"/>
      <c r="C44" s="1"/>
      <c r="D44" s="1"/>
    </row>
    <row r="45" spans="1:4" x14ac:dyDescent="0.45">
      <c r="A45" s="1"/>
      <c r="B45" s="1"/>
      <c r="C45" s="1"/>
      <c r="D45" s="1"/>
    </row>
    <row r="46" spans="1:4" x14ac:dyDescent="0.45">
      <c r="A46" s="1"/>
      <c r="B46" s="1"/>
      <c r="C46" s="1"/>
      <c r="D46" s="1"/>
    </row>
    <row r="47" spans="1:4" x14ac:dyDescent="0.45">
      <c r="A47" s="1"/>
      <c r="B47" s="1"/>
      <c r="C47" s="1"/>
      <c r="D47" s="1"/>
    </row>
    <row r="48" spans="1:4" x14ac:dyDescent="0.45">
      <c r="A48" s="1"/>
      <c r="B48" s="1"/>
      <c r="C48" s="1"/>
      <c r="D48" s="1"/>
    </row>
    <row r="49" spans="1:4" x14ac:dyDescent="0.45">
      <c r="A49" s="1"/>
      <c r="B49" s="1"/>
      <c r="C49" s="1"/>
      <c r="D49" s="1"/>
    </row>
    <row r="50" spans="1:4" x14ac:dyDescent="0.45">
      <c r="A50" s="1"/>
      <c r="B50" s="1"/>
      <c r="C50" s="1"/>
      <c r="D50" s="1"/>
    </row>
    <row r="51" spans="1:4" x14ac:dyDescent="0.45">
      <c r="A51" s="1"/>
      <c r="B51" s="1"/>
      <c r="C51" s="1"/>
      <c r="D51" s="1"/>
    </row>
  </sheetData>
  <sheetProtection algorithmName="SHA-512" hashValue="9QOUoKItS7dQwZu7GOUGRVouUpr78seOQV/7PDTrXvXLvsl6Aboi2ERbKNVwCEB47+wZCbtwRrDC9oxQnDsEyw==" saltValue="ummD3KLB4fArv+oICoKNY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9"/>
  <sheetViews>
    <sheetView showGridLines="0" showWhiteSpace="0" view="pageLayout" zoomScaleNormal="100" workbookViewId="0"/>
  </sheetViews>
  <sheetFormatPr defaultColWidth="9.1328125" defaultRowHeight="14.25" x14ac:dyDescent="0.45"/>
  <cols>
    <col min="1" max="1" width="6.53125" style="2" customWidth="1"/>
    <col min="2" max="2" width="58.53125" style="2" customWidth="1"/>
    <col min="3" max="3" width="12.53125" style="2" customWidth="1"/>
    <col min="4" max="4" width="2.86328125" style="2" bestFit="1" customWidth="1"/>
    <col min="5" max="5" width="6.33203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194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1"/>
      <c r="C5" s="1"/>
      <c r="D5" s="1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x14ac:dyDescent="0.45">
      <c r="A9" s="1"/>
      <c r="B9" s="33" t="s">
        <v>260</v>
      </c>
      <c r="C9" s="7">
        <f>'Fane 3. Omkostninger i ØR2021'!E20</f>
        <v>78507421.206479535</v>
      </c>
      <c r="D9" s="8" t="s">
        <v>3</v>
      </c>
      <c r="E9" s="1"/>
    </row>
    <row r="10" spans="1:5" ht="17.100000000000001" customHeight="1" x14ac:dyDescent="0.45">
      <c r="A10" s="1"/>
      <c r="B10" s="50" t="s">
        <v>43</v>
      </c>
      <c r="C10" s="7">
        <f>'Fane 10.1. Varige tillæg'!C12</f>
        <v>0</v>
      </c>
      <c r="D10" s="8" t="s">
        <v>3</v>
      </c>
      <c r="E10" s="1"/>
    </row>
    <row r="11" spans="1:5" ht="17.100000000000001" customHeight="1" x14ac:dyDescent="0.45">
      <c r="A11" s="1"/>
      <c r="B11" s="50" t="s">
        <v>44</v>
      </c>
      <c r="C11" s="9">
        <f>'Fane 10.1. Varige tillæg'!E12</f>
        <v>0</v>
      </c>
      <c r="D11" s="8" t="s">
        <v>3</v>
      </c>
      <c r="E11" s="1"/>
    </row>
    <row r="12" spans="1:5" ht="17.100000000000001" customHeight="1" x14ac:dyDescent="0.45">
      <c r="A12" s="1"/>
      <c r="B12" s="50" t="s">
        <v>29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45">
      <c r="A13" s="1"/>
      <c r="B13" s="50" t="s">
        <v>28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45">
      <c r="A14" s="1"/>
      <c r="B14" s="50" t="s">
        <v>149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45">
      <c r="A15" s="1"/>
      <c r="B15" s="50" t="s">
        <v>150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45">
      <c r="A16" s="1"/>
      <c r="B16" s="50" t="s">
        <v>20</v>
      </c>
      <c r="C16" s="9">
        <f>SUM(C9:C15)*'Fane 14. Nøgletal'!C14</f>
        <v>259074.48998138247</v>
      </c>
      <c r="D16" s="8" t="s">
        <v>3</v>
      </c>
      <c r="E16" s="1"/>
    </row>
    <row r="17" spans="1:5" ht="17.100000000000001" customHeight="1" x14ac:dyDescent="0.45">
      <c r="A17" s="1"/>
      <c r="B17" s="50" t="s">
        <v>10</v>
      </c>
      <c r="C17" s="9">
        <f>-SUM(C9:C16)*'Fane 5. Individuelt eff. krav'!G12</f>
        <v>-778574.23460737232</v>
      </c>
      <c r="D17" s="8" t="s">
        <v>3</v>
      </c>
      <c r="E17" s="1"/>
    </row>
    <row r="18" spans="1:5" ht="17.100000000000001" customHeight="1" x14ac:dyDescent="0.45">
      <c r="A18" s="1"/>
      <c r="B18" s="50" t="s">
        <v>26</v>
      </c>
      <c r="C18" s="9">
        <f>-'Fane 4.1. Gen. krav - drift'!G40</f>
        <v>-506874.36622026353</v>
      </c>
      <c r="D18" s="8" t="s">
        <v>3</v>
      </c>
      <c r="E18" s="1"/>
    </row>
    <row r="19" spans="1:5" ht="17.100000000000001" customHeight="1" x14ac:dyDescent="0.45">
      <c r="A19" s="1"/>
      <c r="B19" s="50" t="s">
        <v>27</v>
      </c>
      <c r="C19" s="9">
        <f>-'Fane 4.2. Gen. krav - anlæg'!G37</f>
        <v>-809740.27043682185</v>
      </c>
      <c r="D19" s="8" t="s">
        <v>3</v>
      </c>
      <c r="E19" s="1"/>
    </row>
    <row r="20" spans="1:5" ht="17.100000000000001" customHeight="1" x14ac:dyDescent="0.45">
      <c r="A20" s="1"/>
      <c r="B20" s="56" t="s">
        <v>22</v>
      </c>
      <c r="C20" s="10">
        <f>SUM(C9:C19)</f>
        <v>76671306.82519646</v>
      </c>
      <c r="D20" s="11" t="s">
        <v>3</v>
      </c>
      <c r="E20" s="1"/>
    </row>
    <row r="21" spans="1:5" ht="15" customHeight="1" x14ac:dyDescent="0.45">
      <c r="A21" s="1"/>
      <c r="B21" s="38" t="s">
        <v>13</v>
      </c>
      <c r="C21" s="32"/>
      <c r="D21" s="20"/>
      <c r="E21" s="1"/>
    </row>
    <row r="22" spans="1:5" ht="15" customHeight="1" x14ac:dyDescent="0.45">
      <c r="A22" s="1"/>
      <c r="B22" s="36" t="s">
        <v>13</v>
      </c>
      <c r="C22" s="10">
        <f>'Fane 6. Ikke-påvirkelige omk.'!C15+'Fane 6. Ikke-påvirkelige omk.'!C19+'Fane 6. Ikke-påvirkelige omk.'!C27</f>
        <v>3717966.6461486104</v>
      </c>
      <c r="D22" s="11" t="s">
        <v>3</v>
      </c>
      <c r="E22" s="1"/>
    </row>
    <row r="23" spans="1:5" ht="15" customHeight="1" x14ac:dyDescent="0.45">
      <c r="A23" s="1"/>
      <c r="B23" s="38" t="s">
        <v>94</v>
      </c>
      <c r="C23" s="32"/>
      <c r="D23" s="20"/>
      <c r="E23" s="1"/>
    </row>
    <row r="24" spans="1:5" ht="15" customHeight="1" x14ac:dyDescent="0.45">
      <c r="A24" s="1"/>
      <c r="B24" s="56" t="s">
        <v>94</v>
      </c>
      <c r="C24" s="10">
        <f>'Fane 11. Periodevise driftsomk.'!E12</f>
        <v>0</v>
      </c>
      <c r="D24" s="11" t="s">
        <v>3</v>
      </c>
      <c r="E24" s="1"/>
    </row>
    <row r="25" spans="1:5" ht="15" customHeight="1" x14ac:dyDescent="0.45">
      <c r="A25" s="1"/>
      <c r="B25" s="38" t="s">
        <v>93</v>
      </c>
      <c r="C25" s="32"/>
      <c r="D25" s="20"/>
      <c r="E25" s="1"/>
    </row>
    <row r="26" spans="1:5" ht="15" customHeight="1" x14ac:dyDescent="0.45">
      <c r="A26" s="1"/>
      <c r="B26" s="50" t="s">
        <v>89</v>
      </c>
      <c r="C26" s="9">
        <f>'Fane 10.2. Engangstillæg'!C14</f>
        <v>0</v>
      </c>
      <c r="D26" s="8" t="s">
        <v>3</v>
      </c>
      <c r="E26" s="1"/>
    </row>
    <row r="27" spans="1:5" ht="15" customHeight="1" x14ac:dyDescent="0.45">
      <c r="A27" s="1"/>
      <c r="B27" s="50" t="s">
        <v>90</v>
      </c>
      <c r="C27" s="9">
        <f>'Fane 10.2. Engangstillæg'!E14</f>
        <v>0</v>
      </c>
      <c r="D27" s="8" t="s">
        <v>3</v>
      </c>
      <c r="E27" s="1"/>
    </row>
    <row r="28" spans="1:5" x14ac:dyDescent="0.45">
      <c r="A28" s="1"/>
      <c r="B28" s="56" t="s">
        <v>95</v>
      </c>
      <c r="C28" s="10">
        <f>SUM(C26:C27)</f>
        <v>0</v>
      </c>
      <c r="D28" s="11" t="s">
        <v>3</v>
      </c>
      <c r="E28" s="1"/>
    </row>
    <row r="29" spans="1:5" x14ac:dyDescent="0.45">
      <c r="A29" s="1"/>
      <c r="B29" s="38" t="s">
        <v>187</v>
      </c>
      <c r="C29" s="32"/>
      <c r="D29" s="20"/>
      <c r="E29" s="1"/>
    </row>
    <row r="30" spans="1:5" x14ac:dyDescent="0.45">
      <c r="A30" s="1"/>
      <c r="B30" s="36" t="s">
        <v>284</v>
      </c>
      <c r="C30" s="10">
        <f>'Fane 7. Kontrol af ØR2020'!E34</f>
        <v>0</v>
      </c>
      <c r="D30" s="11" t="s">
        <v>3</v>
      </c>
      <c r="E30" s="1"/>
    </row>
    <row r="31" spans="1:5" ht="15" customHeight="1" x14ac:dyDescent="0.45">
      <c r="A31" s="1"/>
      <c r="B31" s="38" t="s">
        <v>195</v>
      </c>
      <c r="C31" s="32"/>
      <c r="D31" s="20"/>
      <c r="E31" s="1"/>
    </row>
    <row r="32" spans="1:5" x14ac:dyDescent="0.45">
      <c r="A32" s="1"/>
      <c r="B32" s="36" t="s">
        <v>195</v>
      </c>
      <c r="C32" s="10">
        <f>'Fane 8. Korrektion af ØR2020'!E17</f>
        <v>0</v>
      </c>
      <c r="D32" s="11" t="s">
        <v>3</v>
      </c>
      <c r="E32" s="1"/>
    </row>
    <row r="33" spans="1:5" x14ac:dyDescent="0.45">
      <c r="A33" s="1"/>
      <c r="B33" s="35" t="s">
        <v>258</v>
      </c>
      <c r="C33" s="32"/>
      <c r="D33" s="20"/>
      <c r="E33" s="1"/>
    </row>
    <row r="34" spans="1:5" x14ac:dyDescent="0.45">
      <c r="A34" s="1"/>
      <c r="B34" s="63" t="s">
        <v>259</v>
      </c>
      <c r="C34" s="10">
        <v>0</v>
      </c>
      <c r="D34" s="11" t="s">
        <v>3</v>
      </c>
      <c r="E34" s="1"/>
    </row>
    <row r="35" spans="1:5" x14ac:dyDescent="0.45">
      <c r="A35" s="1"/>
      <c r="B35" s="38" t="s">
        <v>32</v>
      </c>
      <c r="C35" s="34">
        <f>SUM(C32,C30,C28,C24,C22,C20)</f>
        <v>80389273.471345067</v>
      </c>
      <c r="D35" s="35" t="s">
        <v>3</v>
      </c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KLkWO3M9jscPpGpQ2RX2R168CKYnLrJUC+QzqpTQcfEmeDeAlMzTaAvk/evlZceWEWd3y3wGBUTTTBKoZ+4QbQ==" saltValue="WmSUJ/tU3sXxtmAMl74xOA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0.86328125" style="2" customWidth="1"/>
    <col min="3" max="3" width="12.33203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196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1"/>
      <c r="C6" s="1"/>
      <c r="D6" s="1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151</v>
      </c>
      <c r="C9" s="7">
        <f>'Fane 2.1. Økonomisk ramme 2022'!C20</f>
        <v>76671306.82519646</v>
      </c>
      <c r="D9" s="8" t="s">
        <v>3</v>
      </c>
      <c r="E9" s="1"/>
    </row>
    <row r="10" spans="1:5" ht="15" customHeight="1" x14ac:dyDescent="0.45">
      <c r="A10" s="1"/>
      <c r="B10" s="50" t="s">
        <v>29</v>
      </c>
      <c r="C10" s="7">
        <f>-'Fane 13. Bortfald'!C18</f>
        <v>0</v>
      </c>
      <c r="D10" s="8" t="s">
        <v>3</v>
      </c>
      <c r="E10" s="1"/>
    </row>
    <row r="11" spans="1:5" ht="15" customHeight="1" x14ac:dyDescent="0.45">
      <c r="A11" s="1"/>
      <c r="B11" s="50" t="s">
        <v>28</v>
      </c>
      <c r="C11" s="7">
        <f>-'Fane 13. Bortfald'!E18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253015.31252314831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-760365.11084441934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drift'!G47</f>
        <v>-498376.11059621471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anlæg'!G44</f>
        <v>-800388.70961199026</v>
      </c>
      <c r="D15" s="8" t="s">
        <v>3</v>
      </c>
      <c r="E15" s="1"/>
    </row>
    <row r="16" spans="1:5" ht="15" customHeight="1" x14ac:dyDescent="0.45">
      <c r="A16" s="1"/>
      <c r="B16" s="31" t="s">
        <v>22</v>
      </c>
      <c r="C16" s="10">
        <f>SUM(C9:C15)</f>
        <v>74865192.206666976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Nøgletal'!C14)+'Fane 6. Ikke-påvirkelige omk.'!C20+'Fane 6. Ikke-påvirkelige omk.'!C28</f>
        <v>3730235.936080901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driftsomk.'!E18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Engangstillæg'!C22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Engangstillæg'!E22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8" t="s">
        <v>187</v>
      </c>
      <c r="C25" s="32"/>
      <c r="D25" s="20"/>
      <c r="E25" s="1"/>
    </row>
    <row r="26" spans="1:5" ht="15" customHeight="1" x14ac:dyDescent="0.45">
      <c r="A26" s="1"/>
      <c r="B26" s="36" t="s">
        <v>284</v>
      </c>
      <c r="C26" s="10">
        <f>'Fane 7. Kontrol af ØR2020'!E34</f>
        <v>0</v>
      </c>
      <c r="D26" s="11" t="s">
        <v>3</v>
      </c>
      <c r="E26" s="1"/>
    </row>
    <row r="27" spans="1:5" x14ac:dyDescent="0.45">
      <c r="A27" s="1"/>
      <c r="B27" s="35" t="s">
        <v>258</v>
      </c>
      <c r="C27" s="32"/>
      <c r="D27" s="20"/>
      <c r="E27" s="1"/>
    </row>
    <row r="28" spans="1:5" x14ac:dyDescent="0.45">
      <c r="A28" s="1"/>
      <c r="B28" s="63" t="s">
        <v>259</v>
      </c>
      <c r="C28" s="10">
        <v>0</v>
      </c>
      <c r="D28" s="11" t="s">
        <v>3</v>
      </c>
      <c r="E28" s="1"/>
    </row>
    <row r="29" spans="1:5" x14ac:dyDescent="0.45">
      <c r="A29" s="1"/>
      <c r="B29" s="38" t="s">
        <v>102</v>
      </c>
      <c r="C29" s="12">
        <f>SUM(C16,C18,C20,C24,C26,C28)</f>
        <v>78595428.142747879</v>
      </c>
      <c r="D29" s="13" t="s">
        <v>3</v>
      </c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VVYYHz3nGe78hjnDWSf3udRH8m9b6DPI0Ywpru6QkmxXFKBySzWMloH3K1mP19Xy3Oh/8MGTTXd8rMnRMIC43A==" saltValue="S0NMC0i3XpY1qngqyDv6K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1328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197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152</v>
      </c>
      <c r="C9" s="7">
        <f>'Fane 2.2. Økonomisk ramme 2023'!C16</f>
        <v>74865192.206666976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Bortfald'!C24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Bortfald'!E24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247055.13428200103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-742453.50089564279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drift'!G55</f>
        <v>-490020.33672595862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anlæg'!G55</f>
        <v>-791145.14846687496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73088628.3548605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Nøgletal'!C14)^2+'Fane 6. Ikke-påvirkelige omk.'!C21+'Fane 6. Ikke-påvirkelige omk.'!C29</f>
        <v>3742545.7146699685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driftsomk.'!E24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Engangstillæg'!C30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Engangstillæg'!E30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153</v>
      </c>
      <c r="C27" s="12">
        <f>SUM(C16,C18,C20,C24,C26)</f>
        <v>76831174.069530472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</sheetData>
  <sheetProtection algorithmName="SHA-512" hashValue="slN+j7N5F1bQ1P6TSOt5xSqZNFX+Tc1oo30ezr1nassO45mH4KXCQyHq0oErulnvNxoDPAoR6IxALbiUnFwHfg==" saltValue="Ld30zTw0Zxlts8fZSPx4U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51"/>
  <sheetViews>
    <sheetView showGridLines="0" view="pageLayout" zoomScaleNormal="100" workbookViewId="0"/>
  </sheetViews>
  <sheetFormatPr defaultColWidth="9.1328125" defaultRowHeight="14.25" x14ac:dyDescent="0.45"/>
  <cols>
    <col min="1" max="1" width="5.1328125" style="2" customWidth="1"/>
    <col min="2" max="2" width="62.53125" style="2" customWidth="1"/>
    <col min="3" max="3" width="10.86328125" style="2" bestFit="1" customWidth="1"/>
    <col min="4" max="4" width="3.33203125" style="2" customWidth="1"/>
    <col min="5" max="5" width="5.1328125" style="2" customWidth="1"/>
    <col min="6" max="16384" width="9.1328125" style="2"/>
  </cols>
  <sheetData>
    <row r="1" spans="1:5" x14ac:dyDescent="0.45">
      <c r="A1" s="1"/>
      <c r="B1" s="1"/>
      <c r="C1" s="1"/>
      <c r="D1" s="1"/>
      <c r="E1" s="1"/>
    </row>
    <row r="2" spans="1:5" x14ac:dyDescent="0.45">
      <c r="A2" s="1"/>
      <c r="B2" s="1"/>
      <c r="C2" s="1"/>
      <c r="D2" s="1"/>
      <c r="E2" s="1"/>
    </row>
    <row r="3" spans="1:5" ht="15" customHeight="1" x14ac:dyDescent="0.45">
      <c r="A3" s="1"/>
      <c r="B3" s="87" t="s">
        <v>198</v>
      </c>
      <c r="C3" s="87"/>
      <c r="D3" s="87"/>
      <c r="E3" s="1"/>
    </row>
    <row r="4" spans="1:5" ht="15" customHeight="1" x14ac:dyDescent="0.45">
      <c r="A4" s="1"/>
      <c r="B4" s="87"/>
      <c r="C4" s="87"/>
      <c r="D4" s="87"/>
      <c r="E4" s="1"/>
    </row>
    <row r="5" spans="1:5" x14ac:dyDescent="0.45">
      <c r="A5" s="1"/>
      <c r="B5" s="88" t="s">
        <v>23</v>
      </c>
      <c r="C5" s="88"/>
      <c r="D5" s="88"/>
      <c r="E5" s="1"/>
    </row>
    <row r="6" spans="1:5" x14ac:dyDescent="0.45">
      <c r="A6" s="1"/>
      <c r="B6" s="49"/>
      <c r="C6" s="49"/>
      <c r="D6" s="49"/>
      <c r="E6" s="1"/>
    </row>
    <row r="7" spans="1:5" x14ac:dyDescent="0.45">
      <c r="A7" s="1"/>
      <c r="B7" s="1"/>
      <c r="C7" s="1"/>
      <c r="D7" s="1"/>
      <c r="E7" s="1"/>
    </row>
    <row r="8" spans="1:5" x14ac:dyDescent="0.45">
      <c r="A8" s="1"/>
      <c r="B8" s="38" t="s">
        <v>14</v>
      </c>
      <c r="C8" s="32"/>
      <c r="D8" s="20"/>
      <c r="E8" s="1"/>
    </row>
    <row r="9" spans="1:5" ht="15" customHeight="1" x14ac:dyDescent="0.45">
      <c r="A9" s="1"/>
      <c r="B9" s="33" t="s">
        <v>199</v>
      </c>
      <c r="C9" s="7">
        <f>'Fane 2.3. Økonomisk ramme 2024'!C16</f>
        <v>73088628.3548605</v>
      </c>
      <c r="D9" s="8" t="s">
        <v>3</v>
      </c>
      <c r="E9" s="1"/>
    </row>
    <row r="10" spans="1:5" ht="15" customHeight="1" x14ac:dyDescent="0.45">
      <c r="A10" s="1"/>
      <c r="B10" s="33" t="s">
        <v>29</v>
      </c>
      <c r="C10" s="7">
        <f>-'Fane 13. Bortfald'!C30</f>
        <v>0</v>
      </c>
      <c r="D10" s="8" t="s">
        <v>3</v>
      </c>
      <c r="E10" s="1"/>
    </row>
    <row r="11" spans="1:5" ht="15" customHeight="1" x14ac:dyDescent="0.45">
      <c r="A11" s="1"/>
      <c r="B11" s="33" t="s">
        <v>28</v>
      </c>
      <c r="C11" s="7">
        <f>-'Fane 13. Bortfald'!E30</f>
        <v>0</v>
      </c>
      <c r="D11" s="8" t="s">
        <v>3</v>
      </c>
      <c r="E11" s="1"/>
    </row>
    <row r="12" spans="1:5" ht="15" customHeight="1" x14ac:dyDescent="0.45">
      <c r="A12" s="1"/>
      <c r="B12" s="30" t="s">
        <v>20</v>
      </c>
      <c r="C12" s="9">
        <f>SUM(C9:C11)*'Fane 14. Nøgletal'!C14</f>
        <v>241192.47357103965</v>
      </c>
      <c r="D12" s="8" t="s">
        <v>3</v>
      </c>
      <c r="E12" s="1"/>
    </row>
    <row r="13" spans="1:5" ht="15" customHeight="1" x14ac:dyDescent="0.45">
      <c r="A13" s="1"/>
      <c r="B13" s="30" t="s">
        <v>10</v>
      </c>
      <c r="C13" s="9">
        <f>-SUM(C9:C12)*'Fane 5. Individuelt eff. krav'!G12</f>
        <v>-724834.95197510836</v>
      </c>
      <c r="D13" s="8" t="s">
        <v>3</v>
      </c>
      <c r="E13" s="1"/>
    </row>
    <row r="14" spans="1:5" ht="15" customHeight="1" x14ac:dyDescent="0.45">
      <c r="A14" s="1"/>
      <c r="B14" s="30" t="s">
        <v>26</v>
      </c>
      <c r="C14" s="9">
        <f>-'Fane 4.1. Gen. krav - drift'!G61</f>
        <v>-481804.65576041123</v>
      </c>
      <c r="D14" s="8" t="s">
        <v>3</v>
      </c>
      <c r="E14" s="1"/>
    </row>
    <row r="15" spans="1:5" ht="15" customHeight="1" x14ac:dyDescent="0.45">
      <c r="A15" s="1"/>
      <c r="B15" s="30" t="s">
        <v>27</v>
      </c>
      <c r="C15" s="9">
        <f>-'Fane 4.2. Gen. krav - anlæg'!G61</f>
        <v>-782008.33973045484</v>
      </c>
      <c r="D15" s="8" t="s">
        <v>3</v>
      </c>
      <c r="E15" s="1"/>
    </row>
    <row r="16" spans="1:5" x14ac:dyDescent="0.45">
      <c r="A16" s="1"/>
      <c r="B16" s="31" t="s">
        <v>22</v>
      </c>
      <c r="C16" s="10">
        <f>SUM(C9:C15)</f>
        <v>71341172.880965561</v>
      </c>
      <c r="D16" s="11" t="s">
        <v>3</v>
      </c>
      <c r="E16" s="1"/>
    </row>
    <row r="17" spans="1:5" x14ac:dyDescent="0.45">
      <c r="A17" s="1"/>
      <c r="B17" s="38" t="s">
        <v>13</v>
      </c>
      <c r="C17" s="32"/>
      <c r="D17" s="20"/>
      <c r="E17" s="1"/>
    </row>
    <row r="18" spans="1:5" ht="15" customHeight="1" x14ac:dyDescent="0.45">
      <c r="A18" s="1"/>
      <c r="B18" s="36" t="s">
        <v>13</v>
      </c>
      <c r="C18" s="10">
        <f>'Fane 6. Ikke-påvirkelige omk.'!C15*(1+'Fane 14. Nøgletal'!C14)^3+'Fane 6. Ikke-påvirkelige omk.'!C22+'Fane 6. Ikke-påvirkelige omk.'!C30</f>
        <v>3754896.1155283796</v>
      </c>
      <c r="D18" s="11" t="s">
        <v>3</v>
      </c>
      <c r="E18" s="1"/>
    </row>
    <row r="19" spans="1:5" ht="15" customHeight="1" x14ac:dyDescent="0.45">
      <c r="A19" s="1"/>
      <c r="B19" s="38" t="s">
        <v>94</v>
      </c>
      <c r="C19" s="32"/>
      <c r="D19" s="20"/>
      <c r="E19" s="1"/>
    </row>
    <row r="20" spans="1:5" ht="15" customHeight="1" x14ac:dyDescent="0.45">
      <c r="A20" s="1"/>
      <c r="B20" s="56" t="s">
        <v>94</v>
      </c>
      <c r="C20" s="10">
        <f>'Fane 11. Periodevise driftsomk.'!E30</f>
        <v>0</v>
      </c>
      <c r="D20" s="11" t="s">
        <v>3</v>
      </c>
      <c r="E20" s="1"/>
    </row>
    <row r="21" spans="1:5" ht="15" customHeight="1" x14ac:dyDescent="0.45">
      <c r="A21" s="1"/>
      <c r="B21" s="38" t="s">
        <v>93</v>
      </c>
      <c r="C21" s="32"/>
      <c r="D21" s="20"/>
      <c r="E21" s="1"/>
    </row>
    <row r="22" spans="1:5" ht="15" customHeight="1" x14ac:dyDescent="0.45">
      <c r="A22" s="1"/>
      <c r="B22" s="50" t="s">
        <v>89</v>
      </c>
      <c r="C22" s="9">
        <f>'Fane 10.2. Engangstillæg'!C38</f>
        <v>0</v>
      </c>
      <c r="D22" s="8" t="s">
        <v>3</v>
      </c>
      <c r="E22" s="1"/>
    </row>
    <row r="23" spans="1:5" ht="15" customHeight="1" x14ac:dyDescent="0.45">
      <c r="A23" s="1"/>
      <c r="B23" s="50" t="s">
        <v>90</v>
      </c>
      <c r="C23" s="9">
        <f>'Fane 10.2. Engangstillæg'!E38</f>
        <v>0</v>
      </c>
      <c r="D23" s="8" t="s">
        <v>3</v>
      </c>
      <c r="E23" s="1"/>
    </row>
    <row r="24" spans="1:5" ht="15" customHeight="1" x14ac:dyDescent="0.45">
      <c r="A24" s="1"/>
      <c r="B24" s="56" t="s">
        <v>95</v>
      </c>
      <c r="C24" s="10">
        <f>SUM(C22:C23)</f>
        <v>0</v>
      </c>
      <c r="D24" s="11" t="s">
        <v>3</v>
      </c>
      <c r="E24" s="1"/>
    </row>
    <row r="25" spans="1:5" x14ac:dyDescent="0.45">
      <c r="A25" s="1"/>
      <c r="B25" s="35" t="s">
        <v>258</v>
      </c>
      <c r="C25" s="32"/>
      <c r="D25" s="20"/>
      <c r="E25" s="1"/>
    </row>
    <row r="26" spans="1:5" x14ac:dyDescent="0.45">
      <c r="A26" s="1"/>
      <c r="B26" s="63" t="s">
        <v>259</v>
      </c>
      <c r="C26" s="10">
        <v>0</v>
      </c>
      <c r="D26" s="11" t="s">
        <v>3</v>
      </c>
      <c r="E26" s="1"/>
    </row>
    <row r="27" spans="1:5" x14ac:dyDescent="0.45">
      <c r="A27" s="1"/>
      <c r="B27" s="38" t="s">
        <v>200</v>
      </c>
      <c r="C27" s="12">
        <f>SUM(C16,C18,C20,C24,C26)</f>
        <v>75096068.996493936</v>
      </c>
      <c r="D27" s="13" t="s">
        <v>3</v>
      </c>
      <c r="E27" s="1"/>
    </row>
    <row r="28" spans="1:5" x14ac:dyDescent="0.45">
      <c r="A28" s="1"/>
      <c r="B28" s="1"/>
      <c r="C28" s="1"/>
      <c r="D28" s="1"/>
      <c r="E28" s="1"/>
    </row>
    <row r="29" spans="1:5" x14ac:dyDescent="0.45">
      <c r="A29" s="1"/>
      <c r="B29" s="1"/>
      <c r="C29" s="1"/>
      <c r="D29" s="1"/>
      <c r="E29" s="1"/>
    </row>
    <row r="30" spans="1:5" x14ac:dyDescent="0.45">
      <c r="A30" s="1"/>
      <c r="B30" s="1"/>
      <c r="C30" s="1"/>
      <c r="D30" s="1"/>
      <c r="E30" s="1"/>
    </row>
    <row r="31" spans="1:5" x14ac:dyDescent="0.45">
      <c r="A31" s="1"/>
      <c r="B31" s="1"/>
      <c r="C31" s="1"/>
      <c r="D31" s="1"/>
      <c r="E31" s="1"/>
    </row>
    <row r="32" spans="1:5" x14ac:dyDescent="0.45">
      <c r="A32" s="1"/>
      <c r="B32" s="1"/>
      <c r="C32" s="1"/>
      <c r="D32" s="1"/>
      <c r="E32" s="1"/>
    </row>
    <row r="33" spans="1:5" x14ac:dyDescent="0.45">
      <c r="A33" s="1"/>
      <c r="B33" s="1"/>
      <c r="C33" s="1"/>
      <c r="D33" s="1"/>
      <c r="E33" s="1"/>
    </row>
    <row r="34" spans="1:5" x14ac:dyDescent="0.45">
      <c r="A34" s="1"/>
      <c r="B34" s="1"/>
      <c r="C34" s="1"/>
      <c r="D34" s="1"/>
      <c r="E34" s="1"/>
    </row>
    <row r="35" spans="1:5" x14ac:dyDescent="0.45">
      <c r="A35" s="1"/>
      <c r="B35" s="1"/>
      <c r="C35" s="1"/>
      <c r="D35" s="1"/>
      <c r="E35" s="1"/>
    </row>
    <row r="36" spans="1:5" x14ac:dyDescent="0.45">
      <c r="A36" s="1"/>
      <c r="B36" s="1"/>
      <c r="C36" s="1"/>
      <c r="D36" s="1"/>
      <c r="E36" s="1"/>
    </row>
    <row r="37" spans="1:5" x14ac:dyDescent="0.45">
      <c r="A37" s="1"/>
      <c r="B37" s="1"/>
      <c r="C37" s="1"/>
      <c r="D37" s="1"/>
      <c r="E37" s="1"/>
    </row>
    <row r="38" spans="1:5" x14ac:dyDescent="0.45">
      <c r="A38" s="1"/>
      <c r="B38" s="1"/>
      <c r="C38" s="1"/>
      <c r="D38" s="1"/>
      <c r="E38" s="1"/>
    </row>
    <row r="39" spans="1:5" x14ac:dyDescent="0.45">
      <c r="A39" s="1"/>
      <c r="B39" s="1"/>
      <c r="C39" s="1"/>
      <c r="D39" s="1"/>
      <c r="E39" s="1"/>
    </row>
    <row r="40" spans="1:5" x14ac:dyDescent="0.45">
      <c r="A40" s="1"/>
      <c r="B40" s="1"/>
      <c r="C40" s="1"/>
      <c r="D40" s="1"/>
      <c r="E40" s="1"/>
    </row>
    <row r="41" spans="1:5" x14ac:dyDescent="0.45">
      <c r="A41" s="1"/>
      <c r="B41" s="1"/>
      <c r="C41" s="1"/>
      <c r="D41" s="1"/>
      <c r="E41" s="1"/>
    </row>
    <row r="42" spans="1:5" x14ac:dyDescent="0.45">
      <c r="A42" s="1"/>
      <c r="B42" s="1"/>
      <c r="C42" s="1"/>
      <c r="D42" s="1"/>
      <c r="E42" s="1"/>
    </row>
    <row r="43" spans="1:5" x14ac:dyDescent="0.45">
      <c r="A43" s="1"/>
      <c r="B43" s="1"/>
      <c r="C43" s="1"/>
      <c r="D43" s="1"/>
      <c r="E43" s="1"/>
    </row>
    <row r="44" spans="1:5" x14ac:dyDescent="0.45">
      <c r="A44" s="1"/>
      <c r="B44" s="1"/>
      <c r="C44" s="1"/>
      <c r="D44" s="1"/>
      <c r="E44" s="1"/>
    </row>
    <row r="45" spans="1:5" x14ac:dyDescent="0.45">
      <c r="A45" s="1"/>
      <c r="B45" s="1"/>
      <c r="C45" s="1"/>
      <c r="D45" s="1"/>
      <c r="E45" s="1"/>
    </row>
    <row r="46" spans="1:5" x14ac:dyDescent="0.45">
      <c r="A46" s="1"/>
      <c r="B46" s="1"/>
      <c r="C46" s="1"/>
      <c r="D46" s="1"/>
      <c r="E46" s="1"/>
    </row>
    <row r="47" spans="1:5" x14ac:dyDescent="0.45">
      <c r="A47" s="1"/>
      <c r="B47" s="1"/>
      <c r="C47" s="1"/>
      <c r="D47" s="1"/>
      <c r="E47" s="1"/>
    </row>
    <row r="48" spans="1:5" x14ac:dyDescent="0.45">
      <c r="A48" s="1"/>
      <c r="B48" s="1"/>
      <c r="C48" s="1"/>
      <c r="D48" s="1"/>
      <c r="E48" s="1"/>
    </row>
    <row r="49" spans="1:5" x14ac:dyDescent="0.45">
      <c r="A49" s="1"/>
      <c r="B49" s="1"/>
      <c r="C49" s="1"/>
      <c r="D49" s="1"/>
      <c r="E49" s="1"/>
    </row>
    <row r="50" spans="1:5" x14ac:dyDescent="0.45">
      <c r="A50" s="1"/>
      <c r="B50" s="1"/>
      <c r="C50" s="1"/>
      <c r="D50" s="1"/>
      <c r="E50" s="1"/>
    </row>
    <row r="51" spans="1:5" x14ac:dyDescent="0.45">
      <c r="A51" s="1"/>
      <c r="B51" s="1"/>
      <c r="C51" s="1"/>
      <c r="D51" s="1"/>
      <c r="E51" s="1"/>
    </row>
  </sheetData>
  <sheetProtection algorithmName="SHA-512" hashValue="uBpgBBII1pHiJTRSQiPB18A/QohRo1qGj68yXWmDHrWmR3FiieoTfNXSDrcBxWllVROWKEq63+ci8yTavKMYXg==" saltValue="6arys5ERumxBy4/5gBkeZQ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0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2" width="12.33203125" style="2" customWidth="1"/>
    <col min="3" max="3" width="12" style="2" customWidth="1"/>
    <col min="4" max="4" width="31.6640625" style="2" customWidth="1"/>
    <col min="5" max="5" width="10.86328125" style="2" customWidth="1"/>
    <col min="6" max="6" width="3.53125" style="2" bestFit="1" customWidth="1"/>
    <col min="7" max="7" width="7.86328125" style="2" customWidth="1"/>
    <col min="8" max="16384" width="9.1328125" style="2"/>
  </cols>
  <sheetData>
    <row r="1" spans="1:7" x14ac:dyDescent="0.45">
      <c r="A1" s="1"/>
      <c r="B1" s="1"/>
      <c r="C1" s="1"/>
      <c r="D1" s="1"/>
      <c r="E1" s="1"/>
      <c r="F1" s="1"/>
      <c r="G1" s="1"/>
    </row>
    <row r="2" spans="1:7" x14ac:dyDescent="0.45">
      <c r="A2" s="1"/>
      <c r="B2" s="1"/>
      <c r="C2" s="1"/>
      <c r="D2" s="1"/>
      <c r="E2" s="1"/>
      <c r="F2" s="1"/>
      <c r="G2" s="1"/>
    </row>
    <row r="3" spans="1:7" ht="15" customHeight="1" x14ac:dyDescent="0.45">
      <c r="A3" s="1"/>
      <c r="B3" s="103" t="s">
        <v>250</v>
      </c>
      <c r="C3" s="103"/>
      <c r="D3" s="103"/>
      <c r="E3" s="103"/>
      <c r="F3" s="103"/>
      <c r="G3" s="1"/>
    </row>
    <row r="4" spans="1:7" ht="29.25" customHeight="1" x14ac:dyDescent="0.45">
      <c r="A4" s="1"/>
      <c r="B4" s="103"/>
      <c r="C4" s="103"/>
      <c r="D4" s="103"/>
      <c r="E4" s="103"/>
      <c r="F4" s="103"/>
      <c r="G4" s="1"/>
    </row>
    <row r="5" spans="1:7" x14ac:dyDescent="0.45">
      <c r="A5" s="1"/>
      <c r="B5" s="1"/>
      <c r="C5" s="1"/>
      <c r="D5" s="1"/>
      <c r="E5" s="1"/>
      <c r="F5" s="1"/>
      <c r="G5" s="1"/>
    </row>
    <row r="6" spans="1:7" x14ac:dyDescent="0.45">
      <c r="A6" s="1"/>
      <c r="B6" s="1"/>
      <c r="C6" s="1"/>
      <c r="D6" s="1"/>
      <c r="E6" s="1"/>
      <c r="F6" s="1"/>
      <c r="G6" s="1"/>
    </row>
    <row r="7" spans="1:7" x14ac:dyDescent="0.45">
      <c r="A7" s="1"/>
      <c r="B7" s="1"/>
      <c r="C7" s="1"/>
      <c r="D7" s="1"/>
      <c r="E7" s="1"/>
      <c r="F7" s="1"/>
      <c r="G7" s="1"/>
    </row>
    <row r="8" spans="1:7" x14ac:dyDescent="0.45">
      <c r="A8" s="1"/>
      <c r="B8" s="38" t="s">
        <v>278</v>
      </c>
      <c r="C8" s="32"/>
      <c r="D8" s="32"/>
      <c r="E8" s="32"/>
      <c r="F8" s="20"/>
      <c r="G8" s="1"/>
    </row>
    <row r="9" spans="1:7" ht="15" customHeight="1" x14ac:dyDescent="0.45">
      <c r="A9" s="1"/>
      <c r="B9" s="98" t="s">
        <v>25</v>
      </c>
      <c r="C9" s="99"/>
      <c r="D9" s="100"/>
      <c r="E9" s="7">
        <v>77794150.184600845</v>
      </c>
      <c r="F9" s="8" t="s">
        <v>3</v>
      </c>
      <c r="G9" s="1"/>
    </row>
    <row r="10" spans="1:7" ht="15" customHeight="1" x14ac:dyDescent="0.45">
      <c r="A10" s="1"/>
      <c r="B10" s="89" t="s">
        <v>43</v>
      </c>
      <c r="C10" s="90"/>
      <c r="D10" s="91"/>
      <c r="E10" s="7">
        <v>0</v>
      </c>
      <c r="F10" s="8" t="s">
        <v>3</v>
      </c>
      <c r="G10" s="1"/>
    </row>
    <row r="11" spans="1:7" ht="15" customHeight="1" x14ac:dyDescent="0.45">
      <c r="A11" s="1"/>
      <c r="B11" s="89" t="s">
        <v>44</v>
      </c>
      <c r="C11" s="90"/>
      <c r="D11" s="91"/>
      <c r="E11" s="9">
        <v>1273497.4055999999</v>
      </c>
      <c r="F11" s="8" t="s">
        <v>3</v>
      </c>
      <c r="G11" s="1"/>
    </row>
    <row r="12" spans="1:7" ht="15" customHeight="1" x14ac:dyDescent="0.45">
      <c r="A12" s="1"/>
      <c r="B12" s="89" t="s">
        <v>29</v>
      </c>
      <c r="C12" s="90"/>
      <c r="D12" s="91"/>
      <c r="E12" s="9">
        <v>0</v>
      </c>
      <c r="F12" s="8" t="s">
        <v>3</v>
      </c>
      <c r="G12" s="1"/>
    </row>
    <row r="13" spans="1:7" ht="15" customHeight="1" x14ac:dyDescent="0.45">
      <c r="A13" s="1"/>
      <c r="B13" s="98" t="s">
        <v>28</v>
      </c>
      <c r="C13" s="99"/>
      <c r="D13" s="100"/>
      <c r="E13" s="9">
        <v>0</v>
      </c>
      <c r="F13" s="8" t="s">
        <v>3</v>
      </c>
      <c r="G13" s="1"/>
    </row>
    <row r="14" spans="1:7" ht="15" customHeight="1" x14ac:dyDescent="0.45">
      <c r="A14" s="1"/>
      <c r="B14" s="98" t="s">
        <v>31</v>
      </c>
      <c r="C14" s="99"/>
      <c r="D14" s="100"/>
      <c r="E14" s="9">
        <v>0</v>
      </c>
      <c r="F14" s="8" t="s">
        <v>3</v>
      </c>
      <c r="G14" s="1"/>
    </row>
    <row r="15" spans="1:7" ht="15" customHeight="1" x14ac:dyDescent="0.45">
      <c r="A15" s="1"/>
      <c r="B15" s="98" t="s">
        <v>30</v>
      </c>
      <c r="C15" s="99"/>
      <c r="D15" s="100"/>
      <c r="E15" s="9">
        <v>0</v>
      </c>
      <c r="F15" s="8" t="s">
        <v>3</v>
      </c>
      <c r="G15" s="1"/>
    </row>
    <row r="16" spans="1:7" ht="15" customHeight="1" x14ac:dyDescent="0.45">
      <c r="A16" s="1"/>
      <c r="B16" s="98" t="s">
        <v>20</v>
      </c>
      <c r="C16" s="99"/>
      <c r="D16" s="100"/>
      <c r="E16" s="9">
        <v>1548081.4269849567</v>
      </c>
      <c r="F16" s="8" t="s">
        <v>3</v>
      </c>
      <c r="G16" s="1"/>
    </row>
    <row r="17" spans="1:7" ht="15" customHeight="1" x14ac:dyDescent="0.45">
      <c r="A17" s="1"/>
      <c r="B17" s="98" t="s">
        <v>10</v>
      </c>
      <c r="C17" s="99"/>
      <c r="D17" s="100"/>
      <c r="E17" s="9">
        <v>0</v>
      </c>
      <c r="F17" s="8" t="s">
        <v>3</v>
      </c>
      <c r="G17" s="1"/>
    </row>
    <row r="18" spans="1:7" ht="15" customHeight="1" x14ac:dyDescent="0.45">
      <c r="A18" s="1"/>
      <c r="B18" s="98" t="s">
        <v>26</v>
      </c>
      <c r="C18" s="99"/>
      <c r="D18" s="100"/>
      <c r="E18" s="9">
        <f>-'Fane 4.1. Gen. krav - drift'!G34</f>
        <v>-515517.53318158595</v>
      </c>
      <c r="F18" s="8" t="s">
        <v>3</v>
      </c>
      <c r="G18" s="1"/>
    </row>
    <row r="19" spans="1:7" ht="15" customHeight="1" x14ac:dyDescent="0.45">
      <c r="A19" s="1"/>
      <c r="B19" s="98" t="s">
        <v>27</v>
      </c>
      <c r="C19" s="99"/>
      <c r="D19" s="100"/>
      <c r="E19" s="9">
        <f>-'Fane 4.2. Gen. krav - anlæg'!G31</f>
        <v>-1592790.2775246645</v>
      </c>
      <c r="F19" s="8" t="s">
        <v>3</v>
      </c>
      <c r="G19" s="1"/>
    </row>
    <row r="20" spans="1:7" ht="15" customHeight="1" x14ac:dyDescent="0.45">
      <c r="A20" s="1"/>
      <c r="B20" s="56" t="s">
        <v>22</v>
      </c>
      <c r="C20" s="57"/>
      <c r="D20" s="64"/>
      <c r="E20" s="10">
        <f>SUM(E9:E19)</f>
        <v>78507421.206479535</v>
      </c>
      <c r="F20" s="11" t="s">
        <v>3</v>
      </c>
      <c r="G20" s="1"/>
    </row>
    <row r="21" spans="1:7" ht="15" customHeight="1" x14ac:dyDescent="0.4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45">
      <c r="A22" s="1"/>
      <c r="B22" s="92" t="s">
        <v>13</v>
      </c>
      <c r="C22" s="93"/>
      <c r="D22" s="94"/>
      <c r="E22" s="10">
        <v>4012751.0603905199</v>
      </c>
      <c r="F22" s="11" t="s">
        <v>3</v>
      </c>
      <c r="G22" s="1"/>
    </row>
    <row r="23" spans="1:7" ht="15" customHeight="1" x14ac:dyDescent="0.45">
      <c r="A23" s="1"/>
      <c r="B23" s="95" t="s">
        <v>94</v>
      </c>
      <c r="C23" s="96"/>
      <c r="D23" s="97"/>
      <c r="E23" s="32"/>
      <c r="F23" s="32"/>
      <c r="G23" s="1"/>
    </row>
    <row r="24" spans="1:7" ht="15" customHeight="1" x14ac:dyDescent="0.45">
      <c r="A24" s="1"/>
      <c r="B24" s="56" t="s">
        <v>94</v>
      </c>
      <c r="C24" s="43"/>
      <c r="D24" s="44"/>
      <c r="E24" s="10">
        <v>0</v>
      </c>
      <c r="F24" s="11" t="s">
        <v>3</v>
      </c>
      <c r="G24" s="1"/>
    </row>
    <row r="25" spans="1:7" x14ac:dyDescent="0.45">
      <c r="A25" s="1"/>
      <c r="B25" s="38" t="s">
        <v>93</v>
      </c>
      <c r="C25" s="32"/>
      <c r="D25" s="32"/>
      <c r="E25" s="32"/>
      <c r="F25" s="20"/>
      <c r="G25" s="1"/>
    </row>
    <row r="26" spans="1:7" ht="15" customHeight="1" x14ac:dyDescent="0.45">
      <c r="A26" s="1"/>
      <c r="B26" s="89" t="s">
        <v>89</v>
      </c>
      <c r="C26" s="90"/>
      <c r="D26" s="91"/>
      <c r="E26" s="9">
        <v>0</v>
      </c>
      <c r="F26" s="8" t="s">
        <v>3</v>
      </c>
      <c r="G26" s="1"/>
    </row>
    <row r="27" spans="1:7" ht="15" customHeight="1" x14ac:dyDescent="0.45">
      <c r="A27" s="1"/>
      <c r="B27" s="89" t="s">
        <v>90</v>
      </c>
      <c r="C27" s="90"/>
      <c r="D27" s="90"/>
      <c r="E27" s="9">
        <v>0</v>
      </c>
      <c r="F27" s="8" t="s">
        <v>3</v>
      </c>
      <c r="G27" s="1"/>
    </row>
    <row r="28" spans="1:7" ht="15" customHeight="1" x14ac:dyDescent="0.45">
      <c r="A28" s="1"/>
      <c r="B28" s="101" t="s">
        <v>95</v>
      </c>
      <c r="C28" s="102"/>
      <c r="D28" s="102"/>
      <c r="E28" s="45">
        <v>0</v>
      </c>
      <c r="F28" s="11" t="s">
        <v>3</v>
      </c>
      <c r="G28" s="1"/>
    </row>
    <row r="29" spans="1:7" ht="15" customHeight="1" x14ac:dyDescent="0.45">
      <c r="A29" s="1"/>
      <c r="B29" s="38" t="s">
        <v>187</v>
      </c>
      <c r="C29" s="38"/>
      <c r="D29" s="38"/>
      <c r="E29" s="32"/>
      <c r="F29" s="32"/>
      <c r="G29" s="1"/>
    </row>
    <row r="30" spans="1:7" ht="15" customHeight="1" x14ac:dyDescent="0.45">
      <c r="A30" s="1"/>
      <c r="B30" s="92" t="s">
        <v>185</v>
      </c>
      <c r="C30" s="93"/>
      <c r="D30" s="93"/>
      <c r="E30" s="45">
        <v>0</v>
      </c>
      <c r="F30" s="11" t="s">
        <v>3</v>
      </c>
      <c r="G30" s="1"/>
    </row>
    <row r="31" spans="1:7" x14ac:dyDescent="0.45">
      <c r="A31" s="1"/>
      <c r="B31" s="38" t="s">
        <v>148</v>
      </c>
      <c r="C31" s="32"/>
      <c r="D31" s="32"/>
      <c r="E31" s="32"/>
      <c r="F31" s="32"/>
      <c r="G31" s="1"/>
    </row>
    <row r="32" spans="1:7" ht="15.5" customHeight="1" x14ac:dyDescent="0.45">
      <c r="A32" s="1"/>
      <c r="B32" s="92" t="s">
        <v>148</v>
      </c>
      <c r="C32" s="93"/>
      <c r="D32" s="94"/>
      <c r="E32" s="10">
        <v>0</v>
      </c>
      <c r="F32" s="11" t="s">
        <v>3</v>
      </c>
      <c r="G32" s="1"/>
    </row>
    <row r="33" spans="1:7" x14ac:dyDescent="0.45">
      <c r="A33" s="1"/>
      <c r="B33" s="38" t="s">
        <v>251</v>
      </c>
      <c r="C33" s="32"/>
      <c r="D33" s="20"/>
      <c r="E33" s="12">
        <f>SUM(E32,E30,E28,E24,E22,E20)</f>
        <v>82520172.266870052</v>
      </c>
      <c r="F33" s="13" t="s">
        <v>3</v>
      </c>
      <c r="G33" s="1"/>
    </row>
    <row r="34" spans="1:7" ht="27" customHeight="1" x14ac:dyDescent="0.45">
      <c r="A34" s="1"/>
      <c r="B34" s="98" t="s">
        <v>252</v>
      </c>
      <c r="C34" s="99"/>
      <c r="D34" s="99"/>
      <c r="E34" s="99"/>
      <c r="F34" s="100"/>
      <c r="G34" s="1"/>
    </row>
    <row r="35" spans="1:7" x14ac:dyDescent="0.45">
      <c r="A35" s="1"/>
      <c r="B35" s="1"/>
      <c r="C35" s="1"/>
      <c r="D35" s="1"/>
      <c r="E35" s="1"/>
      <c r="F35" s="1"/>
      <c r="G35" s="1"/>
    </row>
    <row r="36" spans="1:7" x14ac:dyDescent="0.45">
      <c r="A36" s="1"/>
      <c r="B36" s="1"/>
      <c r="C36" s="1"/>
      <c r="D36" s="1"/>
      <c r="E36" s="1"/>
      <c r="F36" s="1"/>
      <c r="G36" s="1"/>
    </row>
    <row r="37" spans="1:7" x14ac:dyDescent="0.45">
      <c r="A37" s="1"/>
      <c r="B37" s="1"/>
      <c r="C37" s="1"/>
      <c r="D37" s="1"/>
      <c r="E37" s="1"/>
      <c r="F37" s="1"/>
      <c r="G37" s="1"/>
    </row>
    <row r="38" spans="1:7" x14ac:dyDescent="0.45">
      <c r="A38" s="1"/>
      <c r="B38" s="1"/>
      <c r="C38" s="1"/>
      <c r="D38" s="1"/>
      <c r="E38" s="1"/>
      <c r="F38" s="1"/>
      <c r="G38" s="1"/>
    </row>
    <row r="39" spans="1:7" x14ac:dyDescent="0.45">
      <c r="A39" s="1"/>
      <c r="B39" s="1"/>
      <c r="C39" s="1"/>
      <c r="D39" s="1"/>
      <c r="E39" s="1"/>
      <c r="F39" s="1"/>
      <c r="G39" s="1"/>
    </row>
    <row r="40" spans="1:7" x14ac:dyDescent="0.45">
      <c r="A40" s="1"/>
      <c r="B40" s="1"/>
      <c r="C40" s="1"/>
      <c r="D40" s="1"/>
      <c r="E40" s="1"/>
      <c r="F40" s="1"/>
      <c r="G40" s="1"/>
    </row>
    <row r="41" spans="1:7" x14ac:dyDescent="0.45">
      <c r="A41" s="1"/>
      <c r="B41" s="1"/>
      <c r="C41" s="1"/>
      <c r="D41" s="1"/>
      <c r="E41" s="1"/>
      <c r="F41" s="1"/>
      <c r="G41" s="1"/>
    </row>
    <row r="42" spans="1:7" x14ac:dyDescent="0.45">
      <c r="A42" s="1"/>
      <c r="B42" s="1"/>
      <c r="C42" s="1"/>
      <c r="D42" s="1"/>
      <c r="E42" s="1"/>
      <c r="F42" s="1"/>
      <c r="G42" s="1"/>
    </row>
    <row r="43" spans="1:7" x14ac:dyDescent="0.45">
      <c r="A43" s="1"/>
      <c r="B43" s="1"/>
      <c r="C43" s="1"/>
      <c r="D43" s="1"/>
      <c r="E43" s="1"/>
      <c r="F43" s="1"/>
      <c r="G43" s="1"/>
    </row>
    <row r="44" spans="1:7" x14ac:dyDescent="0.45">
      <c r="A44" s="1"/>
      <c r="B44" s="1"/>
      <c r="C44" s="1"/>
      <c r="D44" s="1"/>
      <c r="E44" s="1"/>
      <c r="F44" s="1"/>
      <c r="G44" s="1"/>
    </row>
    <row r="45" spans="1:7" x14ac:dyDescent="0.45">
      <c r="A45" s="1"/>
      <c r="B45" s="1"/>
      <c r="C45" s="1"/>
      <c r="D45" s="1"/>
      <c r="E45" s="1"/>
      <c r="F45" s="1"/>
      <c r="G45" s="1"/>
    </row>
    <row r="46" spans="1:7" x14ac:dyDescent="0.45">
      <c r="A46" s="1"/>
      <c r="B46" s="1"/>
      <c r="C46" s="1"/>
      <c r="D46" s="1"/>
      <c r="E46" s="1"/>
      <c r="F46" s="1"/>
      <c r="G46" s="1"/>
    </row>
    <row r="47" spans="1:7" x14ac:dyDescent="0.45">
      <c r="A47" s="1"/>
      <c r="B47" s="1"/>
      <c r="C47" s="1"/>
      <c r="D47" s="1"/>
      <c r="E47" s="1"/>
      <c r="F47" s="1"/>
      <c r="G47" s="1"/>
    </row>
    <row r="48" spans="1:7" x14ac:dyDescent="0.45">
      <c r="A48" s="1"/>
      <c r="B48" s="1"/>
      <c r="C48" s="1"/>
      <c r="D48" s="1"/>
      <c r="E48" s="1"/>
      <c r="F48" s="1"/>
      <c r="G48" s="1"/>
    </row>
    <row r="49" spans="1:7" x14ac:dyDescent="0.45">
      <c r="A49" s="1"/>
      <c r="B49" s="1"/>
      <c r="C49" s="1"/>
      <c r="D49" s="1"/>
      <c r="E49" s="1"/>
      <c r="F49" s="1"/>
      <c r="G49" s="1"/>
    </row>
    <row r="50" spans="1:7" x14ac:dyDescent="0.45">
      <c r="A50" s="1"/>
      <c r="B50" s="1"/>
      <c r="C50" s="1"/>
      <c r="D50" s="1"/>
      <c r="E50" s="1"/>
      <c r="F50" s="1"/>
      <c r="G50" s="1"/>
    </row>
  </sheetData>
  <sheetProtection algorithmName="SHA-512" hashValue="iK5Jf+xRfKYIJMZZtO7HukUP97rPVrJTIAB3mI/RT9m0vMkxwKthuEeXjCJXx6jKLkv4YkQksfgp2uZ2JQk9Gg==" saltValue="C7N2oJ78HnkW0WSBgkSXSw==" spinCount="100000" sheet="1" objects="1" scenarios="1"/>
  <mergeCells count="20">
    <mergeCell ref="B18:D18"/>
    <mergeCell ref="B19:D19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26:D26"/>
    <mergeCell ref="B32:D32"/>
    <mergeCell ref="B22:D22"/>
    <mergeCell ref="B23:D23"/>
    <mergeCell ref="B34:F34"/>
    <mergeCell ref="B27:D27"/>
    <mergeCell ref="B28:D28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64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5" customHeight="1" x14ac:dyDescent="0.45">
      <c r="A1" s="1"/>
      <c r="B1" s="42"/>
      <c r="C1" s="42"/>
      <c r="D1" s="42"/>
      <c r="E1" s="42"/>
      <c r="F1" s="42"/>
      <c r="G1" s="42"/>
      <c r="H1" s="42"/>
      <c r="I1" s="1"/>
    </row>
    <row r="2" spans="1:9" ht="15" customHeight="1" x14ac:dyDescent="0.45">
      <c r="A2" s="1"/>
      <c r="B2" s="103" t="s">
        <v>130</v>
      </c>
      <c r="C2" s="103"/>
      <c r="D2" s="103"/>
      <c r="E2" s="103"/>
      <c r="F2" s="103"/>
      <c r="G2" s="103"/>
      <c r="H2" s="103"/>
      <c r="I2" s="1"/>
    </row>
    <row r="3" spans="1:9" ht="28.5" customHeight="1" x14ac:dyDescent="0.45">
      <c r="A3" s="1"/>
      <c r="B3" s="103"/>
      <c r="C3" s="103"/>
      <c r="D3" s="103"/>
      <c r="E3" s="103"/>
      <c r="F3" s="103"/>
      <c r="G3" s="103"/>
      <c r="H3" s="103"/>
      <c r="I3" s="1"/>
    </row>
    <row r="4" spans="1:9" ht="14.25" customHeight="1" x14ac:dyDescent="0.45">
      <c r="A4" s="1"/>
      <c r="B4" s="42"/>
      <c r="C4" s="42"/>
      <c r="D4" s="42"/>
      <c r="E4" s="42"/>
      <c r="F4" s="42"/>
      <c r="G4" s="42"/>
      <c r="H4" s="42"/>
      <c r="I4" s="1"/>
    </row>
    <row r="5" spans="1:9" x14ac:dyDescent="0.45">
      <c r="A5" s="1"/>
      <c r="B5" s="95" t="s">
        <v>56</v>
      </c>
      <c r="C5" s="96"/>
      <c r="D5" s="96"/>
      <c r="E5" s="96"/>
      <c r="F5" s="96"/>
      <c r="G5" s="96"/>
      <c r="H5" s="97"/>
      <c r="I5" s="1"/>
    </row>
    <row r="6" spans="1:9" x14ac:dyDescent="0.45">
      <c r="A6" s="1"/>
      <c r="B6" s="104" t="s">
        <v>45</v>
      </c>
      <c r="C6" s="105"/>
      <c r="D6" s="105"/>
      <c r="E6" s="105"/>
      <c r="F6" s="106"/>
      <c r="G6" s="24">
        <v>26016840</v>
      </c>
      <c r="H6" s="14" t="s">
        <v>3</v>
      </c>
      <c r="I6" s="1"/>
    </row>
    <row r="7" spans="1:9" x14ac:dyDescent="0.45">
      <c r="A7" s="1"/>
      <c r="B7" s="98" t="s">
        <v>145</v>
      </c>
      <c r="C7" s="99"/>
      <c r="D7" s="99"/>
      <c r="E7" s="99"/>
      <c r="F7" s="100"/>
      <c r="G7" s="68">
        <v>0</v>
      </c>
      <c r="H7" s="14" t="s">
        <v>3</v>
      </c>
      <c r="I7" s="1"/>
    </row>
    <row r="8" spans="1:9" x14ac:dyDescent="0.45">
      <c r="A8" s="1"/>
      <c r="B8" s="104" t="s">
        <v>46</v>
      </c>
      <c r="C8" s="105"/>
      <c r="D8" s="105"/>
      <c r="E8" s="105"/>
      <c r="F8" s="106"/>
      <c r="G8" s="24">
        <f>SUM(G6:G7)*'Fane 14. Nøgletal'!C29</f>
        <v>520336.8</v>
      </c>
      <c r="H8" s="14" t="s">
        <v>3</v>
      </c>
      <c r="I8" s="1"/>
    </row>
    <row r="9" spans="1:9" x14ac:dyDescent="0.4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4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45">
      <c r="A11" s="1"/>
      <c r="B11" s="95" t="s">
        <v>57</v>
      </c>
      <c r="C11" s="96"/>
      <c r="D11" s="96"/>
      <c r="E11" s="96"/>
      <c r="F11" s="96"/>
      <c r="G11" s="96"/>
      <c r="H11" s="97"/>
      <c r="I11" s="1"/>
    </row>
    <row r="12" spans="1:9" x14ac:dyDescent="0.45">
      <c r="A12" s="1"/>
      <c r="B12" s="104" t="s">
        <v>47</v>
      </c>
      <c r="C12" s="105"/>
      <c r="D12" s="105"/>
      <c r="E12" s="105"/>
      <c r="F12" s="106"/>
      <c r="G12" s="24">
        <f>(G6-G8)*(1+'Fane 14. Nøgletal'!C10)</f>
        <v>25942692.006000001</v>
      </c>
      <c r="H12" s="14" t="s">
        <v>3</v>
      </c>
      <c r="I12" s="1"/>
    </row>
    <row r="13" spans="1:9" ht="15" customHeight="1" x14ac:dyDescent="0.45">
      <c r="A13" s="1"/>
      <c r="B13" s="104" t="s">
        <v>146</v>
      </c>
      <c r="C13" s="105"/>
      <c r="D13" s="105"/>
      <c r="E13" s="105"/>
      <c r="F13" s="106"/>
      <c r="G13" s="24">
        <v>-57227.578235559347</v>
      </c>
      <c r="H13" s="14" t="s">
        <v>3</v>
      </c>
      <c r="I13" s="1"/>
    </row>
    <row r="14" spans="1:9" x14ac:dyDescent="0.45">
      <c r="A14" s="1"/>
      <c r="B14" s="98" t="s">
        <v>143</v>
      </c>
      <c r="C14" s="99"/>
      <c r="D14" s="99"/>
      <c r="E14" s="99"/>
      <c r="F14" s="100"/>
      <c r="G14" s="68">
        <v>0</v>
      </c>
      <c r="H14" s="14" t="s">
        <v>3</v>
      </c>
      <c r="I14" s="1"/>
    </row>
    <row r="15" spans="1:9" x14ac:dyDescent="0.45">
      <c r="A15" s="1"/>
      <c r="B15" s="107" t="s">
        <v>48</v>
      </c>
      <c r="C15" s="108"/>
      <c r="D15" s="108"/>
      <c r="E15" s="108"/>
      <c r="F15" s="109"/>
      <c r="G15" s="68">
        <v>0</v>
      </c>
      <c r="H15" s="14" t="s">
        <v>3</v>
      </c>
      <c r="I15" s="1"/>
    </row>
    <row r="16" spans="1:9" x14ac:dyDescent="0.45">
      <c r="A16" s="1"/>
      <c r="B16" s="104" t="s">
        <v>49</v>
      </c>
      <c r="C16" s="105"/>
      <c r="D16" s="105"/>
      <c r="E16" s="105"/>
      <c r="F16" s="106"/>
      <c r="G16" s="24">
        <f>SUM(G12:G15)*'Fane 14. Nøgletal'!C29</f>
        <v>517709.28855528886</v>
      </c>
      <c r="H16" s="14" t="s">
        <v>3</v>
      </c>
      <c r="I16" s="1"/>
    </row>
    <row r="17" spans="1:9" x14ac:dyDescent="0.4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95" t="s">
        <v>58</v>
      </c>
      <c r="C19" s="96"/>
      <c r="D19" s="96"/>
      <c r="E19" s="96"/>
      <c r="F19" s="96"/>
      <c r="G19" s="96"/>
      <c r="H19" s="97"/>
      <c r="I19" s="1"/>
    </row>
    <row r="20" spans="1:9" x14ac:dyDescent="0.45">
      <c r="A20" s="1"/>
      <c r="B20" s="104" t="s">
        <v>50</v>
      </c>
      <c r="C20" s="105"/>
      <c r="D20" s="105"/>
      <c r="E20" s="105"/>
      <c r="F20" s="106"/>
      <c r="G20" s="24">
        <f>(SUM(G12:G13,G15)-(G16))*(1+'Fane 14. Nøgletal'!C10)</f>
        <v>25811690.854145315</v>
      </c>
      <c r="H20" s="14" t="s">
        <v>3</v>
      </c>
      <c r="I20" s="1"/>
    </row>
    <row r="21" spans="1:9" x14ac:dyDescent="0.45">
      <c r="A21" s="1"/>
      <c r="B21" s="107" t="s">
        <v>51</v>
      </c>
      <c r="C21" s="108"/>
      <c r="D21" s="108"/>
      <c r="E21" s="108"/>
      <c r="F21" s="109"/>
      <c r="G21" s="68">
        <v>0</v>
      </c>
      <c r="H21" s="14" t="s">
        <v>3</v>
      </c>
      <c r="I21" s="1"/>
    </row>
    <row r="22" spans="1:9" x14ac:dyDescent="0.45">
      <c r="A22" s="1"/>
      <c r="B22" s="104" t="s">
        <v>52</v>
      </c>
      <c r="C22" s="105"/>
      <c r="D22" s="105"/>
      <c r="E22" s="105"/>
      <c r="F22" s="106"/>
      <c r="G22" s="24">
        <f>SUM(G20:G21)*'Fane 14. Nøgletal'!C29</f>
        <v>516233.81708290632</v>
      </c>
      <c r="H22" s="14" t="s">
        <v>3</v>
      </c>
      <c r="I22" s="1"/>
    </row>
    <row r="23" spans="1:9" x14ac:dyDescent="0.4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95" t="s">
        <v>59</v>
      </c>
      <c r="C25" s="96"/>
      <c r="D25" s="96"/>
      <c r="E25" s="96"/>
      <c r="F25" s="96"/>
      <c r="G25" s="96"/>
      <c r="H25" s="97"/>
      <c r="I25" s="1"/>
    </row>
    <row r="26" spans="1:9" x14ac:dyDescent="0.45">
      <c r="A26" s="1"/>
      <c r="B26" s="104" t="s">
        <v>53</v>
      </c>
      <c r="C26" s="105"/>
      <c r="D26" s="105"/>
      <c r="E26" s="105"/>
      <c r="F26" s="106"/>
      <c r="G26" s="24">
        <f>(G20+G21-G22)*(1+'Fane 14. Nøgletal'!C12)</f>
        <v>25793777.540692538</v>
      </c>
      <c r="H26" s="14" t="s">
        <v>3</v>
      </c>
      <c r="I26" s="1"/>
    </row>
    <row r="27" spans="1:9" x14ac:dyDescent="0.45">
      <c r="A27" s="1"/>
      <c r="B27" s="107" t="s">
        <v>54</v>
      </c>
      <c r="C27" s="108"/>
      <c r="D27" s="108"/>
      <c r="E27" s="108"/>
      <c r="F27" s="109"/>
      <c r="G27" s="68">
        <v>0</v>
      </c>
      <c r="H27" s="14" t="s">
        <v>3</v>
      </c>
      <c r="I27" s="1"/>
    </row>
    <row r="28" spans="1:9" x14ac:dyDescent="0.45">
      <c r="A28" s="1"/>
      <c r="B28" s="104" t="s">
        <v>55</v>
      </c>
      <c r="C28" s="105"/>
      <c r="D28" s="105"/>
      <c r="E28" s="105"/>
      <c r="F28" s="106"/>
      <c r="G28" s="24">
        <f>(G26+G27)*'Fane 14. Nøgletal'!C29</f>
        <v>515875.55081385077</v>
      </c>
      <c r="H28" s="14" t="s">
        <v>3</v>
      </c>
      <c r="I28" s="1"/>
    </row>
    <row r="29" spans="1:9" x14ac:dyDescent="0.4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95" t="s">
        <v>62</v>
      </c>
      <c r="C31" s="96"/>
      <c r="D31" s="96"/>
      <c r="E31" s="96"/>
      <c r="F31" s="96"/>
      <c r="G31" s="96"/>
      <c r="H31" s="97"/>
      <c r="I31" s="1"/>
    </row>
    <row r="32" spans="1:9" x14ac:dyDescent="0.45">
      <c r="A32" s="1"/>
      <c r="B32" s="104" t="s">
        <v>63</v>
      </c>
      <c r="C32" s="105"/>
      <c r="D32" s="105"/>
      <c r="E32" s="105"/>
      <c r="F32" s="106"/>
      <c r="G32" s="24">
        <f>(G26+G27-G28)*(1+'Fane 14. Nøgletal'!C12)</f>
        <v>25775876.659079298</v>
      </c>
      <c r="H32" s="14" t="s">
        <v>3</v>
      </c>
      <c r="I32" s="1"/>
    </row>
    <row r="33" spans="1:9" x14ac:dyDescent="0.45">
      <c r="A33" s="1"/>
      <c r="B33" s="104" t="s">
        <v>171</v>
      </c>
      <c r="C33" s="105"/>
      <c r="D33" s="105"/>
      <c r="E33" s="105"/>
      <c r="F33" s="106"/>
      <c r="G33" s="68">
        <v>0</v>
      </c>
      <c r="H33" s="14" t="s">
        <v>3</v>
      </c>
      <c r="I33" s="1"/>
    </row>
    <row r="34" spans="1:9" x14ac:dyDescent="0.45">
      <c r="A34" s="1"/>
      <c r="B34" s="104" t="s">
        <v>64</v>
      </c>
      <c r="C34" s="105"/>
      <c r="D34" s="105"/>
      <c r="E34" s="105"/>
      <c r="F34" s="106"/>
      <c r="G34" s="24">
        <f>(G32+G33)*'Fane 14. Nøgletal'!C29</f>
        <v>515517.53318158595</v>
      </c>
      <c r="H34" s="14" t="s">
        <v>3</v>
      </c>
      <c r="I34" s="1"/>
    </row>
    <row r="35" spans="1:9" x14ac:dyDescent="0.4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95" t="s">
        <v>232</v>
      </c>
      <c r="C37" s="96"/>
      <c r="D37" s="96"/>
      <c r="E37" s="96"/>
      <c r="F37" s="96"/>
      <c r="G37" s="96"/>
      <c r="H37" s="97"/>
      <c r="I37" s="1"/>
    </row>
    <row r="38" spans="1:9" x14ac:dyDescent="0.45">
      <c r="A38" s="1"/>
      <c r="B38" s="104" t="s">
        <v>84</v>
      </c>
      <c r="C38" s="105"/>
      <c r="D38" s="105"/>
      <c r="E38" s="105"/>
      <c r="F38" s="106"/>
      <c r="G38" s="24">
        <f>(G32+G33-G34)*(1+'Fane 14. Nøgletal'!C14)</f>
        <v>25343718.311013177</v>
      </c>
      <c r="H38" s="14" t="s">
        <v>3</v>
      </c>
      <c r="I38" s="1"/>
    </row>
    <row r="39" spans="1:9" x14ac:dyDescent="0.45">
      <c r="A39" s="1"/>
      <c r="B39" s="104" t="s">
        <v>236</v>
      </c>
      <c r="C39" s="105"/>
      <c r="D39" s="105"/>
      <c r="E39" s="105"/>
      <c r="F39" s="106"/>
      <c r="G39" s="68">
        <v>0</v>
      </c>
      <c r="H39" s="14" t="s">
        <v>3</v>
      </c>
      <c r="I39" s="1"/>
    </row>
    <row r="40" spans="1:9" x14ac:dyDescent="0.45">
      <c r="A40" s="1"/>
      <c r="B40" s="104" t="s">
        <v>234</v>
      </c>
      <c r="C40" s="105"/>
      <c r="D40" s="105"/>
      <c r="E40" s="105"/>
      <c r="F40" s="106"/>
      <c r="G40" s="24">
        <f>(G38+G39)*'Fane 14. Nøgletal'!C29</f>
        <v>506874.36622026353</v>
      </c>
      <c r="H40" s="14" t="s">
        <v>3</v>
      </c>
      <c r="I40" s="1"/>
    </row>
    <row r="41" spans="1:9" x14ac:dyDescent="0.4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95" t="s">
        <v>233</v>
      </c>
      <c r="C43" s="96"/>
      <c r="D43" s="96"/>
      <c r="E43" s="96"/>
      <c r="F43" s="96"/>
      <c r="G43" s="96"/>
      <c r="H43" s="97"/>
      <c r="I43" s="1"/>
    </row>
    <row r="44" spans="1:9" x14ac:dyDescent="0.45">
      <c r="A44" s="1"/>
      <c r="B44" s="104" t="s">
        <v>83</v>
      </c>
      <c r="C44" s="105"/>
      <c r="D44" s="105"/>
      <c r="E44" s="105"/>
      <c r="F44" s="106"/>
      <c r="G44" s="24">
        <f>(G38+G39-G40)*(1+'Fane 14. Nøgletal'!C14)</f>
        <v>24918805.529810734</v>
      </c>
      <c r="H44" s="14" t="s">
        <v>3</v>
      </c>
      <c r="I44" s="1"/>
    </row>
    <row r="45" spans="1:9" x14ac:dyDescent="0.45">
      <c r="A45" s="1"/>
      <c r="B45" s="110" t="s">
        <v>237</v>
      </c>
      <c r="C45" s="111"/>
      <c r="D45" s="111"/>
      <c r="E45" s="111"/>
      <c r="F45" s="112"/>
      <c r="G45" s="68">
        <v>0</v>
      </c>
      <c r="H45" s="14" t="s">
        <v>3</v>
      </c>
      <c r="I45" s="1"/>
    </row>
    <row r="46" spans="1:9" x14ac:dyDescent="0.45">
      <c r="A46" s="1"/>
      <c r="B46" s="104" t="s">
        <v>97</v>
      </c>
      <c r="C46" s="105"/>
      <c r="D46" s="105"/>
      <c r="E46" s="105"/>
      <c r="F46" s="106"/>
      <c r="G46" s="68">
        <v>0</v>
      </c>
      <c r="H46" s="14" t="s">
        <v>3</v>
      </c>
      <c r="I46" s="1"/>
    </row>
    <row r="47" spans="1:9" x14ac:dyDescent="0.45">
      <c r="A47" s="1"/>
      <c r="B47" s="104" t="s">
        <v>235</v>
      </c>
      <c r="C47" s="105"/>
      <c r="D47" s="105"/>
      <c r="E47" s="105"/>
      <c r="F47" s="106"/>
      <c r="G47" s="24">
        <f>(G44+G46)*'Fane 14. Nøgletal'!C29</f>
        <v>498376.11059621471</v>
      </c>
      <c r="H47" s="14" t="s">
        <v>3</v>
      </c>
      <c r="I47" s="1"/>
    </row>
    <row r="48" spans="1:9" x14ac:dyDescent="0.45">
      <c r="A48" s="1"/>
      <c r="B48" s="38"/>
      <c r="C48" s="32"/>
      <c r="D48" s="32"/>
      <c r="E48" s="32"/>
      <c r="F48" s="32"/>
      <c r="G48" s="32"/>
      <c r="H48" s="20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172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173</v>
      </c>
      <c r="C53" s="105"/>
      <c r="D53" s="105"/>
      <c r="E53" s="105"/>
      <c r="F53" s="106"/>
      <c r="G53" s="24">
        <f>(G44+G46-G47)*(1+'Fane 14. Nøgletal'!C14)</f>
        <v>24501016.836297929</v>
      </c>
      <c r="H53" s="14" t="s">
        <v>3</v>
      </c>
      <c r="I53" s="1"/>
    </row>
    <row r="54" spans="1:9" x14ac:dyDescent="0.45">
      <c r="A54" s="1"/>
      <c r="B54" s="104" t="s">
        <v>174</v>
      </c>
      <c r="C54" s="105"/>
      <c r="D54" s="105"/>
      <c r="E54" s="105"/>
      <c r="F54" s="106"/>
      <c r="G54" s="68">
        <v>0</v>
      </c>
      <c r="H54" s="14" t="s">
        <v>3</v>
      </c>
      <c r="I54" s="1"/>
    </row>
    <row r="55" spans="1:9" x14ac:dyDescent="0.45">
      <c r="A55" s="1"/>
      <c r="B55" s="104" t="s">
        <v>175</v>
      </c>
      <c r="C55" s="105"/>
      <c r="D55" s="105"/>
      <c r="E55" s="105"/>
      <c r="F55" s="106"/>
      <c r="G55" s="24">
        <f>(G53+G54)*'Fane 14. Nøgletal'!C29</f>
        <v>490020.33672595862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53" t="s">
        <v>201</v>
      </c>
      <c r="C58" s="54"/>
      <c r="D58" s="54"/>
      <c r="E58" s="54"/>
      <c r="F58" s="54"/>
      <c r="G58" s="54"/>
      <c r="H58" s="55"/>
      <c r="I58" s="1"/>
    </row>
    <row r="59" spans="1:9" x14ac:dyDescent="0.45">
      <c r="A59" s="1"/>
      <c r="B59" s="59" t="s">
        <v>202</v>
      </c>
      <c r="C59" s="60"/>
      <c r="D59" s="60"/>
      <c r="E59" s="60"/>
      <c r="F59" s="61"/>
      <c r="G59" s="24">
        <f>(G53+G54-G55)*(1+'Fane 14. Nøgletal'!C14)</f>
        <v>24090232.788020562</v>
      </c>
      <c r="H59" s="14" t="s">
        <v>3</v>
      </c>
      <c r="I59" s="1"/>
    </row>
    <row r="60" spans="1:9" x14ac:dyDescent="0.45">
      <c r="A60" s="1"/>
      <c r="B60" s="59" t="s">
        <v>203</v>
      </c>
      <c r="C60" s="60"/>
      <c r="D60" s="60"/>
      <c r="E60" s="60"/>
      <c r="F60" s="61"/>
      <c r="G60" s="68">
        <v>0</v>
      </c>
      <c r="H60" s="14" t="s">
        <v>3</v>
      </c>
      <c r="I60" s="1"/>
    </row>
    <row r="61" spans="1:9" x14ac:dyDescent="0.45">
      <c r="A61" s="1"/>
      <c r="B61" s="59" t="s">
        <v>204</v>
      </c>
      <c r="C61" s="60"/>
      <c r="D61" s="60"/>
      <c r="E61" s="60"/>
      <c r="F61" s="61"/>
      <c r="G61" s="24">
        <f>(G59+G60)*'Fane 14. Nøgletal'!C29</f>
        <v>481804.65576041123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  <row r="64" spans="1:9" x14ac:dyDescent="0.45">
      <c r="A64" s="1"/>
      <c r="B64" s="1"/>
      <c r="C64" s="1"/>
      <c r="D64" s="1"/>
      <c r="E64" s="1"/>
      <c r="F64" s="1"/>
      <c r="G64" s="1"/>
      <c r="H64" s="1"/>
      <c r="I64" s="1"/>
    </row>
  </sheetData>
  <sheetProtection algorithmName="SHA-512" hashValue="PMUPBIxfonIY2Qc60VpUb/wHKQlwU7olrqD2SBnZkFB4kf/ky3AxwXxVKeIVvJbcH6oEOUZFyrtl60Jgd/RLWA==" saltValue="6q2gRuuFHTUCfLRzY7aVYg==" spinCount="100000" sheet="1" objects="1" scenarios="1"/>
  <mergeCells count="36">
    <mergeCell ref="B52:H52"/>
    <mergeCell ref="B53:F53"/>
    <mergeCell ref="B54:F54"/>
    <mergeCell ref="B33:F33"/>
    <mergeCell ref="B34:F34"/>
    <mergeCell ref="B43:H43"/>
    <mergeCell ref="B44:F44"/>
    <mergeCell ref="B47:F47"/>
    <mergeCell ref="B39:F39"/>
    <mergeCell ref="B46:F46"/>
    <mergeCell ref="B40:F40"/>
    <mergeCell ref="B45:F45"/>
    <mergeCell ref="B55:F55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  <mergeCell ref="B27:F27"/>
    <mergeCell ref="B28:F28"/>
    <mergeCell ref="B38:F38"/>
    <mergeCell ref="B12:F12"/>
    <mergeCell ref="B11:H11"/>
    <mergeCell ref="B7:F7"/>
    <mergeCell ref="B2:H3"/>
    <mergeCell ref="B25:H25"/>
    <mergeCell ref="B5:H5"/>
    <mergeCell ref="B6:F6"/>
    <mergeCell ref="B8:F8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63"/>
  <sheetViews>
    <sheetView showGridLines="0" view="pageLayout" zoomScaleNormal="100" workbookViewId="0"/>
  </sheetViews>
  <sheetFormatPr defaultColWidth="9.1328125" defaultRowHeight="14.25" x14ac:dyDescent="0.45"/>
  <cols>
    <col min="1" max="1" width="6.1328125" style="2" customWidth="1"/>
    <col min="2" max="5" width="9.1328125" style="2"/>
    <col min="6" max="6" width="23.33203125" style="2" customWidth="1"/>
    <col min="7" max="7" width="10.796875" style="2" bestFit="1" customWidth="1"/>
    <col min="8" max="8" width="4.33203125" style="2" customWidth="1"/>
    <col min="9" max="9" width="6.6640625" style="2" customWidth="1"/>
    <col min="10" max="16384" width="9.1328125" style="2"/>
  </cols>
  <sheetData>
    <row r="1" spans="1:9" ht="14.25" customHeight="1" x14ac:dyDescent="0.45">
      <c r="A1" s="1"/>
      <c r="B1" s="113" t="s">
        <v>131</v>
      </c>
      <c r="C1" s="113"/>
      <c r="D1" s="113"/>
      <c r="E1" s="113"/>
      <c r="F1" s="113"/>
      <c r="G1" s="113"/>
      <c r="H1" s="113"/>
      <c r="I1" s="1"/>
    </row>
    <row r="2" spans="1:9" ht="15" customHeight="1" x14ac:dyDescent="0.45">
      <c r="A2" s="1"/>
      <c r="B2" s="113"/>
      <c r="C2" s="113"/>
      <c r="D2" s="113"/>
      <c r="E2" s="113"/>
      <c r="F2" s="113"/>
      <c r="G2" s="113"/>
      <c r="H2" s="113"/>
      <c r="I2" s="1"/>
    </row>
    <row r="3" spans="1:9" ht="15" customHeight="1" x14ac:dyDescent="0.45">
      <c r="A3" s="1"/>
      <c r="B3" s="114"/>
      <c r="C3" s="114"/>
      <c r="D3" s="114"/>
      <c r="E3" s="114"/>
      <c r="F3" s="114"/>
      <c r="G3" s="114"/>
      <c r="H3" s="114"/>
      <c r="I3" s="1"/>
    </row>
    <row r="4" spans="1:9" x14ac:dyDescent="0.45">
      <c r="A4" s="1"/>
      <c r="B4" s="95" t="s">
        <v>60</v>
      </c>
      <c r="C4" s="96"/>
      <c r="D4" s="96"/>
      <c r="E4" s="96"/>
      <c r="F4" s="96"/>
      <c r="G4" s="96"/>
      <c r="H4" s="97"/>
      <c r="I4" s="1"/>
    </row>
    <row r="5" spans="1:9" x14ac:dyDescent="0.45">
      <c r="A5" s="1"/>
      <c r="B5" s="104" t="s">
        <v>65</v>
      </c>
      <c r="C5" s="105"/>
      <c r="D5" s="105"/>
      <c r="E5" s="105"/>
      <c r="F5" s="106"/>
      <c r="G5" s="24">
        <v>54487051</v>
      </c>
      <c r="H5" s="14" t="s">
        <v>3</v>
      </c>
      <c r="I5" s="1"/>
    </row>
    <row r="6" spans="1:9" x14ac:dyDescent="0.45">
      <c r="A6" s="1"/>
      <c r="B6" s="104" t="s">
        <v>61</v>
      </c>
      <c r="C6" s="105"/>
      <c r="D6" s="105"/>
      <c r="E6" s="105"/>
      <c r="F6" s="106"/>
      <c r="G6" s="24">
        <f>G5*'Fane 14. Nøgletal'!C19</f>
        <v>495832.16410000005</v>
      </c>
      <c r="H6" s="14" t="s">
        <v>3</v>
      </c>
      <c r="I6" s="1"/>
    </row>
    <row r="7" spans="1:9" x14ac:dyDescent="0.4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45">
      <c r="A8" s="1"/>
      <c r="B8" s="1"/>
      <c r="C8" s="1"/>
      <c r="D8" s="1"/>
      <c r="E8" s="1"/>
      <c r="F8" s="1"/>
      <c r="G8" s="1"/>
      <c r="H8" s="1"/>
      <c r="I8" s="1"/>
    </row>
    <row r="9" spans="1:9" x14ac:dyDescent="0.45">
      <c r="A9" s="1"/>
      <c r="B9" s="95" t="s">
        <v>66</v>
      </c>
      <c r="C9" s="96"/>
      <c r="D9" s="96"/>
      <c r="E9" s="96"/>
      <c r="F9" s="96"/>
      <c r="G9" s="96"/>
      <c r="H9" s="97"/>
      <c r="I9" s="1"/>
    </row>
    <row r="10" spans="1:9" x14ac:dyDescent="0.45">
      <c r="A10" s="1"/>
      <c r="B10" s="104" t="s">
        <v>67</v>
      </c>
      <c r="C10" s="105"/>
      <c r="D10" s="105"/>
      <c r="E10" s="105"/>
      <c r="F10" s="106"/>
      <c r="G10" s="24">
        <f>(G5-G6)*(1+'Fane 14. Nøgletal'!C10)</f>
        <v>54936065.165528253</v>
      </c>
      <c r="H10" s="14" t="s">
        <v>3</v>
      </c>
      <c r="I10" s="1"/>
    </row>
    <row r="11" spans="1:9" x14ac:dyDescent="0.45">
      <c r="A11" s="1"/>
      <c r="B11" s="104" t="s">
        <v>147</v>
      </c>
      <c r="C11" s="105"/>
      <c r="D11" s="105"/>
      <c r="E11" s="105"/>
      <c r="F11" s="106"/>
      <c r="G11" s="24">
        <v>219629.92472418767</v>
      </c>
      <c r="H11" s="14" t="s">
        <v>3</v>
      </c>
      <c r="I11" s="1"/>
    </row>
    <row r="12" spans="1:9" x14ac:dyDescent="0.45">
      <c r="A12" s="1"/>
      <c r="B12" s="107" t="s">
        <v>68</v>
      </c>
      <c r="C12" s="108"/>
      <c r="D12" s="108"/>
      <c r="E12" s="108"/>
      <c r="F12" s="109"/>
      <c r="G12" s="68">
        <v>0</v>
      </c>
      <c r="H12" s="14" t="s">
        <v>3</v>
      </c>
      <c r="I12" s="1"/>
    </row>
    <row r="13" spans="1:9" x14ac:dyDescent="0.45">
      <c r="A13" s="1"/>
      <c r="B13" s="104" t="s">
        <v>69</v>
      </c>
      <c r="C13" s="105"/>
      <c r="D13" s="105"/>
      <c r="E13" s="105"/>
      <c r="F13" s="106"/>
      <c r="G13" s="24">
        <f>SUM(G10:G12)*'Fane 14. Nøgletal'!C20</f>
        <v>976255.8030974681</v>
      </c>
      <c r="H13" s="14" t="s">
        <v>3</v>
      </c>
      <c r="I13" s="1"/>
    </row>
    <row r="14" spans="1:9" x14ac:dyDescent="0.4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4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45">
      <c r="A16" s="1"/>
      <c r="B16" s="95" t="s">
        <v>70</v>
      </c>
      <c r="C16" s="96"/>
      <c r="D16" s="96"/>
      <c r="E16" s="96"/>
      <c r="F16" s="96"/>
      <c r="G16" s="96"/>
      <c r="H16" s="97"/>
      <c r="I16" s="1"/>
    </row>
    <row r="17" spans="1:9" x14ac:dyDescent="0.45">
      <c r="A17" s="1"/>
      <c r="B17" s="104" t="s">
        <v>71</v>
      </c>
      <c r="C17" s="105"/>
      <c r="D17" s="105"/>
      <c r="E17" s="105"/>
      <c r="F17" s="106"/>
      <c r="G17" s="24">
        <f>(SUM(G10:G12)-G13)*(1+'Fane 14. Nøgletal'!C10)</f>
        <v>55127579.474680178</v>
      </c>
      <c r="H17" s="14" t="s">
        <v>3</v>
      </c>
      <c r="I17" s="1"/>
    </row>
    <row r="18" spans="1:9" x14ac:dyDescent="0.45">
      <c r="A18" s="1"/>
      <c r="B18" s="107" t="s">
        <v>72</v>
      </c>
      <c r="C18" s="108"/>
      <c r="D18" s="108"/>
      <c r="E18" s="108"/>
      <c r="F18" s="109"/>
      <c r="G18" s="68">
        <v>0</v>
      </c>
      <c r="H18" s="14" t="s">
        <v>3</v>
      </c>
      <c r="I18" s="1"/>
    </row>
    <row r="19" spans="1:9" x14ac:dyDescent="0.45">
      <c r="A19" s="1"/>
      <c r="B19" s="104" t="s">
        <v>73</v>
      </c>
      <c r="C19" s="105"/>
      <c r="D19" s="105"/>
      <c r="E19" s="105"/>
      <c r="F19" s="106"/>
      <c r="G19" s="24">
        <f>G17*'Fane 14. Nøgletal'!C20+G18*'Fane 14. Nøgletal'!C21</f>
        <v>975758.15670183918</v>
      </c>
      <c r="H19" s="14" t="s">
        <v>3</v>
      </c>
      <c r="I19" s="1"/>
    </row>
    <row r="20" spans="1:9" x14ac:dyDescent="0.4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95" t="s">
        <v>74</v>
      </c>
      <c r="C22" s="96"/>
      <c r="D22" s="96"/>
      <c r="E22" s="96"/>
      <c r="F22" s="96"/>
      <c r="G22" s="96"/>
      <c r="H22" s="97"/>
      <c r="I22" s="1"/>
    </row>
    <row r="23" spans="1:9" x14ac:dyDescent="0.45">
      <c r="A23" s="1"/>
      <c r="B23" s="104" t="s">
        <v>75</v>
      </c>
      <c r="C23" s="105"/>
      <c r="D23" s="105"/>
      <c r="E23" s="105"/>
      <c r="F23" s="106"/>
      <c r="G23" s="24">
        <f>(G17+G18-G19)*(1+'Fane 14. Nøgletal'!C12)</f>
        <v>55218612.19794251</v>
      </c>
      <c r="H23" s="14" t="s">
        <v>3</v>
      </c>
      <c r="I23" s="1"/>
    </row>
    <row r="24" spans="1:9" x14ac:dyDescent="0.45">
      <c r="A24" s="1"/>
      <c r="B24" s="107" t="s">
        <v>76</v>
      </c>
      <c r="C24" s="108"/>
      <c r="D24" s="108"/>
      <c r="E24" s="108"/>
      <c r="F24" s="109"/>
      <c r="G24" s="24">
        <v>129866.2300740262</v>
      </c>
      <c r="H24" s="14" t="s">
        <v>3</v>
      </c>
      <c r="I24" s="1"/>
    </row>
    <row r="25" spans="1:9" x14ac:dyDescent="0.45">
      <c r="A25" s="1"/>
      <c r="B25" s="104" t="s">
        <v>77</v>
      </c>
      <c r="C25" s="105"/>
      <c r="D25" s="105"/>
      <c r="E25" s="105"/>
      <c r="F25" s="106"/>
      <c r="G25" s="24">
        <f>(G23+G24)*'Fane 14. Nøgletal'!C22</f>
        <v>1571896.7873556698</v>
      </c>
      <c r="H25" s="14" t="s">
        <v>3</v>
      </c>
      <c r="I25" s="1"/>
    </row>
    <row r="26" spans="1:9" x14ac:dyDescent="0.4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95" t="s">
        <v>78</v>
      </c>
      <c r="C28" s="96"/>
      <c r="D28" s="96"/>
      <c r="E28" s="96"/>
      <c r="F28" s="96"/>
      <c r="G28" s="96"/>
      <c r="H28" s="97"/>
      <c r="I28" s="1"/>
    </row>
    <row r="29" spans="1:9" x14ac:dyDescent="0.45">
      <c r="A29" s="1"/>
      <c r="B29" s="104" t="s">
        <v>79</v>
      </c>
      <c r="C29" s="105"/>
      <c r="D29" s="105"/>
      <c r="E29" s="105"/>
      <c r="F29" s="106"/>
      <c r="G29" s="24">
        <f>(G23+G24-G25)*(1+'Fane 14. Nøgletal'!C12)</f>
        <v>54835980.29898189</v>
      </c>
      <c r="H29" s="14" t="s">
        <v>3</v>
      </c>
      <c r="I29" s="1"/>
    </row>
    <row r="30" spans="1:9" x14ac:dyDescent="0.45">
      <c r="A30" s="1"/>
      <c r="B30" s="104" t="s">
        <v>176</v>
      </c>
      <c r="C30" s="105"/>
      <c r="D30" s="105"/>
      <c r="E30" s="105"/>
      <c r="F30" s="106"/>
      <c r="G30" s="24">
        <v>1289034.07394832</v>
      </c>
      <c r="H30" s="14" t="s">
        <v>3</v>
      </c>
      <c r="I30" s="1"/>
    </row>
    <row r="31" spans="1:9" x14ac:dyDescent="0.45">
      <c r="A31" s="1"/>
      <c r="B31" s="104" t="s">
        <v>80</v>
      </c>
      <c r="C31" s="105"/>
      <c r="D31" s="105"/>
      <c r="E31" s="105"/>
      <c r="F31" s="106"/>
      <c r="G31" s="24">
        <f>G29*'Fane 14. Nøgletal'!C22+G30*'Fane 14. Nøgletal'!C23</f>
        <v>1592790.2775246645</v>
      </c>
      <c r="H31" s="14" t="s">
        <v>3</v>
      </c>
      <c r="I31" s="1"/>
    </row>
    <row r="32" spans="1:9" x14ac:dyDescent="0.4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95" t="s">
        <v>238</v>
      </c>
      <c r="C34" s="96"/>
      <c r="D34" s="96"/>
      <c r="E34" s="96"/>
      <c r="F34" s="96"/>
      <c r="G34" s="96"/>
      <c r="H34" s="97"/>
      <c r="I34" s="1"/>
    </row>
    <row r="35" spans="1:9" x14ac:dyDescent="0.45">
      <c r="A35" s="1"/>
      <c r="B35" s="104" t="s">
        <v>82</v>
      </c>
      <c r="C35" s="105"/>
      <c r="D35" s="105"/>
      <c r="E35" s="105"/>
      <c r="F35" s="106"/>
      <c r="G35" s="24">
        <f>(G29+G30-G31)*(1+'Fane 14. Nøgletal'!C14)</f>
        <v>54712180.434920393</v>
      </c>
      <c r="H35" s="14" t="s">
        <v>3</v>
      </c>
      <c r="I35" s="1"/>
    </row>
    <row r="36" spans="1:9" x14ac:dyDescent="0.45">
      <c r="A36" s="1"/>
      <c r="B36" s="104" t="s">
        <v>240</v>
      </c>
      <c r="C36" s="105"/>
      <c r="D36" s="105"/>
      <c r="E36" s="105"/>
      <c r="F36" s="106"/>
      <c r="G36" s="68">
        <v>0</v>
      </c>
      <c r="H36" s="14" t="s">
        <v>3</v>
      </c>
      <c r="I36" s="1"/>
    </row>
    <row r="37" spans="1:9" x14ac:dyDescent="0.45">
      <c r="A37" s="1"/>
      <c r="B37" s="104" t="s">
        <v>239</v>
      </c>
      <c r="C37" s="105"/>
      <c r="D37" s="105"/>
      <c r="E37" s="105"/>
      <c r="F37" s="106"/>
      <c r="G37" s="24">
        <f>(G35+G36)*'Fane 14. Nøgletal'!C24</f>
        <v>809740.27043682185</v>
      </c>
      <c r="H37" s="14" t="s">
        <v>3</v>
      </c>
      <c r="I37" s="1"/>
    </row>
    <row r="38" spans="1:9" x14ac:dyDescent="0.4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95" t="s">
        <v>85</v>
      </c>
      <c r="C40" s="96"/>
      <c r="D40" s="96"/>
      <c r="E40" s="96"/>
      <c r="F40" s="96"/>
      <c r="G40" s="96"/>
      <c r="H40" s="97"/>
      <c r="I40" s="1"/>
    </row>
    <row r="41" spans="1:9" x14ac:dyDescent="0.45">
      <c r="A41" s="1"/>
      <c r="B41" s="104" t="s">
        <v>81</v>
      </c>
      <c r="C41" s="105"/>
      <c r="D41" s="105"/>
      <c r="E41" s="105"/>
      <c r="F41" s="106"/>
      <c r="G41" s="24">
        <f>(G35+G36-G37)*(1+'Fane 14. Nøgletal'!C14)</f>
        <v>54080318.217026368</v>
      </c>
      <c r="H41" s="14" t="s">
        <v>3</v>
      </c>
      <c r="I41" s="1"/>
    </row>
    <row r="42" spans="1:9" x14ac:dyDescent="0.45">
      <c r="A42" s="1"/>
      <c r="B42" s="47" t="s">
        <v>242</v>
      </c>
      <c r="C42" s="60"/>
      <c r="D42" s="60"/>
      <c r="E42" s="60"/>
      <c r="F42" s="61"/>
      <c r="G42" s="68">
        <v>0</v>
      </c>
      <c r="H42" s="14" t="s">
        <v>3</v>
      </c>
      <c r="I42" s="1"/>
    </row>
    <row r="43" spans="1:9" x14ac:dyDescent="0.45">
      <c r="A43" s="1"/>
      <c r="B43" s="104" t="s">
        <v>101</v>
      </c>
      <c r="C43" s="105"/>
      <c r="D43" s="105"/>
      <c r="E43" s="105"/>
      <c r="F43" s="106"/>
      <c r="G43" s="68">
        <v>0</v>
      </c>
      <c r="H43" s="14" t="s">
        <v>3</v>
      </c>
      <c r="I43" s="1"/>
    </row>
    <row r="44" spans="1:9" x14ac:dyDescent="0.45">
      <c r="A44" s="1"/>
      <c r="B44" s="104" t="s">
        <v>241</v>
      </c>
      <c r="C44" s="105"/>
      <c r="D44" s="105"/>
      <c r="E44" s="105"/>
      <c r="F44" s="106"/>
      <c r="G44" s="24">
        <f>(G41+G43)*'Fane 14. Nøgletal'!C24</f>
        <v>800388.70961199026</v>
      </c>
      <c r="H44" s="14" t="s">
        <v>3</v>
      </c>
      <c r="I44" s="1"/>
    </row>
    <row r="45" spans="1:9" x14ac:dyDescent="0.45">
      <c r="A45" s="1"/>
      <c r="B45" s="38"/>
      <c r="C45" s="32"/>
      <c r="D45" s="32"/>
      <c r="E45" s="32"/>
      <c r="F45" s="32"/>
      <c r="G45" s="32"/>
      <c r="H45" s="20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4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45">
      <c r="A51" s="1"/>
      <c r="B51" s="1"/>
      <c r="C51" s="1"/>
      <c r="D51" s="1"/>
      <c r="E51" s="1"/>
      <c r="F51" s="1"/>
      <c r="G51" s="1"/>
      <c r="H51" s="1"/>
      <c r="I51" s="1"/>
    </row>
    <row r="52" spans="1:9" x14ac:dyDescent="0.45">
      <c r="A52" s="1"/>
      <c r="B52" s="95" t="s">
        <v>181</v>
      </c>
      <c r="C52" s="96"/>
      <c r="D52" s="96"/>
      <c r="E52" s="96"/>
      <c r="F52" s="96"/>
      <c r="G52" s="96"/>
      <c r="H52" s="97"/>
      <c r="I52" s="1"/>
    </row>
    <row r="53" spans="1:9" x14ac:dyDescent="0.45">
      <c r="A53" s="1"/>
      <c r="B53" s="104" t="s">
        <v>182</v>
      </c>
      <c r="C53" s="105"/>
      <c r="D53" s="105"/>
      <c r="E53" s="105"/>
      <c r="F53" s="106"/>
      <c r="G53" s="24">
        <f>(G41+G43-G44)*(1+'Fane 14. Nøgletal'!C14)</f>
        <v>53455753.274788849</v>
      </c>
      <c r="H53" s="14" t="s">
        <v>3</v>
      </c>
      <c r="I53" s="1"/>
    </row>
    <row r="54" spans="1:9" x14ac:dyDescent="0.45">
      <c r="A54" s="1"/>
      <c r="B54" s="104" t="s">
        <v>183</v>
      </c>
      <c r="C54" s="105"/>
      <c r="D54" s="105"/>
      <c r="E54" s="105"/>
      <c r="F54" s="106"/>
      <c r="G54" s="24">
        <f>-'Fane 13. Bortfald'!E24*(1+'Fane 14. Nøgletal'!C13)</f>
        <v>0</v>
      </c>
      <c r="H54" s="14" t="s">
        <v>3</v>
      </c>
      <c r="I54" s="1"/>
    </row>
    <row r="55" spans="1:9" x14ac:dyDescent="0.45">
      <c r="A55" s="1"/>
      <c r="B55" s="104" t="s">
        <v>184</v>
      </c>
      <c r="C55" s="105"/>
      <c r="D55" s="105"/>
      <c r="E55" s="105"/>
      <c r="F55" s="106"/>
      <c r="G55" s="24">
        <f>(G53+G54)*'Fane 14. Nøgletal'!C24</f>
        <v>791145.14846687496</v>
      </c>
      <c r="H55" s="14" t="s">
        <v>3</v>
      </c>
      <c r="I55" s="1"/>
    </row>
    <row r="56" spans="1:9" x14ac:dyDescent="0.45">
      <c r="A56" s="1"/>
      <c r="B56" s="38"/>
      <c r="C56" s="32"/>
      <c r="D56" s="32"/>
      <c r="E56" s="32"/>
      <c r="F56" s="32"/>
      <c r="G56" s="32"/>
      <c r="H56" s="20"/>
      <c r="I56" s="1"/>
    </row>
    <row r="57" spans="1:9" x14ac:dyDescent="0.45">
      <c r="A57" s="1"/>
      <c r="B57" s="1"/>
      <c r="C57" s="1"/>
      <c r="D57" s="1"/>
      <c r="E57" s="1"/>
      <c r="F57" s="1"/>
      <c r="G57" s="1"/>
      <c r="H57" s="1"/>
      <c r="I57" s="1"/>
    </row>
    <row r="58" spans="1:9" x14ac:dyDescent="0.45">
      <c r="A58" s="1"/>
      <c r="B58" s="95" t="s">
        <v>205</v>
      </c>
      <c r="C58" s="96"/>
      <c r="D58" s="96"/>
      <c r="E58" s="96"/>
      <c r="F58" s="96"/>
      <c r="G58" s="96"/>
      <c r="H58" s="97"/>
      <c r="I58" s="1"/>
    </row>
    <row r="59" spans="1:9" x14ac:dyDescent="0.45">
      <c r="A59" s="1"/>
      <c r="B59" s="104" t="s">
        <v>255</v>
      </c>
      <c r="C59" s="105"/>
      <c r="D59" s="105"/>
      <c r="E59" s="105"/>
      <c r="F59" s="106"/>
      <c r="G59" s="24">
        <f>(G53+G54-G55)*(1+'Fane 14. Nøgletal'!C14)</f>
        <v>52838401.333138838</v>
      </c>
      <c r="H59" s="14" t="s">
        <v>3</v>
      </c>
      <c r="I59" s="1"/>
    </row>
    <row r="60" spans="1:9" x14ac:dyDescent="0.45">
      <c r="A60" s="1"/>
      <c r="B60" s="104" t="s">
        <v>256</v>
      </c>
      <c r="C60" s="105"/>
      <c r="D60" s="105"/>
      <c r="E60" s="105"/>
      <c r="F60" s="106"/>
      <c r="G60" s="24">
        <f>-'Fane 13. Bortfald'!E30*(1+'Fane 14. Nøgletal'!C14)</f>
        <v>0</v>
      </c>
      <c r="H60" s="14" t="s">
        <v>3</v>
      </c>
      <c r="I60" s="1"/>
    </row>
    <row r="61" spans="1:9" x14ac:dyDescent="0.45">
      <c r="A61" s="1"/>
      <c r="B61" s="104" t="s">
        <v>257</v>
      </c>
      <c r="C61" s="105"/>
      <c r="D61" s="105"/>
      <c r="E61" s="105"/>
      <c r="F61" s="106"/>
      <c r="G61" s="24">
        <f>(G59+G60)*'Fane 14. Nøgletal'!C24</f>
        <v>782008.33973045484</v>
      </c>
      <c r="H61" s="14" t="s">
        <v>3</v>
      </c>
      <c r="I61" s="1"/>
    </row>
    <row r="62" spans="1:9" x14ac:dyDescent="0.45">
      <c r="A62" s="1"/>
      <c r="B62" s="38"/>
      <c r="C62" s="32"/>
      <c r="D62" s="32"/>
      <c r="E62" s="32"/>
      <c r="F62" s="32"/>
      <c r="G62" s="32"/>
      <c r="H62" s="20"/>
      <c r="I62" s="1"/>
    </row>
    <row r="63" spans="1:9" x14ac:dyDescent="0.45">
      <c r="A63" s="1"/>
      <c r="B63" s="1"/>
      <c r="C63" s="1"/>
      <c r="D63" s="1"/>
      <c r="E63" s="1"/>
      <c r="F63" s="1"/>
      <c r="G63" s="1"/>
      <c r="H63" s="1"/>
      <c r="I63" s="1"/>
    </row>
  </sheetData>
  <sheetProtection algorithmName="SHA-512" hashValue="IVbWJ5L7LTVDcDpRh9ZpK9sYvEtRr7CaWDHi15WnmYMbuojoZfBU1wiYz28+5mBrGD3sp65r9QYkg2D75I6i+A==" saltValue="8CyFhKlaVxTlYoIV+s+hAA==" spinCount="100000" sheet="1" objects="1" scenarios="1"/>
  <mergeCells count="37">
    <mergeCell ref="B58:H58"/>
    <mergeCell ref="B59:F59"/>
    <mergeCell ref="B60:F60"/>
    <mergeCell ref="B61:F61"/>
    <mergeCell ref="B43:F43"/>
    <mergeCell ref="B41:F41"/>
    <mergeCell ref="B28:H28"/>
    <mergeCell ref="B29:F29"/>
    <mergeCell ref="B31:F31"/>
    <mergeCell ref="B34:H34"/>
    <mergeCell ref="B36:F36"/>
    <mergeCell ref="B37:F37"/>
    <mergeCell ref="B40:H40"/>
    <mergeCell ref="B17:F17"/>
    <mergeCell ref="B18:F18"/>
    <mergeCell ref="B30:F30"/>
    <mergeCell ref="B22:H22"/>
    <mergeCell ref="B11:F11"/>
    <mergeCell ref="B23:F23"/>
    <mergeCell ref="B24:F24"/>
    <mergeCell ref="B25:F25"/>
    <mergeCell ref="B1:H3"/>
    <mergeCell ref="B52:H52"/>
    <mergeCell ref="B53:F53"/>
    <mergeCell ref="B54:F54"/>
    <mergeCell ref="B55:F55"/>
    <mergeCell ref="B35:F35"/>
    <mergeCell ref="B44:F44"/>
    <mergeCell ref="B19:F19"/>
    <mergeCell ref="B4:H4"/>
    <mergeCell ref="B5:F5"/>
    <mergeCell ref="B6:F6"/>
    <mergeCell ref="B9:H9"/>
    <mergeCell ref="B10:F10"/>
    <mergeCell ref="B12:F12"/>
    <mergeCell ref="B13:F13"/>
    <mergeCell ref="B16:H1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9"/>
  <sheetViews>
    <sheetView showGridLines="0" view="pageLayout" zoomScaleNormal="100" workbookViewId="0"/>
  </sheetViews>
  <sheetFormatPr defaultColWidth="9.1328125" defaultRowHeight="14.25" x14ac:dyDescent="0.45"/>
  <cols>
    <col min="1" max="1" width="7.86328125" style="2" customWidth="1"/>
    <col min="2" max="5" width="9.1328125" style="2"/>
    <col min="6" max="6" width="19.86328125" style="2" customWidth="1"/>
    <col min="7" max="7" width="10.33203125" style="2" customWidth="1"/>
    <col min="8" max="8" width="3.33203125" style="2" customWidth="1"/>
    <col min="9" max="9" width="7.86328125" style="2" customWidth="1"/>
    <col min="10" max="16384" width="9.1328125" style="2"/>
  </cols>
  <sheetData>
    <row r="1" spans="1:9" x14ac:dyDescent="0.45">
      <c r="A1" s="1"/>
      <c r="B1" s="1"/>
      <c r="C1" s="1"/>
      <c r="D1" s="1"/>
      <c r="E1" s="1"/>
      <c r="F1" s="1"/>
      <c r="G1" s="1"/>
      <c r="H1" s="1"/>
      <c r="I1" s="1"/>
    </row>
    <row r="2" spans="1:9" x14ac:dyDescent="0.4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45">
      <c r="A3" s="1"/>
      <c r="B3" s="87" t="s">
        <v>96</v>
      </c>
      <c r="C3" s="87"/>
      <c r="D3" s="87"/>
      <c r="E3" s="87"/>
      <c r="F3" s="87"/>
      <c r="G3" s="87"/>
      <c r="H3" s="87"/>
      <c r="I3" s="1"/>
    </row>
    <row r="4" spans="1:9" ht="15" customHeight="1" x14ac:dyDescent="0.45">
      <c r="A4" s="1"/>
      <c r="B4" s="87"/>
      <c r="C4" s="87"/>
      <c r="D4" s="87"/>
      <c r="E4" s="87"/>
      <c r="F4" s="87"/>
      <c r="G4" s="87"/>
      <c r="H4" s="87"/>
      <c r="I4" s="1"/>
    </row>
    <row r="5" spans="1:9" x14ac:dyDescent="0.45">
      <c r="A5" s="1"/>
      <c r="B5" s="1"/>
      <c r="C5" s="1"/>
      <c r="D5" s="1"/>
      <c r="E5" s="1"/>
      <c r="F5" s="1"/>
      <c r="G5" s="1"/>
      <c r="H5" s="1"/>
      <c r="I5" s="1"/>
    </row>
    <row r="6" spans="1:9" x14ac:dyDescent="0.45">
      <c r="A6" s="1"/>
      <c r="B6" s="1"/>
      <c r="C6" s="1"/>
      <c r="D6" s="1"/>
      <c r="E6" s="1"/>
      <c r="F6" s="1"/>
      <c r="G6" s="1"/>
      <c r="H6" s="1"/>
      <c r="I6" s="1"/>
    </row>
    <row r="7" spans="1:9" x14ac:dyDescent="0.45">
      <c r="A7" s="1"/>
      <c r="B7" s="1"/>
      <c r="C7" s="1"/>
      <c r="D7" s="1"/>
      <c r="E7" s="1"/>
      <c r="F7" s="1"/>
      <c r="G7" s="1"/>
      <c r="H7" s="1"/>
      <c r="I7" s="1"/>
    </row>
    <row r="8" spans="1:9" x14ac:dyDescent="0.45">
      <c r="A8" s="1"/>
      <c r="B8" s="95" t="s">
        <v>10</v>
      </c>
      <c r="C8" s="96"/>
      <c r="D8" s="96"/>
      <c r="E8" s="96"/>
      <c r="F8" s="96"/>
      <c r="G8" s="96"/>
      <c r="H8" s="97"/>
      <c r="I8" s="1"/>
    </row>
    <row r="9" spans="1:9" x14ac:dyDescent="0.45">
      <c r="A9" s="1"/>
      <c r="B9" s="104" t="s">
        <v>243</v>
      </c>
      <c r="C9" s="105"/>
      <c r="D9" s="105"/>
      <c r="E9" s="105"/>
      <c r="F9" s="106"/>
      <c r="G9" s="23">
        <v>0</v>
      </c>
      <c r="H9" s="14"/>
      <c r="I9" s="1"/>
    </row>
    <row r="10" spans="1:9" x14ac:dyDescent="0.45">
      <c r="A10" s="1"/>
      <c r="B10" s="104" t="s">
        <v>86</v>
      </c>
      <c r="C10" s="105"/>
      <c r="D10" s="105"/>
      <c r="E10" s="105"/>
      <c r="F10" s="106"/>
      <c r="G10" s="23">
        <v>7.5933249158708213E-3</v>
      </c>
      <c r="H10" s="14"/>
      <c r="I10" s="1"/>
    </row>
    <row r="11" spans="1:9" x14ac:dyDescent="0.45">
      <c r="A11" s="1"/>
      <c r="B11" s="104" t="s">
        <v>87</v>
      </c>
      <c r="C11" s="105"/>
      <c r="D11" s="105"/>
      <c r="E11" s="105"/>
      <c r="F11" s="106"/>
      <c r="G11" s="41">
        <v>0</v>
      </c>
      <c r="H11" s="14"/>
      <c r="I11" s="1"/>
    </row>
    <row r="12" spans="1:9" x14ac:dyDescent="0.45">
      <c r="A12" s="1"/>
      <c r="B12" s="104" t="s">
        <v>206</v>
      </c>
      <c r="C12" s="105"/>
      <c r="D12" s="105"/>
      <c r="E12" s="105"/>
      <c r="F12" s="106"/>
      <c r="G12" s="41">
        <v>9.8845864313645559E-3</v>
      </c>
      <c r="H12" s="46"/>
      <c r="I12" s="1"/>
    </row>
    <row r="13" spans="1:9" x14ac:dyDescent="0.45">
      <c r="A13" s="1"/>
      <c r="B13" s="38"/>
      <c r="C13" s="32"/>
      <c r="D13" s="32"/>
      <c r="E13" s="32"/>
      <c r="F13" s="32"/>
      <c r="G13" s="32"/>
      <c r="H13" s="20"/>
      <c r="I13" s="1"/>
    </row>
    <row r="14" spans="1:9" ht="40.5" customHeight="1" x14ac:dyDescent="0.45">
      <c r="A14" s="1"/>
      <c r="B14" s="115" t="s">
        <v>207</v>
      </c>
      <c r="C14" s="115"/>
      <c r="D14" s="115"/>
      <c r="E14" s="115"/>
      <c r="F14" s="115"/>
      <c r="G14" s="115"/>
      <c r="H14" s="115"/>
      <c r="I14" s="1"/>
    </row>
    <row r="15" spans="1:9" ht="14.25" customHeight="1" x14ac:dyDescent="0.45">
      <c r="A15" s="18"/>
      <c r="B15" s="115"/>
      <c r="C15" s="115"/>
      <c r="D15" s="115"/>
      <c r="E15" s="115"/>
      <c r="F15" s="115"/>
      <c r="G15" s="115"/>
      <c r="H15" s="115"/>
      <c r="I15" s="18"/>
    </row>
    <row r="16" spans="1:9" x14ac:dyDescent="0.4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4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4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4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4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4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4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4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4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4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4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4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4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4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4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4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4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4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4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4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4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4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4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4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4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4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4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4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4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4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4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4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4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45">
      <c r="A49" s="1"/>
      <c r="B49" s="1"/>
      <c r="C49" s="1"/>
      <c r="D49" s="1"/>
      <c r="E49" s="1"/>
      <c r="F49" s="1"/>
      <c r="G49" s="1"/>
      <c r="H49" s="1"/>
      <c r="I49" s="1"/>
    </row>
  </sheetData>
  <sheetProtection algorithmName="SHA-512" hashValue="ykF9MbS/cOF5dmFzNAWbgUuzZUwsLZTD6WLMfvRTJUFZXacSsTqyrZ5F+HGGLrKAw3h4DFGE+LPuBJRCP5KyjQ==" saltValue="djGECCvOI9dgGZHqM3+n8g==" spinCount="100000" sheet="1" objects="1" scenarios="1"/>
  <mergeCells count="8">
    <mergeCell ref="B3:H4"/>
    <mergeCell ref="B15:H15"/>
    <mergeCell ref="B8:H8"/>
    <mergeCell ref="B10:F10"/>
    <mergeCell ref="B11:F11"/>
    <mergeCell ref="B14:H14"/>
    <mergeCell ref="B12:F12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2022</vt:lpstr>
      <vt:lpstr>Fane 2.2. Økonomisk ramme 2023</vt:lpstr>
      <vt:lpstr>Fane 2.3. Økonomisk ramme 2024</vt:lpstr>
      <vt:lpstr>Fane 2.4. Økonomisk ramme 2025</vt:lpstr>
      <vt:lpstr>Fane 3. Omkostninger i ØR2021</vt:lpstr>
      <vt:lpstr>Fane 4.1. Gen. krav - drift</vt:lpstr>
      <vt:lpstr>Fane 4.2. Gen. krav - anlæg</vt:lpstr>
      <vt:lpstr>Fane 5. Individuelt eff. krav</vt:lpstr>
      <vt:lpstr>Fane 6. Ikke-påvirkelige omk.</vt:lpstr>
      <vt:lpstr>Fane 7. Kontrol af ØR2020</vt:lpstr>
      <vt:lpstr>Fane 8. Korrektion af ØR2020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Katrine Stagaard</cp:lastModifiedBy>
  <cp:lastPrinted>2016-06-14T12:57:30Z</cp:lastPrinted>
  <dcterms:created xsi:type="dcterms:W3CDTF">2016-06-02T08:51:18Z</dcterms:created>
  <dcterms:modified xsi:type="dcterms:W3CDTF">2021-09-08T21:21:14Z</dcterms:modified>
</cp:coreProperties>
</file>