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uldborgsund Vand AS (V07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9" i="32" l="1"/>
  <c r="C14" i="19" l="1"/>
  <c r="E41" i="32" l="1"/>
  <c r="E33" i="32" l="1"/>
  <c r="E16" i="27" l="1"/>
  <c r="E11" i="11" l="1"/>
  <c r="E12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3" i="11"/>
  <c r="C10" i="37" s="1"/>
  <c r="C11" i="37" s="1"/>
  <c r="G13" i="11"/>
  <c r="C12" i="37" l="1"/>
  <c r="C11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3" i="11"/>
  <c r="E10" i="37" s="1"/>
  <c r="E11" i="37" s="1"/>
  <c r="G35" i="30" l="1"/>
  <c r="G37" i="30" s="1"/>
  <c r="C19" i="2"/>
  <c r="E12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<sst xmlns="http://schemas.openxmlformats.org/spreadsheetml/2006/main" count="598" uniqueCount="253">
  <si>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</si>
  <si>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</si>
  <si>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</si>
  <si>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</si>
  <si>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</si>
  <si>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</si>
  <si>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</si>
  <si>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</si>
  <si>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</si>
  <si>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</si>
  <si>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</si>
  <si>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</si>
  <si>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</si>
  <si>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</si>
  <si>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</si>
  <si>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</si>
  <si>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</si>
  <si>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</si>
  <si>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</si>
  <si>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</si>
  <si>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</si>
  <si>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</si>
  <si>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</si>
  <si>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</si>
  <si>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</si>
  <si>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</si>
  <si>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</si>
  <si>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</si>
  <si>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</si>
  <si>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</si>
  <si>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</si>
  <si>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</si>
  <si>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</si>
  <si>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</si>
  <si>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</si>
  <si>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</si>
  <si>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</si>
  <si>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</si>
  <si>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</si>
  <si>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</si>
  <si>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</si>
  <si>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</si>
  <si>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</si>
  <si>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</si>
  <si>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</si>
  <si>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</si>
  <si>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</si>
  <si>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</si>
  <si>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</si>
  <si>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</si>
  <si>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</si>
  <si>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</si>
  <si>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</si>
  <si>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</si>
  <si>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</si>
  <si>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</si>
  <si>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</si>
  <si>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</si>
  <si>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</si>
  <si>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</si>
  <si>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</si>
  <si>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</si>
  <si>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</si>
  <si>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</si>
  <si>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</si>
  <si>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</si>
  <si>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</si>
  <si>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</si>
  <si>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</si>
  <si>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</si>
  <si>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</si>
  <si>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</si>
  <si>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</si>
  <si>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</si>
  <si>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</si>
  <si>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</si>
  <si>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</si>
  <si>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</si>
  <si>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</si>
  <si>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</si>
  <si>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</si>
  <si>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</si>
  <si>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</si>
  <si>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</si>
  <si>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</si>
  <si>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</si>
  <si>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</si>
  <si>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</si>
  <si>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</si>
  <si>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</si>
  <si>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</si>
  <si>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</si>
  <si>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</si>
  <si>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</si>
  <si>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</si>
  <si>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</si>
  <si>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</si>
  <si>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</si>
  <si>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</si>
  <si>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</si>
  <si>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</si>
  <si>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</si>
  <si>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</si>
  <si>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</si>
  <si>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</si>
  <si>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</si>
  <si>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</si>
  <si>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</si>
  <si>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</si>
  <si>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</si>
  <si>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</si>
  <si>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</si>
  <si>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</si>
  <si>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</si>
  <si>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</si>
  <si>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</si>
  <si>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</si>
  <si>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</si>
  <si>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</si>
  <si>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</si>
  <si>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</si>
  <si>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</si>
  <si>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</si>
  <si>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</si>
  <si>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</si>
  <si>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</si>
  <si>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</si>
  <si>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</si>
  <si>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</si>
  <si>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</si>
  <si>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</si>
  <si>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</si>
  <si>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</si>
  <si>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</si>
  <si>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</si>
  <si>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</si>
  <si>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</si>
  <si>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</si>
  <si>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</si>
  <si>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</si>
  <si>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</si>
  <si>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</si>
  <si>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</si>
  <si>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</si>
  <si>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</si>
  <si>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</si>
  <si>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</si>
  <si>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</si>
  <si>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</si>
  <si>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</si>
  <si>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</si>
  <si>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</si>
  <si>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</si>
  <si>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</si>
  <si>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</si>
  <si>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</si>
  <si>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</si>
  <si>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</si>
  <si>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</si>
  <si>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</si>
  <si>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</si>
  <si>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</si>
  <si>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</si>
  <si>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</si>
  <si>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</si>
  <si>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</si>
  <si>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</si>
  <si>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</si>
  <si>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</si>
  <si>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</si>
  <si>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</si>
  <si>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</si>
  <si>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</si>
  <si>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</si>
  <si>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</si>
  <si>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</si>
  <si>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</si>
  <si>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</si>
  <si>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</si>
  <si>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</si>
  <si>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</si>
  <si>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</si>
  <si>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</si>
  <si>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</si>
  <si>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</si>
  <si>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</si>
  <si>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</si>
  <si>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</si>
  <si>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</si>
  <si>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</si>
  <si>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</si>
  <si>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</si>
  <si>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</si>
  <si>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</si>
  <si>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</si>
  <si>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</si>
  <si>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</si>
  <si>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</si>
  <si>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</si>
  <si>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</si>
  <si>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</si>
  <si>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</si>
  <si>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</si>
  <si>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</si>
  <si>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</si>
  <si>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</si>
  <si>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</si>
  <si>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</si>
  <si>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</si>
  <si>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</si>
  <si>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</si>
  <si>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</si>
  <si>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</si>
  <si>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</si>
  <si>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</si>
  <si>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</si>
  <si>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</si>
  <si>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</si>
  <si>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</si>
  <si>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</si>
  <si>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</si>
  <si>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</si>
  <si>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</si>
  <si>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</si>
  <si>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</si>
  <si>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</si>
  <si>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</si>
  <si>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</si>
  <si>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</si>
  <si>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</si>
  <si>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</si>
  <si>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</si>
  <si>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</si>
  <si>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</si>
  <si>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</si>
  <si>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</si>
  <si>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</si>
  <si>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Ingen tilknyttet virksomhed</t>
  </si>
  <si>
    <t>Ingen bortfald eller nedsættelse</t>
  </si>
  <si>
    <t>Ingen engangstillæg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</si>
  <si>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</si>
  <si>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</si>
  <si>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</si>
  <si>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</si>
  <si>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</si>
  <si>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SRO-brønd/kvarterbrønd/sektionsbrønd, Konstruktioner</t>
  </si>
  <si>
    <t>50</t>
  </si>
  <si>
    <t>SRO-brønd/kvarterbrønd/sektionsbrønd, Mek./EL</t>
  </si>
  <si>
    <t>15</t>
  </si>
  <si>
    <t>SRO-brønd/kvarterbrønd/sektionsbrønd, SRO</t>
  </si>
  <si>
    <t>10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</si>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</sst>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2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2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2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NQZsVcKY7BCBjF+RS8fT3eDaQNVQDvBj+kHJZWEKSlnajcspymLE97NBctR8DWQvPlYsDrFceqK3y7pUwZTDw==" saltValue="FAt6Y6unxglirXQx/2wkl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7" t="s">
        <v>35</v>
      </c>
      <c r="C9" s="11" t="s">
        <v>171</v>
      </c>
      <c r="D9" s="11"/>
      <c r="E9" s="1"/>
      <c r="F9" s="1"/>
    </row>
    <row r="10" spans="1:6" x14ac:dyDescent="0.25">
      <c r="A10" s="1"/>
      <c r="B10" s="50" t="s">
        <v>234</v>
      </c>
      <c r="C10" s="9">
        <v>8534947</v>
      </c>
      <c r="D10" s="14" t="s">
        <v>3</v>
      </c>
      <c r="E10" s="1"/>
      <c r="F10" s="1"/>
    </row>
    <row r="11" spans="1:6" x14ac:dyDescent="0.25">
      <c r="A11" s="1"/>
      <c r="B11" s="50" t="s">
        <v>235</v>
      </c>
      <c r="C11" s="9">
        <v>61759</v>
      </c>
      <c r="D11" s="14" t="s">
        <v>3</v>
      </c>
      <c r="E11" s="1"/>
      <c r="F11" s="1"/>
    </row>
    <row r="12" spans="1:6" x14ac:dyDescent="0.25">
      <c r="A12" s="1"/>
      <c r="B12" s="50" t="s">
        <v>236</v>
      </c>
      <c r="C12" s="9">
        <v>2574</v>
      </c>
      <c r="D12" s="14" t="s">
        <v>3</v>
      </c>
      <c r="E12" s="1"/>
      <c r="F12" s="1"/>
    </row>
    <row r="13" spans="1:6" x14ac:dyDescent="0.25">
      <c r="A13" s="1"/>
      <c r="B13" s="46" t="s">
        <v>244</v>
      </c>
      <c r="C13" s="9">
        <v>453572.59093891375</v>
      </c>
      <c r="D13" s="14" t="s">
        <v>3</v>
      </c>
      <c r="E13" s="1"/>
      <c r="F13" s="1"/>
    </row>
    <row r="14" spans="1:6" x14ac:dyDescent="0.25">
      <c r="A14" s="1"/>
      <c r="B14" s="41" t="s">
        <v>169</v>
      </c>
      <c r="C14" s="12">
        <f>SUM(C10:C13)</f>
        <v>9052852.5909389146</v>
      </c>
      <c r="D14" s="13" t="s">
        <v>3</v>
      </c>
      <c r="E14" s="1"/>
      <c r="F14" s="1"/>
    </row>
    <row r="15" spans="1:6" x14ac:dyDescent="0.25">
      <c r="A15" s="1"/>
      <c r="B15" s="41" t="s">
        <v>170</v>
      </c>
      <c r="C15" s="12">
        <f>C14*(1+'Fane 12. Nøgletal'!C13)^2</f>
        <v>9275089.6207374595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aFCblyoLn9ojrPMVOaZ6l6YVG3uszipvYRW4Xz7jCUKWToQMnJah8SM6NKXjvlCnQ+fqDOyR4f/gyFN16GTQeg==" saltValue="fqD+9Ciwq7TlyGvIoJXYr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-39835.532566666661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-1488457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-1528292.5325666666</v>
      </c>
      <c r="F9" s="17" t="s">
        <v>3</v>
      </c>
      <c r="G9" s="1"/>
    </row>
    <row r="10" spans="1:7" ht="15" customHeight="1" x14ac:dyDescent="0.25">
      <c r="A10" s="1"/>
      <c r="B10" s="41"/>
      <c r="C10" s="42"/>
      <c r="D10" s="42"/>
      <c r="E10" s="42"/>
      <c r="F10" s="20"/>
      <c r="G10" s="1"/>
    </row>
    <row r="11" spans="1:7" ht="28.5" customHeight="1" x14ac:dyDescent="0.2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28124365.702772293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29183103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-1058737.2972277068</v>
      </c>
      <c r="F17" s="17" t="s">
        <v>3</v>
      </c>
      <c r="G17" s="1"/>
    </row>
    <row r="18" spans="1:7" x14ac:dyDescent="0.25">
      <c r="A18" s="1"/>
      <c r="B18" s="41"/>
      <c r="C18" s="42"/>
      <c r="D18" s="42"/>
      <c r="E18" s="42"/>
      <c r="F18" s="20"/>
      <c r="G18" s="1"/>
    </row>
    <row r="19" spans="1:7" ht="30" customHeight="1" x14ac:dyDescent="0.2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26994648.94529514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27155809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-161160.05470485985</v>
      </c>
      <c r="F25" s="17" t="s">
        <v>3</v>
      </c>
      <c r="G25" s="1"/>
    </row>
    <row r="26" spans="1:7" x14ac:dyDescent="0.25">
      <c r="A26" s="1"/>
      <c r="B26" s="41"/>
      <c r="C26" s="42"/>
      <c r="D26" s="42"/>
      <c r="E26" s="42"/>
      <c r="F26" s="20"/>
      <c r="G26" s="1"/>
    </row>
    <row r="27" spans="1:7" ht="28.5" customHeight="1" x14ac:dyDescent="0.2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25699676.87928997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25920774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-221097.1207100302</v>
      </c>
      <c r="F33" s="17" t="s">
        <v>3</v>
      </c>
      <c r="G33" s="1"/>
    </row>
    <row r="34" spans="1:7" x14ac:dyDescent="0.25">
      <c r="A34" s="1"/>
      <c r="B34" s="41"/>
      <c r="C34" s="42"/>
      <c r="D34" s="42"/>
      <c r="E34" s="42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251</v>
      </c>
      <c r="C37" s="111"/>
      <c r="D37" s="112"/>
      <c r="E37" s="9">
        <v>0</v>
      </c>
      <c r="F37" s="14"/>
      <c r="G37" s="1"/>
    </row>
    <row r="38" spans="1:7" x14ac:dyDescent="0.25">
      <c r="A38" s="1"/>
      <c r="B38" s="110" t="s">
        <v>252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-382257.17541489005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-191128.58770744503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SISXb0VFA8MRrFYbqAcKMrCZ/rzkeTXysxj2mhSmaCkh4nBloWvWjrRx9YGf3Yr2t4a4Q6gY0sruYp5mcMldWA==" saltValue="XeoQKXMO/so1++qGmaUxU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6.7109375" style="2" customWidth="1"/>
    <col min="4" max="4" width="14.42578125" style="2" customWidth="1"/>
    <col min="5" max="5" width="9.7109375" style="2" customWidth="1"/>
    <col min="6" max="6" width="10.140625" style="2" customWidth="1"/>
    <col min="7" max="7" width="10.57031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4"/>
      <c r="I9" s="1"/>
    </row>
    <row r="10" spans="1:9" ht="39" x14ac:dyDescent="0.25">
      <c r="A10" s="1"/>
      <c r="B10" s="53" t="s">
        <v>245</v>
      </c>
      <c r="C10" s="54" t="s">
        <v>246</v>
      </c>
      <c r="D10" s="9">
        <v>1764182.08</v>
      </c>
      <c r="E10" s="9">
        <f>IFERROR(D10/C10,0)</f>
        <v>35283.641600000003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53" t="s">
        <v>247</v>
      </c>
      <c r="C11" s="54" t="s">
        <v>248</v>
      </c>
      <c r="D11" s="9">
        <v>314164.28999999998</v>
      </c>
      <c r="E11" s="9">
        <f t="shared" ref="E11:E12" si="0">IFERROR(D11/C11,0)</f>
        <v>20944.286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53" t="s">
        <v>249</v>
      </c>
      <c r="C12" s="54" t="s">
        <v>250</v>
      </c>
      <c r="D12" s="9">
        <v>268023.28000000003</v>
      </c>
      <c r="E12" s="9">
        <f t="shared" si="0"/>
        <v>26802.328000000001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96" t="s">
        <v>198</v>
      </c>
      <c r="C13" s="97"/>
      <c r="D13" s="98"/>
      <c r="E13" s="12">
        <f>SUM(E10:E12)</f>
        <v>83030.255600000004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CmaUQ1qUyfU+C1DdlHFqQ14WKwtkZNuWj3hq4pNdFnNqCK24NJEgwO/DpR0ILDvQHpKB3b5k98pNjHvdy3xhw==" saltValue="M03BXF6KSFNAFEAyaA//O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94</v>
      </c>
      <c r="C8" s="42"/>
      <c r="D8" s="42"/>
      <c r="E8" s="42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34</v>
      </c>
      <c r="F9" s="44"/>
      <c r="G9" s="1"/>
    </row>
    <row r="10" spans="1:7" x14ac:dyDescent="0.25">
      <c r="A10" s="1"/>
      <c r="B10" s="25" t="s">
        <v>44</v>
      </c>
      <c r="C10" s="22">
        <f>'Fane 8. Anlægsprojekter'!F13</f>
        <v>0</v>
      </c>
      <c r="D10" s="14" t="s">
        <v>3</v>
      </c>
      <c r="E10" s="9">
        <f>SUM('Fane 8. Anlægsprojekter'!E13,'Fane 8. Anlægsprojekter'!G13)</f>
        <v>83030.255600000004</v>
      </c>
      <c r="F10" s="14" t="s">
        <v>3</v>
      </c>
      <c r="G10" s="1"/>
    </row>
    <row r="11" spans="1:7" x14ac:dyDescent="0.25">
      <c r="A11" s="1"/>
      <c r="B11" s="41" t="s">
        <v>48</v>
      </c>
      <c r="C11" s="12">
        <f>SUM(C10:C10)</f>
        <v>0</v>
      </c>
      <c r="D11" s="13" t="s">
        <v>3</v>
      </c>
      <c r="E11" s="12">
        <f>SUM(E10:E10)</f>
        <v>83030.255600000004</v>
      </c>
      <c r="F11" s="13" t="s">
        <v>3</v>
      </c>
      <c r="G11" s="1"/>
    </row>
    <row r="12" spans="1:7" x14ac:dyDescent="0.25">
      <c r="A12" s="1"/>
      <c r="B12" s="41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84043.224718320009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0qFcfCPIKPOvbItuMuLi7TuN4bVnohJf5aqh5aI5HfwAZADBsX48qUoP8wFlRRU7aWCLI0qN4gFszq9kV+Ackw==" saltValue="flHIqvgryMTWvmSKLxP0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34</v>
      </c>
      <c r="F9" s="44"/>
      <c r="G9" s="1"/>
    </row>
    <row r="10" spans="1:7" x14ac:dyDescent="0.25">
      <c r="A10" s="1"/>
      <c r="B10" s="25" t="s">
        <v>239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1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1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34</v>
      </c>
      <c r="F17" s="44"/>
      <c r="G17" s="1"/>
    </row>
    <row r="18" spans="1:7" x14ac:dyDescent="0.25">
      <c r="A18" s="1"/>
      <c r="B18" s="25" t="s">
        <v>239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1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1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34</v>
      </c>
      <c r="F25" s="44"/>
      <c r="G25" s="1"/>
    </row>
    <row r="26" spans="1:7" x14ac:dyDescent="0.25">
      <c r="A26" s="1"/>
      <c r="B26" s="25" t="s">
        <v>239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1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1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34</v>
      </c>
      <c r="F33" s="44"/>
      <c r="G33" s="1"/>
    </row>
    <row r="34" spans="1:7" x14ac:dyDescent="0.25">
      <c r="A34" s="1"/>
      <c r="B34" s="25" t="s">
        <v>239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1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1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RltzGkofd4S2Oo13wp4sF7gK9I+EtRgmkBnaWKeoMHatddC4JBqZY/5kQXfSI+M5AVWLV6c/ZPJVqX4gBkkHw==" saltValue="hjAI2fsuTLMRLNp/ACgaG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3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2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SywlPtt3Myovrfkip/OHpyxJE+wUo8f93IRuonyvhUceVI/paPd1fNUkpfRhDWNo7iMZIEf+4eoUkQxTwJTmGA==" saltValue="AtwJKZSOop2jG/jacCunA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34</v>
      </c>
      <c r="F9" s="44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1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1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3" t="s">
        <v>17</v>
      </c>
      <c r="C16" s="43" t="s">
        <v>11</v>
      </c>
      <c r="D16" s="44"/>
      <c r="E16" s="43" t="s">
        <v>34</v>
      </c>
      <c r="F16" s="44"/>
      <c r="G16" s="1"/>
    </row>
    <row r="17" spans="1:7" x14ac:dyDescent="0.2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1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1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3" t="s">
        <v>17</v>
      </c>
      <c r="C23" s="43" t="s">
        <v>11</v>
      </c>
      <c r="D23" s="44"/>
      <c r="E23" s="43" t="s">
        <v>34</v>
      </c>
      <c r="F23" s="44"/>
      <c r="G23" s="1"/>
    </row>
    <row r="24" spans="1:7" x14ac:dyDescent="0.2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1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1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3" t="s">
        <v>17</v>
      </c>
      <c r="C30" s="43" t="s">
        <v>11</v>
      </c>
      <c r="D30" s="44"/>
      <c r="E30" s="43" t="s">
        <v>34</v>
      </c>
      <c r="F30" s="44"/>
      <c r="G30" s="1"/>
    </row>
    <row r="31" spans="1:7" x14ac:dyDescent="0.2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1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1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GEeuB5iD6jpasIB5NNzY3gfy3JClevFMjUSIS9b6pElPuCH/CdZuQX8qgEigcgYwa6cZ2xG15xlfFXPchOChw==" saltValue="nqhW9Z3cwvzPJfccemTU5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211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1" t="s">
        <v>14</v>
      </c>
      <c r="C8" s="20"/>
      <c r="D8" s="1"/>
    </row>
    <row r="9" spans="1:4" x14ac:dyDescent="0.25">
      <c r="A9" s="1"/>
      <c r="B9" s="50" t="s">
        <v>141</v>
      </c>
      <c r="C9" s="26">
        <v>1.2699999999999999E-2</v>
      </c>
      <c r="D9" s="1"/>
    </row>
    <row r="10" spans="1:4" x14ac:dyDescent="0.25">
      <c r="A10" s="1"/>
      <c r="B10" s="50" t="s">
        <v>22</v>
      </c>
      <c r="C10" s="26">
        <v>1.7500000000000002E-2</v>
      </c>
      <c r="D10" s="1"/>
    </row>
    <row r="11" spans="1:4" x14ac:dyDescent="0.25">
      <c r="A11" s="1"/>
      <c r="B11" s="50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1" t="s">
        <v>126</v>
      </c>
      <c r="C17" s="20"/>
      <c r="D17" s="1"/>
    </row>
    <row r="18" spans="1:4" x14ac:dyDescent="0.25">
      <c r="A18" s="1"/>
      <c r="B18" s="50" t="s">
        <v>143</v>
      </c>
      <c r="C18" s="23">
        <v>9.1000000000000004E-3</v>
      </c>
      <c r="D18" s="1"/>
    </row>
    <row r="19" spans="1:4" x14ac:dyDescent="0.25">
      <c r="A19" s="1"/>
      <c r="B19" s="50" t="s">
        <v>144</v>
      </c>
      <c r="C19" s="23">
        <v>1.77E-2</v>
      </c>
      <c r="D19" s="1"/>
    </row>
    <row r="20" spans="1:4" x14ac:dyDescent="0.25">
      <c r="A20" s="1"/>
      <c r="B20" s="50" t="s">
        <v>145</v>
      </c>
      <c r="C20" s="23">
        <v>8.6999999999999994E-3</v>
      </c>
      <c r="D20" s="1"/>
    </row>
    <row r="21" spans="1:4" x14ac:dyDescent="0.25">
      <c r="A21" s="1"/>
      <c r="B21" s="50" t="s">
        <v>146</v>
      </c>
      <c r="C21" s="36">
        <v>2.8400000000000002E-2</v>
      </c>
      <c r="D21" s="1"/>
    </row>
    <row r="22" spans="1:4" x14ac:dyDescent="0.25">
      <c r="A22" s="1"/>
      <c r="B22" s="50" t="s">
        <v>186</v>
      </c>
      <c r="C22" s="36">
        <v>2.75E-2</v>
      </c>
      <c r="D22" s="1"/>
    </row>
    <row r="23" spans="1:4" x14ac:dyDescent="0.25">
      <c r="A23" s="1"/>
      <c r="B23" s="41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1" t="s">
        <v>127</v>
      </c>
      <c r="C26" s="20"/>
      <c r="D26" s="1"/>
    </row>
    <row r="27" spans="1:4" x14ac:dyDescent="0.25">
      <c r="A27" s="1"/>
      <c r="B27" s="50" t="s">
        <v>147</v>
      </c>
      <c r="C27" s="26">
        <v>0.02</v>
      </c>
      <c r="D27" s="1"/>
    </row>
    <row r="28" spans="1:4" x14ac:dyDescent="0.25">
      <c r="A28" s="1"/>
      <c r="B28" s="41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HXUOAsRw0wUSyQkfvhnV/FHPiNXewNltzKWt/GeXyGj5SuRP+v2ShR7Hlgrgc0e6lNmJ/wH3ezJReJmEeBMhrA==" saltValue="Gv958/X56oVyI5JVWE+vV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13</v>
      </c>
      <c r="C8" s="42"/>
      <c r="D8" s="20"/>
      <c r="E8" s="1"/>
    </row>
    <row r="9" spans="1:5" x14ac:dyDescent="0.25">
      <c r="A9" s="1"/>
      <c r="B9" s="46" t="s">
        <v>25</v>
      </c>
      <c r="C9" s="7">
        <f>'Fane 3. Omkostninger i ØR2020'!E20</f>
        <v>18186036.841718204</v>
      </c>
      <c r="D9" s="8" t="s">
        <v>3</v>
      </c>
      <c r="E9" s="1"/>
    </row>
    <row r="10" spans="1:5" x14ac:dyDescent="0.25">
      <c r="A10" s="1"/>
      <c r="B10" s="46" t="s">
        <v>241</v>
      </c>
      <c r="C10" s="7">
        <v>-46112.283876262183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tillæg'!C12</f>
        <v>0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tillæg'!E12</f>
        <v>84043.224718320009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222332.40694723523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-223196.0633900979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-144685.44084677316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-353389.97522424615</v>
      </c>
      <c r="D20" s="8" t="s">
        <v>3</v>
      </c>
      <c r="E20" s="1"/>
    </row>
    <row r="21" spans="1:5" ht="17.100000000000001" customHeight="1" x14ac:dyDescent="0.25">
      <c r="A21" s="1"/>
      <c r="B21" s="51" t="s">
        <v>20</v>
      </c>
      <c r="C21" s="10">
        <f>SUM(C9:C20)</f>
        <v>17725028.710046381</v>
      </c>
      <c r="D21" s="11" t="s">
        <v>3</v>
      </c>
      <c r="E21" s="1"/>
    </row>
    <row r="22" spans="1:5" ht="15" customHeight="1" x14ac:dyDescent="0.25">
      <c r="A22" s="1"/>
      <c r="B22" s="41" t="s">
        <v>12</v>
      </c>
      <c r="C22" s="42"/>
      <c r="D22" s="20"/>
      <c r="E22" s="1"/>
    </row>
    <row r="23" spans="1:5" ht="15" customHeight="1" x14ac:dyDescent="0.25">
      <c r="A23" s="1"/>
      <c r="B23" s="43" t="s">
        <v>12</v>
      </c>
      <c r="C23" s="10">
        <f>'Fane 6. Ikke-påvirkelige omk.'!C15</f>
        <v>9275089.6207374595</v>
      </c>
      <c r="D23" s="11" t="s">
        <v>3</v>
      </c>
      <c r="E23" s="1"/>
    </row>
    <row r="24" spans="1:5" ht="15" customHeight="1" x14ac:dyDescent="0.25">
      <c r="A24" s="1"/>
      <c r="B24" s="41" t="s">
        <v>99</v>
      </c>
      <c r="C24" s="42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2"/>
      <c r="D28" s="20"/>
      <c r="E28" s="1"/>
    </row>
    <row r="29" spans="1:5" x14ac:dyDescent="0.25">
      <c r="A29" s="1"/>
      <c r="B29" s="39" t="s">
        <v>205</v>
      </c>
      <c r="C29" s="10">
        <f>'Fane 7. Kontrol af ØR2019'!E41</f>
        <v>-191128.58770744503</v>
      </c>
      <c r="D29" s="11" t="s">
        <v>3</v>
      </c>
      <c r="E29" s="1"/>
    </row>
    <row r="30" spans="1:5" x14ac:dyDescent="0.25">
      <c r="A30" s="1"/>
      <c r="B30" s="38" t="s">
        <v>242</v>
      </c>
      <c r="C30" s="42"/>
      <c r="D30" s="20"/>
      <c r="E30" s="1"/>
    </row>
    <row r="31" spans="1:5" x14ac:dyDescent="0.25">
      <c r="A31" s="1"/>
      <c r="B31" s="39" t="s">
        <v>243</v>
      </c>
      <c r="C31" s="10">
        <v>1638.1883530606901</v>
      </c>
      <c r="D31" s="11" t="s">
        <v>3</v>
      </c>
      <c r="E31" s="1"/>
    </row>
    <row r="32" spans="1:5" x14ac:dyDescent="0.25">
      <c r="A32" s="1"/>
      <c r="B32" s="41" t="s">
        <v>31</v>
      </c>
      <c r="C32" s="32">
        <f>SUM(C21,C23,C27,C29,C31)</f>
        <v>26810627.931429457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lWMT9K1MgLsM2CZqVtnGY2jTY45Hs9XOZ0DG/mY67e+zSMs2252GFHHJ91+GlKa/gMQ253ilSHBtCoM78CnFg==" saltValue="d2nSfa73Hmloahq4TjbM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13</v>
      </c>
      <c r="C8" s="42"/>
      <c r="D8" s="20"/>
      <c r="E8" s="1"/>
    </row>
    <row r="9" spans="1:5" ht="15" customHeight="1" x14ac:dyDescent="0.25">
      <c r="A9" s="1"/>
      <c r="B9" s="46" t="s">
        <v>26</v>
      </c>
      <c r="C9" s="7">
        <f>'Fane 2.1. Økonomisk ramme 2021'!C21</f>
        <v>17725028.710046381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0" t="s">
        <v>18</v>
      </c>
      <c r="C12" s="9">
        <f>SUM(C9:C11)*'Fane 12. Nøgletal'!C13</f>
        <v>216245.35026256586</v>
      </c>
      <c r="D12" s="8" t="s">
        <v>3</v>
      </c>
      <c r="E12" s="1"/>
    </row>
    <row r="13" spans="1:5" ht="15" customHeight="1" x14ac:dyDescent="0.25">
      <c r="A13" s="1"/>
      <c r="B13" s="40" t="s">
        <v>9</v>
      </c>
      <c r="C13" s="9">
        <f>-SUM(C9:C12)*'Fane 5. Individuelt eff. krav'!G10</f>
        <v>-217085.36136377111</v>
      </c>
      <c r="D13" s="8" t="s">
        <v>3</v>
      </c>
      <c r="E13" s="1"/>
    </row>
    <row r="14" spans="1:5" ht="15" customHeight="1" x14ac:dyDescent="0.25">
      <c r="A14" s="1"/>
      <c r="B14" s="40" t="s">
        <v>27</v>
      </c>
      <c r="C14" s="9">
        <f>-'Fane 4.1. Gen. krav - drift'!G37</f>
        <v>-143521.5911606017</v>
      </c>
      <c r="D14" s="8" t="s">
        <v>3</v>
      </c>
      <c r="E14" s="1"/>
    </row>
    <row r="15" spans="1:5" ht="15" customHeight="1" x14ac:dyDescent="0.25">
      <c r="A15" s="1"/>
      <c r="B15" s="40" t="s">
        <v>28</v>
      </c>
      <c r="C15" s="9">
        <f>-'Fane 4.2. Gen. krav - anlæg'!G37</f>
        <v>-347864.54626662744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17232802.561517946</v>
      </c>
      <c r="D16" s="11" t="s">
        <v>3</v>
      </c>
      <c r="E16" s="1"/>
    </row>
    <row r="17" spans="1:5" x14ac:dyDescent="0.25">
      <c r="A17" s="1"/>
      <c r="B17" s="41" t="s">
        <v>12</v>
      </c>
      <c r="C17" s="42"/>
      <c r="D17" s="20"/>
      <c r="E17" s="1"/>
    </row>
    <row r="18" spans="1:5" ht="15" customHeight="1" x14ac:dyDescent="0.25">
      <c r="A18" s="1"/>
      <c r="B18" s="43" t="s">
        <v>12</v>
      </c>
      <c r="C18" s="10">
        <f>'Fane 6. Ikke-påvirkelige omk.'!C15*(1+'Fane 12. Nøgletal'!C13)</f>
        <v>9388245.7141104564</v>
      </c>
      <c r="D18" s="11" t="s">
        <v>3</v>
      </c>
      <c r="E18" s="1"/>
    </row>
    <row r="19" spans="1:5" ht="15" customHeight="1" x14ac:dyDescent="0.25">
      <c r="A19" s="1"/>
      <c r="B19" s="41" t="s">
        <v>99</v>
      </c>
      <c r="C19" s="42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2"/>
      <c r="D23" s="20"/>
      <c r="E23" s="1"/>
    </row>
    <row r="24" spans="1:5" ht="15" customHeight="1" x14ac:dyDescent="0.25">
      <c r="A24" s="1"/>
      <c r="B24" s="52" t="s">
        <v>205</v>
      </c>
      <c r="C24" s="10">
        <f>'Fane 7. Kontrol af ØR2019'!E41</f>
        <v>-191128.58770744503</v>
      </c>
      <c r="D24" s="11" t="s">
        <v>3</v>
      </c>
      <c r="E24" s="1"/>
    </row>
    <row r="25" spans="1:5" x14ac:dyDescent="0.25">
      <c r="A25" s="1"/>
      <c r="B25" s="41" t="s">
        <v>32</v>
      </c>
      <c r="C25" s="12">
        <f>SUM(C16,C18,C22,C24)</f>
        <v>26429919.687920958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96EFPgot3kKaJkWaFHI24Z4tk12zePb6cbPfQeEz8Q2paRxHvILjLi4F13zPsOq/gkkKQtvJ0Okj3GxigAfH/g==" saltValue="ofFwJy+IFjRI0uGcK2q2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1" t="s">
        <v>13</v>
      </c>
      <c r="C7" s="42"/>
      <c r="D7" s="20"/>
      <c r="E7" s="1"/>
    </row>
    <row r="8" spans="1:5" ht="15" customHeight="1" x14ac:dyDescent="0.25">
      <c r="A8" s="1"/>
      <c r="B8" s="46" t="s">
        <v>165</v>
      </c>
      <c r="C8" s="7">
        <f>'Fane 2.2. Økonomisk ramme 2022'!C16</f>
        <v>17232802.561517946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210240.19125051895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-211056.87514386285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drift'!G43</f>
        <v>-142367.10348130582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anlæg'!G43</f>
        <v>-342425.51015347562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16747193.263989817</v>
      </c>
      <c r="D15" s="11" t="s">
        <v>3</v>
      </c>
      <c r="E15" s="1"/>
    </row>
    <row r="16" spans="1:5" x14ac:dyDescent="0.25">
      <c r="A16" s="1"/>
      <c r="B16" s="41" t="s">
        <v>12</v>
      </c>
      <c r="C16" s="42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omk.'!C15*(1+'Fane 12. Nøgletal'!C13)^2</f>
        <v>9502782.3118226044</v>
      </c>
      <c r="D17" s="11" t="s">
        <v>3</v>
      </c>
      <c r="E17" s="1"/>
    </row>
    <row r="18" spans="1:5" ht="15" customHeight="1" x14ac:dyDescent="0.25">
      <c r="A18" s="1"/>
      <c r="B18" s="41" t="s">
        <v>99</v>
      </c>
      <c r="C18" s="42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1" t="s">
        <v>109</v>
      </c>
      <c r="C22" s="12">
        <f>SUM(C15,C17,C21)</f>
        <v>26249975.575812422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AqrjgIL/KZFWL5jae6W7y6a1WrK/86qoDQHvdz9kR1llZIxSiePXwR6LHRdbHkAfs/Ie664wjISop40Anqhsw==" saltValue="i2sP3eok28Mag0vN3nLiY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1" t="s">
        <v>13</v>
      </c>
      <c r="C7" s="42"/>
      <c r="D7" s="20"/>
      <c r="E7" s="1"/>
    </row>
    <row r="8" spans="1:5" ht="15" customHeight="1" x14ac:dyDescent="0.25">
      <c r="A8" s="1"/>
      <c r="B8" s="46" t="s">
        <v>166</v>
      </c>
      <c r="C8" s="7">
        <f>'Fane 2.3. Økonomisk ramme 2023'!C15</f>
        <v>16747193.263989817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204315.75782067579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-205109.4280869365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drift'!G49</f>
        <v>-141221.90250090219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anlæg'!G49</f>
        <v>-337071.51608947094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16268106.175133185</v>
      </c>
      <c r="D15" s="11" t="s">
        <v>3</v>
      </c>
      <c r="E15" s="1"/>
    </row>
    <row r="16" spans="1:5" x14ac:dyDescent="0.25">
      <c r="A16" s="1"/>
      <c r="B16" s="41" t="s">
        <v>12</v>
      </c>
      <c r="C16" s="42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omk.'!C15*(1+'Fane 12. Nøgletal'!C13)^3</f>
        <v>9618716.2560268398</v>
      </c>
      <c r="D17" s="11" t="s">
        <v>3</v>
      </c>
      <c r="E17" s="1"/>
    </row>
    <row r="18" spans="1:5" ht="15" customHeight="1" x14ac:dyDescent="0.25">
      <c r="A18" s="1"/>
      <c r="B18" s="41" t="s">
        <v>99</v>
      </c>
      <c r="C18" s="42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1" t="s">
        <v>240</v>
      </c>
      <c r="C22" s="12">
        <f>SUM(C15,C17,C21)</f>
        <v>25886822.431160025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Z23rpZr2L4xnxWOoJLCnrvqoOIrSt1xoHRBpFgmbHibg0TakG8utyqj3wTgRbBKVazS16jPcz2LKQ075thrlWQ==" saltValue="dTjtIlT/TP8lADutjqwdF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167</v>
      </c>
      <c r="C8" s="42"/>
      <c r="D8" s="42"/>
      <c r="E8" s="42"/>
      <c r="F8" s="20"/>
      <c r="G8" s="1"/>
    </row>
    <row r="9" spans="1:7" x14ac:dyDescent="0.25">
      <c r="A9" s="1"/>
      <c r="B9" s="93" t="s">
        <v>23</v>
      </c>
      <c r="C9" s="94"/>
      <c r="D9" s="95"/>
      <c r="E9" s="7">
        <v>18506203.894395057</v>
      </c>
      <c r="F9" s="8" t="s">
        <v>3</v>
      </c>
      <c r="G9" s="1"/>
    </row>
    <row r="10" spans="1:7" ht="15" customHeight="1" x14ac:dyDescent="0.25">
      <c r="A10" s="1"/>
      <c r="B10" s="78" t="s">
        <v>45</v>
      </c>
      <c r="C10" s="79"/>
      <c r="D10" s="80"/>
      <c r="E10" s="7">
        <v>0</v>
      </c>
      <c r="F10" s="8" t="s">
        <v>3</v>
      </c>
      <c r="G10" s="1"/>
    </row>
    <row r="11" spans="1:7" ht="15" customHeight="1" x14ac:dyDescent="0.25">
      <c r="A11" s="1"/>
      <c r="B11" s="78" t="s">
        <v>46</v>
      </c>
      <c r="C11" s="79"/>
      <c r="D11" s="80"/>
      <c r="E11" s="9">
        <v>0</v>
      </c>
      <c r="F11" s="8" t="s">
        <v>3</v>
      </c>
      <c r="G11" s="1"/>
    </row>
    <row r="12" spans="1:7" x14ac:dyDescent="0.2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2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18</v>
      </c>
      <c r="C16" s="79"/>
      <c r="D16" s="80"/>
      <c r="E16" s="9">
        <f>E9*'Fane 12. Nøgletal'!C11+SUM(E10:E15)*'Fane 12. Nøgletal'!C12</f>
        <v>312754.84581527644</v>
      </c>
      <c r="F16" s="8" t="s">
        <v>3</v>
      </c>
      <c r="G16" s="1"/>
    </row>
    <row r="17" spans="1:7" x14ac:dyDescent="0.25">
      <c r="A17" s="1"/>
      <c r="B17" s="78" t="s">
        <v>9</v>
      </c>
      <c r="C17" s="79"/>
      <c r="D17" s="80"/>
      <c r="E17" s="9">
        <f>-SUM(E9:E16)*'Fane 5. Individuelt eff. krav'!G9</f>
        <v>-376379.17480420665</v>
      </c>
      <c r="F17" s="8" t="s">
        <v>3</v>
      </c>
      <c r="G17" s="1"/>
    </row>
    <row r="18" spans="1:7" x14ac:dyDescent="0.25">
      <c r="A18" s="1"/>
      <c r="B18" s="78" t="s">
        <v>27</v>
      </c>
      <c r="C18" s="79"/>
      <c r="D18" s="80"/>
      <c r="E18" s="9">
        <f>-'Fane 4.1. Gen. krav - drift'!G25</f>
        <v>-145858.72845849325</v>
      </c>
      <c r="F18" s="8" t="s">
        <v>3</v>
      </c>
      <c r="G18" s="1"/>
    </row>
    <row r="19" spans="1:7" x14ac:dyDescent="0.25">
      <c r="A19" s="1"/>
      <c r="B19" s="78" t="s">
        <v>28</v>
      </c>
      <c r="C19" s="79"/>
      <c r="D19" s="80"/>
      <c r="E19" s="9">
        <f>-'Fane 4.2. Gen. krav - anlæg'!G25</f>
        <v>-110683.99522942753</v>
      </c>
      <c r="F19" s="8" t="s">
        <v>3</v>
      </c>
      <c r="G19" s="1"/>
    </row>
    <row r="20" spans="1:7" x14ac:dyDescent="0.25">
      <c r="A20" s="1"/>
      <c r="B20" s="81" t="s">
        <v>20</v>
      </c>
      <c r="C20" s="82"/>
      <c r="D20" s="83"/>
      <c r="E20" s="10">
        <f>SUM(E9:E19)</f>
        <v>18186036.841718204</v>
      </c>
      <c r="F20" s="11" t="s">
        <v>3</v>
      </c>
      <c r="G20" s="1"/>
    </row>
    <row r="21" spans="1:7" x14ac:dyDescent="0.25">
      <c r="A21" s="1"/>
      <c r="B21" s="90" t="s">
        <v>12</v>
      </c>
      <c r="C21" s="91"/>
      <c r="D21" s="91"/>
      <c r="E21" s="42"/>
      <c r="F21" s="20"/>
      <c r="G21" s="1"/>
    </row>
    <row r="22" spans="1:7" x14ac:dyDescent="0.25">
      <c r="A22" s="1"/>
      <c r="B22" s="84" t="s">
        <v>12</v>
      </c>
      <c r="C22" s="85"/>
      <c r="D22" s="86"/>
      <c r="E22" s="10">
        <v>8315390.1939837309</v>
      </c>
      <c r="F22" s="11" t="s">
        <v>3</v>
      </c>
      <c r="G22" s="1"/>
    </row>
    <row r="23" spans="1:7" ht="15" customHeight="1" x14ac:dyDescent="0.25">
      <c r="A23" s="1"/>
      <c r="B23" s="90" t="s">
        <v>99</v>
      </c>
      <c r="C23" s="91"/>
      <c r="D23" s="91"/>
      <c r="E23" s="42"/>
      <c r="F23" s="42"/>
      <c r="G23" s="1"/>
    </row>
    <row r="24" spans="1:7" ht="14.25" customHeight="1" x14ac:dyDescent="0.2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2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2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25">
      <c r="A27" s="1"/>
      <c r="B27" s="41" t="s">
        <v>228</v>
      </c>
      <c r="C27" s="42"/>
      <c r="D27" s="42"/>
      <c r="E27" s="42"/>
      <c r="F27" s="42"/>
      <c r="G27" s="1"/>
    </row>
    <row r="28" spans="1:7" ht="13.15" customHeight="1" x14ac:dyDescent="0.25">
      <c r="A28" s="1"/>
      <c r="B28" s="87" t="s">
        <v>229</v>
      </c>
      <c r="C28" s="88"/>
      <c r="D28" s="89"/>
      <c r="E28" s="10">
        <v>0</v>
      </c>
      <c r="F28" s="11" t="s">
        <v>3</v>
      </c>
      <c r="G28" s="1"/>
    </row>
    <row r="29" spans="1:7" x14ac:dyDescent="0.25">
      <c r="A29" s="1"/>
      <c r="B29" s="41" t="s">
        <v>230</v>
      </c>
      <c r="C29" s="42"/>
      <c r="D29" s="42"/>
      <c r="E29" s="42"/>
      <c r="F29" s="20"/>
      <c r="G29" s="1"/>
    </row>
    <row r="30" spans="1:7" ht="15" customHeight="1" x14ac:dyDescent="0.25">
      <c r="A30" s="1"/>
      <c r="B30" s="87" t="s">
        <v>231</v>
      </c>
      <c r="C30" s="88"/>
      <c r="D30" s="89"/>
      <c r="E30" s="10">
        <v>-1293514.9148971867</v>
      </c>
      <c r="F30" s="11" t="s">
        <v>3</v>
      </c>
      <c r="G30" s="1"/>
    </row>
    <row r="31" spans="1:7" x14ac:dyDescent="0.25">
      <c r="A31" s="1"/>
      <c r="B31" s="41" t="s">
        <v>232</v>
      </c>
      <c r="C31" s="42"/>
      <c r="D31" s="42"/>
      <c r="E31" s="42"/>
      <c r="F31" s="20"/>
      <c r="G31" s="1"/>
    </row>
    <row r="32" spans="1:7" x14ac:dyDescent="0.25">
      <c r="A32" s="1"/>
      <c r="B32" s="84" t="s">
        <v>233</v>
      </c>
      <c r="C32" s="85"/>
      <c r="D32" s="86"/>
      <c r="E32" s="10">
        <v>56550.568470003549</v>
      </c>
      <c r="F32" s="11" t="s">
        <v>3</v>
      </c>
      <c r="G32" s="1"/>
    </row>
    <row r="33" spans="1:7" x14ac:dyDescent="0.25">
      <c r="A33" s="1"/>
      <c r="B33" s="41" t="s">
        <v>24</v>
      </c>
      <c r="C33" s="42"/>
      <c r="D33" s="42"/>
      <c r="E33" s="12">
        <f>SUM(E30,E26,E28,E22,E20,E32)</f>
        <v>25264462.689274754</v>
      </c>
      <c r="F33" s="13" t="s">
        <v>3</v>
      </c>
      <c r="G33" s="1"/>
    </row>
    <row r="34" spans="1:7" ht="28.15" customHeight="1" x14ac:dyDescent="0.25">
      <c r="A34" s="1"/>
      <c r="B34" s="75" t="s">
        <v>179</v>
      </c>
      <c r="C34" s="76"/>
      <c r="D34" s="76"/>
      <c r="E34" s="76"/>
      <c r="F34" s="7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MoupSIJp/3ibDA9lePtUmST2NrWBBos+Nrm8MavFiFry3Ex6Y7ZFjadb1KTRL7ql2TaL2jHryrimBB0I2gnkGA==" saltValue="MZN8QxIZGA16x9g+7i8/WQ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7399236.2792917136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147984.72558583427</v>
      </c>
      <c r="H6" s="14" t="s">
        <v>3</v>
      </c>
      <c r="I6" s="1"/>
    </row>
    <row r="7" spans="1:9" x14ac:dyDescent="0.25">
      <c r="A7" s="1"/>
      <c r="B7" s="41"/>
      <c r="C7" s="42"/>
      <c r="D7" s="42"/>
      <c r="E7" s="42"/>
      <c r="F7" s="42"/>
      <c r="G7" s="4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7343342.4484379441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146866.84896875889</v>
      </c>
      <c r="H12" s="14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7318096.0371002136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146361.92074200427</v>
      </c>
      <c r="H19" s="14" t="s">
        <v>3</v>
      </c>
      <c r="I19" s="1"/>
    </row>
    <row r="20" spans="1:9" x14ac:dyDescent="0.25">
      <c r="A20" s="1"/>
      <c r="B20" s="41"/>
      <c r="C20" s="42"/>
      <c r="D20" s="42"/>
      <c r="E20" s="42"/>
      <c r="F20" s="42"/>
      <c r="G20" s="4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7292936.4229246629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145858.72845849325</v>
      </c>
      <c r="H25" s="14" t="s">
        <v>3</v>
      </c>
      <c r="I25" s="1"/>
    </row>
    <row r="26" spans="1:9" x14ac:dyDescent="0.25">
      <c r="A26" s="1"/>
      <c r="B26" s="41"/>
      <c r="C26" s="42"/>
      <c r="D26" s="42"/>
      <c r="E26" s="42"/>
      <c r="F26" s="42"/>
      <c r="G26" s="4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7234272.0423386572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144685.44084677316</v>
      </c>
      <c r="H31" s="14" t="s">
        <v>3</v>
      </c>
      <c r="I31" s="1"/>
    </row>
    <row r="32" spans="1:9" x14ac:dyDescent="0.25">
      <c r="A32" s="1"/>
      <c r="B32" s="41"/>
      <c r="C32" s="42"/>
      <c r="D32" s="42"/>
      <c r="E32" s="42"/>
      <c r="F32" s="42"/>
      <c r="G32" s="4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7176079.5580300856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143521.5911606017</v>
      </c>
      <c r="H37" s="14" t="s">
        <v>3</v>
      </c>
      <c r="I37" s="1"/>
    </row>
    <row r="38" spans="1:9" x14ac:dyDescent="0.25">
      <c r="A38" s="1"/>
      <c r="B38" s="41"/>
      <c r="C38" s="42"/>
      <c r="D38" s="42"/>
      <c r="E38" s="42"/>
      <c r="F38" s="42"/>
      <c r="G38" s="4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7118355.174065291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142367.10348130582</v>
      </c>
      <c r="H43" s="14" t="s">
        <v>3</v>
      </c>
      <c r="I43" s="1"/>
    </row>
    <row r="44" spans="1:9" x14ac:dyDescent="0.25">
      <c r="A44" s="1"/>
      <c r="B44" s="41"/>
      <c r="C44" s="42"/>
      <c r="D44" s="42"/>
      <c r="E44" s="42"/>
      <c r="F44" s="42"/>
      <c r="G44" s="4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7061095.1250451095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141221.90250090219</v>
      </c>
      <c r="H49" s="14" t="s">
        <v>3</v>
      </c>
      <c r="I49" s="1"/>
    </row>
    <row r="50" spans="1:9" x14ac:dyDescent="0.25">
      <c r="A50" s="1"/>
      <c r="B50" s="41"/>
      <c r="C50" s="42"/>
      <c r="D50" s="42"/>
      <c r="E50" s="42"/>
      <c r="F50" s="42"/>
      <c r="G50" s="42"/>
      <c r="H50" s="20"/>
      <c r="I50" s="1"/>
    </row>
  </sheetData>
  <sheetProtection algorithmName="SHA-512" hashValue="cfr1e8UCkdFOv9T9wYI3yoKLXysWqbqQW3nySYeSg60fb3IgAVOjaspHF6MMwPlBW8Mc9G7RcA+XzB4CtOhRUQ==" saltValue="uJZaADlsoxKx/8k1ErmQoA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12328187.475950727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112186.50603115163</v>
      </c>
      <c r="H6" s="14" t="s">
        <v>3</v>
      </c>
      <c r="I6" s="1"/>
    </row>
    <row r="7" spans="1:9" x14ac:dyDescent="0.25">
      <c r="A7" s="1"/>
      <c r="B7" s="41"/>
      <c r="C7" s="42"/>
      <c r="D7" s="42"/>
      <c r="E7" s="42"/>
      <c r="F7" s="42"/>
      <c r="G7" s="4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12371144.182237552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112577.41205836173</v>
      </c>
      <c r="H12" s="14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12465736.548595218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97124.419959174003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57803.501322670956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109799.78088793045</v>
      </c>
      <c r="H19" s="14" t="s">
        <v>3</v>
      </c>
      <c r="I19" s="1"/>
    </row>
    <row r="20" spans="1:9" x14ac:dyDescent="0.25">
      <c r="A20" s="1"/>
      <c r="B20" s="41"/>
      <c r="C20" s="42"/>
      <c r="D20" s="42"/>
      <c r="E20" s="42"/>
      <c r="F20" s="42"/>
      <c r="G20" s="4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12722298.30223305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0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110683.99522942753</v>
      </c>
      <c r="H25" s="14" t="s">
        <v>3</v>
      </c>
      <c r="I25" s="1"/>
    </row>
    <row r="26" spans="1:9" x14ac:dyDescent="0.25">
      <c r="A26" s="1"/>
      <c r="B26" s="41"/>
      <c r="C26" s="42"/>
      <c r="D26" s="42"/>
      <c r="E26" s="42"/>
      <c r="F26" s="42"/>
      <c r="G26" s="4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12765476.001549067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2021'!C12,'Fane 2.1. Økonomisk ramme 2021'!C14,'Fane 2.1. Økonomisk ramme 2021'!C16)*(1+'Fane 12. Nøgletal'!C13)</f>
        <v>85068.552059883514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353389.97522424615</v>
      </c>
      <c r="H31" s="14" t="s">
        <v>3</v>
      </c>
      <c r="I31" s="1"/>
    </row>
    <row r="32" spans="1:9" x14ac:dyDescent="0.25">
      <c r="A32" s="1"/>
      <c r="B32" s="41"/>
      <c r="C32" s="42"/>
      <c r="D32" s="42"/>
      <c r="E32" s="42"/>
      <c r="F32" s="42"/>
      <c r="G32" s="4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12649619.864240998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347864.54626662744</v>
      </c>
      <c r="H37" s="14" t="s">
        <v>3</v>
      </c>
      <c r="I37" s="1"/>
    </row>
    <row r="38" spans="1:9" x14ac:dyDescent="0.25">
      <c r="A38" s="1"/>
      <c r="B38" s="41"/>
      <c r="C38" s="42"/>
      <c r="D38" s="42"/>
      <c r="E38" s="42"/>
      <c r="F38" s="42"/>
      <c r="G38" s="4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12451836.732853658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342425.51015347562</v>
      </c>
      <c r="H43" s="14" t="s">
        <v>3</v>
      </c>
      <c r="I43" s="1"/>
    </row>
    <row r="44" spans="1:9" x14ac:dyDescent="0.25">
      <c r="A44" s="1"/>
      <c r="B44" s="41"/>
      <c r="C44" s="42"/>
      <c r="D44" s="42"/>
      <c r="E44" s="42"/>
      <c r="F44" s="42"/>
      <c r="G44" s="4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12257146.039617125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337071.51608947094</v>
      </c>
      <c r="H49" s="14" t="s">
        <v>3</v>
      </c>
      <c r="I49" s="1"/>
    </row>
    <row r="50" spans="1:9" x14ac:dyDescent="0.25">
      <c r="A50" s="1"/>
      <c r="B50" s="41"/>
      <c r="C50" s="42"/>
      <c r="D50" s="42"/>
      <c r="E50" s="42"/>
      <c r="F50" s="42"/>
      <c r="G50" s="42"/>
      <c r="H50" s="20"/>
      <c r="I50" s="1"/>
    </row>
  </sheetData>
  <sheetProtection algorithmName="SHA-512" hashValue="0juVsZdsCFWeu0MDzKLcBRVjowiq+x3GJ3IGyPjBGoYVL3CYcoWEKFeHmTI5mqRzIRwux/Q+zVtqYr9jV4N9SA==" saltValue="Vnma0rXdKqI9P31r3bCyeg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0.02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1.2099773997880333E-2</v>
      </c>
      <c r="H10" s="14"/>
      <c r="I10" s="1"/>
    </row>
    <row r="11" spans="1:9" x14ac:dyDescent="0.25">
      <c r="A11" s="1"/>
      <c r="B11" s="41"/>
      <c r="C11" s="42"/>
      <c r="D11" s="42"/>
      <c r="E11" s="42"/>
      <c r="F11" s="42"/>
      <c r="G11" s="42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K8ZAXoFaNHQ3wPccKGWcZhGonL3P5EWzYlRqtPQwUUk68KYGFz0w7pbrgUSqniy3shYPzd8MTr0h/Tz+bFCBQ==" saltValue="/F8S0dgIe1Bzi6XuDHpa5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2020-10-23T08:37:22Z</dcterms:modified>
</cp:coreProperties>
</file>