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Spildevand\NFS Spildevand AS (S071)\ØR2022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2" sheetId="2" r:id="rId2"/>
    <sheet name="Fane 2.2. Økonomisk ramme 2023" sheetId="15" r:id="rId3"/>
    <sheet name="Fane 2.3. Økonomisk ramme 2024" sheetId="22" r:id="rId4"/>
    <sheet name="Fane 2.4. Økonomisk ramme 2025" sheetId="23" r:id="rId5"/>
    <sheet name="Fane 3. Omkostninger i ØR2021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20" sheetId="32" r:id="rId11"/>
    <sheet name="Fane 8. Korrektion af ØR2020" sheetId="40" r:id="rId12"/>
    <sheet name="Fane 9. Anlægsprojekter" sheetId="11" r:id="rId13"/>
    <sheet name="Fane 10.1. Varige tillæg" sheetId="37" r:id="rId14"/>
    <sheet name="Fane 10.2. Engangstillæg" sheetId="39" r:id="rId15"/>
    <sheet name="Fane 11. Periodevise driftsomk." sheetId="20" r:id="rId16"/>
    <sheet name="Fane 12. Tilknyttet virksomhed" sheetId="29" r:id="rId17"/>
    <sheet name="Fane 13. Bortfald" sheetId="21" r:id="rId18"/>
    <sheet name="Fane 14. Nøgletal" sheetId="26" r:id="rId19"/>
  </sheets>
  <calcPr calcId="162913"/>
</workbook>
</file>

<file path=xl/calcChain.xml><?xml version="1.0" encoding="utf-8"?>
<calcChain xmlns="http://schemas.openxmlformats.org/spreadsheetml/2006/main">
  <c r="E32" i="32" l="1"/>
  <c r="E16" i="40" l="1"/>
  <c r="E12" i="40"/>
  <c r="E26" i="32" l="1"/>
  <c r="E34" i="32" s="1"/>
  <c r="C26" i="15" l="1"/>
  <c r="C30" i="2"/>
  <c r="C15" i="19"/>
  <c r="E28" i="20" l="1"/>
  <c r="E22" i="20"/>
  <c r="E16" i="20"/>
  <c r="E10" i="20"/>
  <c r="E10" i="11" l="1"/>
  <c r="G6" i="30" l="1"/>
  <c r="G10" i="30" s="1"/>
  <c r="E29" i="20" l="1"/>
  <c r="E30" i="20" s="1"/>
  <c r="E23" i="20"/>
  <c r="E24" i="20" s="1"/>
  <c r="E17" i="20"/>
  <c r="E18" i="20" s="1"/>
  <c r="E11" i="20"/>
  <c r="E12" i="20" s="1"/>
  <c r="E17" i="40" l="1"/>
  <c r="C32" i="2" s="1"/>
  <c r="C20" i="22" l="1"/>
  <c r="C20" i="15"/>
  <c r="C24" i="2"/>
  <c r="C20" i="23"/>
  <c r="E29" i="21" l="1"/>
  <c r="C29" i="21"/>
  <c r="E23" i="21"/>
  <c r="C23" i="21"/>
  <c r="E17" i="21"/>
  <c r="E18" i="21" s="1"/>
  <c r="G43" i="36" s="1"/>
  <c r="C17" i="21"/>
  <c r="C18" i="21" s="1"/>
  <c r="G44" i="30" s="1"/>
  <c r="E30" i="21" l="1"/>
  <c r="G60" i="36" s="1"/>
  <c r="C30" i="21"/>
  <c r="G59" i="30" s="1"/>
  <c r="E24" i="21"/>
  <c r="G54" i="36" s="1"/>
  <c r="C24" i="21"/>
  <c r="G53" i="30" s="1"/>
  <c r="C11" i="15"/>
  <c r="C10" i="15"/>
  <c r="E35" i="39"/>
  <c r="C35" i="39"/>
  <c r="C36" i="39" s="1"/>
  <c r="E27" i="39"/>
  <c r="C27" i="39"/>
  <c r="C28" i="39" s="1"/>
  <c r="E19" i="39"/>
  <c r="C19" i="39"/>
  <c r="E11" i="39"/>
  <c r="C11" i="39"/>
  <c r="C11" i="23" l="1"/>
  <c r="C10" i="23"/>
  <c r="C11" i="22"/>
  <c r="C10" i="22"/>
  <c r="E37" i="39"/>
  <c r="E36" i="39"/>
  <c r="E28" i="39"/>
  <c r="E29" i="39"/>
  <c r="E21" i="39"/>
  <c r="E20" i="39"/>
  <c r="C20" i="39"/>
  <c r="C21" i="39"/>
  <c r="E13" i="39"/>
  <c r="E12" i="39"/>
  <c r="C13" i="39"/>
  <c r="C12" i="39"/>
  <c r="C37" i="39"/>
  <c r="C38" i="39" s="1"/>
  <c r="C29" i="39"/>
  <c r="C30" i="39" s="1"/>
  <c r="E38" i="39" l="1"/>
  <c r="E22" i="39"/>
  <c r="C23" i="15" s="1"/>
  <c r="E30" i="39"/>
  <c r="C23" i="22" s="1"/>
  <c r="C14" i="39"/>
  <c r="C26" i="2" s="1"/>
  <c r="E14" i="39"/>
  <c r="C27" i="2" s="1"/>
  <c r="C22" i="39"/>
  <c r="C22" i="15" s="1"/>
  <c r="C22" i="22"/>
  <c r="C22" i="23"/>
  <c r="C23" i="23"/>
  <c r="C24" i="23" l="1"/>
  <c r="C24" i="22"/>
  <c r="C24" i="15"/>
  <c r="C28" i="2"/>
  <c r="G6" i="36" l="1"/>
  <c r="G10" i="36" l="1"/>
  <c r="G13" i="36" l="1"/>
  <c r="G17" i="36" l="1"/>
  <c r="G19" i="36" s="1"/>
  <c r="G14" i="30"/>
  <c r="G18" i="30" s="1"/>
  <c r="G23" i="36" l="1"/>
  <c r="G25" i="36" s="1"/>
  <c r="G20" i="30"/>
  <c r="G29" i="36" l="1"/>
  <c r="G24" i="30"/>
  <c r="G31" i="36" l="1"/>
  <c r="F11" i="11"/>
  <c r="C10" i="37" s="1"/>
  <c r="C12" i="37" s="1"/>
  <c r="C13" i="37" s="1"/>
  <c r="G11" i="11"/>
  <c r="G35" i="36" l="1"/>
  <c r="E19" i="27"/>
  <c r="C10" i="2"/>
  <c r="E11" i="21"/>
  <c r="E12" i="21" s="1"/>
  <c r="C11" i="21"/>
  <c r="C12" i="21" s="1"/>
  <c r="E11" i="29"/>
  <c r="E12" i="29" s="1"/>
  <c r="C11" i="29"/>
  <c r="C12" i="29" s="1"/>
  <c r="C16" i="19"/>
  <c r="C18" i="23" l="1"/>
  <c r="C18" i="22"/>
  <c r="C18" i="15"/>
  <c r="C15" i="2"/>
  <c r="C14" i="2"/>
  <c r="C22" i="2"/>
  <c r="C12" i="2"/>
  <c r="G37" i="30" s="1"/>
  <c r="G43" i="30" s="1"/>
  <c r="C13" i="2"/>
  <c r="G26" i="30" l="1"/>
  <c r="G30" i="30" l="1"/>
  <c r="E11" i="11"/>
  <c r="E10" i="37" s="1"/>
  <c r="E12" i="37" s="1"/>
  <c r="E13" i="37" s="1"/>
  <c r="C11" i="2" l="1"/>
  <c r="G36" i="36" s="1"/>
  <c r="G32" i="30"/>
  <c r="E18" i="27" s="1"/>
  <c r="G42" i="36" l="1"/>
  <c r="G37" i="36"/>
  <c r="G41" i="36" s="1"/>
  <c r="G36" i="30"/>
  <c r="E20" i="27"/>
  <c r="E33" i="27" s="1"/>
  <c r="C9" i="2" l="1"/>
  <c r="C16" i="2" s="1"/>
  <c r="G38" i="30"/>
  <c r="G42" i="30" s="1"/>
  <c r="G45" i="30" s="1"/>
  <c r="G52" i="30" s="1"/>
  <c r="G44" i="36"/>
  <c r="G53" i="36" s="1"/>
  <c r="C19" i="2"/>
  <c r="G55" i="36" l="1"/>
  <c r="C15" i="15"/>
  <c r="G59" i="36" l="1"/>
  <c r="G61" i="36" s="1"/>
  <c r="C15" i="23" s="1"/>
  <c r="C15" i="22"/>
  <c r="C17" i="2"/>
  <c r="C18" i="2" l="1"/>
  <c r="C20" i="2" s="1"/>
  <c r="C35" i="2" l="1"/>
  <c r="C9" i="15"/>
  <c r="C14" i="15" l="1"/>
  <c r="C12" i="15"/>
  <c r="C13" i="15" s="1"/>
  <c r="C16" i="15" l="1"/>
  <c r="C29" i="15" s="1"/>
  <c r="C9" i="22" l="1"/>
  <c r="G54" i="30"/>
  <c r="C12" i="22" l="1"/>
  <c r="C13" i="22" s="1"/>
  <c r="C14" i="22"/>
  <c r="G58" i="30"/>
  <c r="G60" i="30" s="1"/>
  <c r="C14" i="23" s="1"/>
  <c r="C16" i="22" l="1"/>
  <c r="C9" i="23" l="1"/>
  <c r="C12" i="23" s="1"/>
  <c r="C13" i="23" s="1"/>
  <c r="C16" i="23" s="1"/>
  <c r="C27" i="23" s="1"/>
  <c r="C27" i="22"/>
</calcChain>
</file>

<file path=xl/sharedStrings.xml><?xml version="1.0" encoding="utf-8"?>
<sst xmlns="http://schemas.openxmlformats.org/spreadsheetml/2006/main" count="709" uniqueCount="287">
  <si>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</si>
  <si>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</si>
  <si>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</si>
  <si>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</si>
  <si>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</si>
  <si>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</si>
  <si>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</si>
  <si>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</si>
  <si>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</si>
  <si>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Fane 9</t>
  </si>
  <si>
    <t>Individuelt effektiviseringskrav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</si>
  <si>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</si>
  <si>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</si>
  <si>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</si>
  <si>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</si>
  <si>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</si>
  <si>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12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</si>
  <si>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</si>
  <si>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</si>
  <si>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</si>
  <si>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</si>
  <si>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</si>
  <si>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</si>
  <si>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</si>
  <si>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ØR2019</t>
  </si>
  <si>
    <t>Videreførte omkostninger fra den økonomiske ramme for 2020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</si>
  <si>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</si>
  <si>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</si>
  <si>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</si>
  <si>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</si>
  <si>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Tidligere tilknyttet aktivitet - Anlæg</t>
  </si>
  <si>
    <t>Tidligere tilknyttet aktivitet - Drift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</si>
  <si>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</si>
  <si>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</si>
  <si>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</si>
  <si>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</si>
  <si>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</si>
  <si>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Fane 2.3</t>
  </si>
  <si>
    <t>Fane 2.4</t>
  </si>
  <si>
    <t>Anlægsprojekter</t>
  </si>
  <si>
    <t>Bortfald</t>
  </si>
  <si>
    <t>Fane 13</t>
  </si>
  <si>
    <t>Fane 14</t>
  </si>
  <si>
    <t>Nye tillæg - Drift</t>
  </si>
  <si>
    <t>Nye tillæg - Anlæg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</si>
  <si>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</si>
  <si>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</si>
  <si>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</si>
  <si>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</si>
  <si>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</si>
  <si>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</si>
  <si>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</si>
  <si>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</si>
  <si>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</si>
  <si>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</si>
  <si>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</si>
  <si>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</si>
  <si>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</si>
  <si>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</si>
  <si>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</si>
  <si>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</si>
  <si>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</si>
  <si>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Generelt effektiviseringskrav til driftsomkostninger i de økonomiske rammer for 2021</t>
  </si>
  <si>
    <t>Base for driftsomkostninger til de økonomiske rammer for 2021</t>
  </si>
  <si>
    <t>Generelt effektiviseringskrav til driftsomkostningerne i ØR21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</si>
  <si>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</si>
  <si>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</si>
  <si>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</si>
  <si>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</si>
  <si>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</si>
  <si>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</si>
  <si>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</si>
  <si>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</si>
  <si>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</si>
  <si>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</si>
  <si>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</si>
  <si>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</si>
  <si>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</si>
  <si>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Generelt effektiviseringskrav til anlægsomkostninger i de økonomiske rammer for 2021</t>
  </si>
  <si>
    <t>Base for anlægsomkostninger til de økonomiske rammer for 2021</t>
  </si>
  <si>
    <t>Generelt effektiviseringskrav til anlægsomkostningerne i ØR21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</si>
  <si>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</si>
  <si>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</si>
  <si>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</si>
  <si>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</si>
  <si>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anlægsomkostninger i de vejledende økonomiske rammer for 2023</t>
  </si>
  <si>
    <t>Individuelt effektiviseringskrav til de økonomiske rammer for 2018-2019</t>
  </si>
  <si>
    <t>Individuelt effektiviseringskrav til de økonomiske rammer for 2020-2021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</si>
  <si>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</si>
  <si>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</si>
  <si>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</si>
  <si>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</si>
  <si>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</si>
  <si>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</si>
  <si>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Periodevise driftsomkostninger</t>
  </si>
  <si>
    <t>Engangstillæg i alt</t>
  </si>
  <si>
    <t>Fane 5: Individuelt effektiviseringskrav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</si>
  <si>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</si>
  <si>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</si>
  <si>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</si>
  <si>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</si>
  <si>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2023</t>
  </si>
  <si>
    <t>Økonomisk ramme for 2023</t>
  </si>
  <si>
    <t>Periodevise driftsomkostninger til de økonomiske rammer for 2022</t>
  </si>
  <si>
    <t>Periodevise driftsomkostninger til de økonomiske rammer for 2023</t>
  </si>
  <si>
    <t>Periodevise driftsomkostninger i alt i 2022-prisniveau</t>
  </si>
  <si>
    <t>Periodevise driftsomkostninger i alt i 2023-prisniveau</t>
  </si>
  <si>
    <t>Bortfald eller nedsættelse fra og med de økonomiske rammer for 2022</t>
  </si>
  <si>
    <t>Bortfald eller nedsættelse fra og med de økonomiske rammer for 2023</t>
  </si>
  <si>
    <t>Korrektion af tidligere godkendte omkostninger til medfinansiering af klimatilpasningsprojekter</t>
  </si>
  <si>
    <t>Generelt effektiviseringskrav på drift</t>
  </si>
  <si>
    <t>Generelt effektiviseringskrav på anlæg</t>
  </si>
  <si>
    <t>Engangstillæg til de økonomiske rammer for 2022</t>
  </si>
  <si>
    <t>Engangstillæg til de økonomiske rammer for 2023</t>
  </si>
  <si>
    <t>Generelt effektiviseringskrav</t>
  </si>
  <si>
    <t>Tillæg til tilbagebetaling af vejbidrag</t>
  </si>
  <si>
    <t>Tillæg til den økonomiske ramme for 2022</t>
  </si>
  <si>
    <t>Tillæg til den økonomiske ramme for 2023</t>
  </si>
  <si>
    <t>Samlede tillæg til periodevise driftsomkostninger jf. indmeldte oprensningsplan</t>
  </si>
  <si>
    <t>Difference (Korrektion)</t>
  </si>
  <si>
    <t>Antal år i næste reguleringsperiode</t>
  </si>
  <si>
    <t>Generelt effektiviseringskrav til anlægsomkostningerne</t>
  </si>
  <si>
    <t>Generelt effektiviseringskrav til driftsomkostningerne</t>
  </si>
  <si>
    <t>Nøgletal</t>
  </si>
  <si>
    <t>Fane 4.1</t>
  </si>
  <si>
    <t>Fane 4.2</t>
  </si>
  <si>
    <t>Fane 6</t>
  </si>
  <si>
    <t>Fane 10.1</t>
  </si>
  <si>
    <t>Fane 10.2</t>
  </si>
  <si>
    <t>Fane 11</t>
  </si>
  <si>
    <t>Fane 4.1: Generelt effektiviseringskrav til driftsomkostningerne</t>
  </si>
  <si>
    <t>Fane 4.2: Generelt effektiviseringskrav til anlægsomkostningerne</t>
  </si>
  <si>
    <t>Fane 6: Ikke-påvirkelige omkostninger</t>
  </si>
  <si>
    <t>Fane 13: Bortfald eller nedsættelse af omkostninger til mål, medfinansiering eller udvidelse</t>
  </si>
  <si>
    <t>Fane 10.2: Engangstillæg</t>
  </si>
  <si>
    <t>Fane 10.1: Varige tillæg</t>
  </si>
  <si>
    <t>Fane 11: Periodevise driftsomkostninger givet under prisloftsbekendtgørelsen</t>
  </si>
  <si>
    <t>Prisudvikling til brug for ØR2017</t>
  </si>
  <si>
    <t>Prisudvikling til brug for ØR2018-2019</t>
  </si>
  <si>
    <t>Generelt effektiviseringskrav til brug for anlægsomkostninger i ØR2017</t>
  </si>
  <si>
    <t>Generelt effektiviseringskrav til brug for anlægsomkostninger i ØR2020-2021</t>
  </si>
  <si>
    <t>Generelt effektiviseringskrav til brug for driftsomkostninger</t>
  </si>
  <si>
    <t>Tillæg til medfinansieringsprojekter godkendt under prisloftsbekendtgørelsen</t>
  </si>
  <si>
    <t>Periodevise driftsomkostninger i den økonomiske ramme for 2018</t>
  </si>
  <si>
    <t>Fane 3</t>
  </si>
  <si>
    <t>Periodevise driftsomkostninger i den økonomiske ramme for 2017</t>
  </si>
  <si>
    <t>Korrektion af driftsomkostninger i grundlaget</t>
  </si>
  <si>
    <t>Korrektion af anlægsomkostninger i grundlaget</t>
  </si>
  <si>
    <t>Korrektion af den økonomiske ramme for 2019</t>
  </si>
  <si>
    <t>Tidligere tilknyttet virksomhed - Drift</t>
  </si>
  <si>
    <t>Tidligere tilknyttet virksomhed - Anlæg</t>
  </si>
  <si>
    <t>Videreførte omkostninger fra den økonomiske ramme for 2022</t>
  </si>
  <si>
    <t>Videreførte omkostninger fra den økonomiske ramme for 2023</t>
  </si>
  <si>
    <t>Økonomisk ramme for 2024</t>
  </si>
  <si>
    <t>Tillæg til den økonomiske ramme for 2024</t>
  </si>
  <si>
    <t>Periodevise driftsomkostninger til de økonomiske rammer for 2024</t>
  </si>
  <si>
    <t>Periodevise driftsomkostninger i alt i 2024-prisniveau</t>
  </si>
  <si>
    <t>Fane 12: Tilknyttet virksomhed under hovedvirksomheden</t>
  </si>
  <si>
    <t>Tilknyttet virksomhed under hovedvirksomheden</t>
  </si>
  <si>
    <t>Beskrivelse af tilknyttet virksomhed</t>
  </si>
  <si>
    <t>Vejledende økonomisk ramme for 2024</t>
  </si>
  <si>
    <t>Tilknyttet virksomhed</t>
  </si>
  <si>
    <t>Prisudvikling til brug for nye omkostninger i ØR2021</t>
  </si>
  <si>
    <t>Nye tillæg i alt i 2020-prisniveau</t>
  </si>
  <si>
    <t>Engangstillæg i alt i 2022-prisniveau</t>
  </si>
  <si>
    <t>Engangstillæg i alt i 2023-prisniveau</t>
  </si>
  <si>
    <t>Engangstillæg til de økonomiske rammer for 2024</t>
  </si>
  <si>
    <t>Engangstillæg i alt i 2024-prisniveau</t>
  </si>
  <si>
    <t>Tilknyttet virksomhed under hovedvirksomheden i alt (2020-prisniveau)</t>
  </si>
  <si>
    <t>Bortfald eller nedsættelse fra og med de økonomiske rammer for 2024</t>
  </si>
  <si>
    <t>Bortfald eller nedsættelse i alt i 2023-prisniveau</t>
  </si>
  <si>
    <t>Nye driftsomkostninger til de økonomiske rammer for 2021</t>
  </si>
  <si>
    <t>Generelt effektiviseringskrav til driftsomkostninger i de vejledende økonomiske rammer for 2024</t>
  </si>
  <si>
    <t>Base for driftsomkostninger til de vejledende økonomiske rammer for 2024</t>
  </si>
  <si>
    <t>Bortfald af driftsomkostninger i de økonomiske rammer for 2024</t>
  </si>
  <si>
    <t>Vejledende generelt effektiviseringskrav til driftsomkostningerne i ØR24</t>
  </si>
  <si>
    <t>Nye anlægsomkostninger til de økonomiske rammer for 2021</t>
  </si>
  <si>
    <t>Fane 9: Anlægsprojekter igangsat senest den 1. marts 2016</t>
  </si>
  <si>
    <t>Anlægsprojekter igangsat senest den 1. marts 2016</t>
  </si>
  <si>
    <t>Anlægsprojekter igangsat senest den 1. marts 2016 i alt</t>
  </si>
  <si>
    <t>Anlægsprojekter igangsat senest 1. marts 2016</t>
  </si>
  <si>
    <t>Generelt effektiviseringskrav til anlægsomkostninger i de vejledende økonomiske rammer for 2024</t>
  </si>
  <si>
    <t>Base for anlægsomkostninger til de vejledende økonomiske rammer for 2024</t>
  </si>
  <si>
    <t>Bortfald af anlægsomkostninger i de økonomiske rammer for 2024</t>
  </si>
  <si>
    <t>Vejledende generelt effektiviseringskrav til anlægsomkostningerne i ØR24</t>
  </si>
  <si>
    <t>Fradrag for kontrol af den økonomiske ramme</t>
  </si>
  <si>
    <t>Til indregning i de økonomiske rammer for 2022-2023</t>
  </si>
  <si>
    <t>Kontrol med overholdelse af økonomiske rammer</t>
  </si>
  <si>
    <t>Kontrol med de økonomiske rammer til indregning</t>
  </si>
  <si>
    <t>Fane 14: Nøgletal</t>
  </si>
  <si>
    <t>Generelt effektiviseringskrav til brug for anlægsomkostninger i ØR2018</t>
  </si>
  <si>
    <t>Generelt effektiviseringskrav til brug for anlægsomkostninger i ØR2019</t>
  </si>
  <si>
    <t>Generelt effektiviseringskrav til brug for anlægsomkostninger i ØR2021</t>
  </si>
  <si>
    <t>Generelt effektiviseringskrav til brug for anlægsomkostninger i ØR2022</t>
  </si>
  <si>
    <t>Fane 2.1: Samlet økonomisk ramme for 2022</t>
  </si>
  <si>
    <t>Korrektion af den økonomiske ramme for 2020</t>
  </si>
  <si>
    <t>Fane 2.2: Samlet økonomisk ramme for 2023</t>
  </si>
  <si>
    <t>Fane 2.3: Samlet økonomisk ramme for 2024</t>
  </si>
  <si>
    <t>Fane 2.4: Samlet økonomisk ramme for 2025</t>
  </si>
  <si>
    <t>Videreførte omkostninger fra den økonomiske ramme for 2024</t>
  </si>
  <si>
    <t>Økonomisk ramme for 2025</t>
  </si>
  <si>
    <t>Generelt effektiviseringskrav til driftsomkostninger i de vejledende økonomiske rammer for 2025</t>
  </si>
  <si>
    <t>Base for driftsomkostninger til de vejledende økonomiske rammer for 2025</t>
  </si>
  <si>
    <t>Bortfald af driftsomkostninger i de økonomiske rammer for 2025</t>
  </si>
  <si>
    <t>Vejledende generelt effektiviseringskrav til driftsomkostningerne i ØR25</t>
  </si>
  <si>
    <t>Generelt effektiviseringskrav til anlægsomkostninger i de vejledende økonomiske rammer for 2025</t>
  </si>
  <si>
    <t>Individuelt effektiviseringskrav til de økonomiske rammer for 2022-2023</t>
  </si>
  <si>
    <t>Beregningen af jeres individuelle effektiviseringskrav fremgår af metodepapir samt bilag til benchmarkingmodellen 2022</t>
  </si>
  <si>
    <t>Faktiske ikke-påvirkelige omkostninger i 2020</t>
  </si>
  <si>
    <t>Ikke-påvirkelige omkostninger i 2020-prisniveau</t>
  </si>
  <si>
    <t>Ikke-påvirkelige omkostninger i 2022-prisniveau</t>
  </si>
  <si>
    <t>Tillæg til den økonomiske ramme for 2025</t>
  </si>
  <si>
    <t>Fane 7: Kontrol med overholdelse af den økonomiske ramme for 2020</t>
  </si>
  <si>
    <t>Kontrol med overholdelse af den økonomiske ramme for 2020</t>
  </si>
  <si>
    <t>Indtægtsramme i den økonomiske ramme for 2020</t>
  </si>
  <si>
    <t>Faktiske indtægter i 2020</t>
  </si>
  <si>
    <t>Fane 8: Korrektioner af den økonomiske ramme for 2020</t>
  </si>
  <si>
    <t>Korrektion af periodevise driftsomkostninger i de økonomiske rammer for 2020</t>
  </si>
  <si>
    <t>Faktisk periodevis driftsomkostning i 2020</t>
  </si>
  <si>
    <t>Tidligere godkendt tillæg indregnet i den økonomiske ramme for 2020</t>
  </si>
  <si>
    <t>Faktisk omkostning til medfinansiering af klimatilpasningsprojekter i 2020</t>
  </si>
  <si>
    <t>Korrektioner af den økonomiske ramme for 2020 i alt</t>
  </si>
  <si>
    <t>Nye tillæg i alt i 2021-prisniveau</t>
  </si>
  <si>
    <t>Engangstillæg i alt i 2020-prisniveau</t>
  </si>
  <si>
    <t>Engangstillæg til de økonomiske rammer for 2025</t>
  </si>
  <si>
    <t>Engangstillæg i alt i 2025-prisniveau</t>
  </si>
  <si>
    <t>Periodevise driftsomkostninger i alt i 2020-prisniveau</t>
  </si>
  <si>
    <t>Periodevise driftsomkostninger til de økonomiske rammer for 2025</t>
  </si>
  <si>
    <t>Periodevise driftsomkostninger i alt i 2025-prisniveau</t>
  </si>
  <si>
    <t>Tilknyttet virksomhed under hovedvirksomheden i alt (2021-prisniveau)</t>
  </si>
  <si>
    <t>Bortfald eller nedsættelse i alt i 2024-prisniveau</t>
  </si>
  <si>
    <t>Bortfald eller nedsættelse fra og med de økonomiske rammer for 2025</t>
  </si>
  <si>
    <t>Generelt effektiviseringskrav til driftsomkostninger i de økonomiske rammer for 2022</t>
  </si>
  <si>
    <t>Generelt effektiviseringskrav til driftsomkostninger i de økonomiske rammer for 2023</t>
  </si>
  <si>
    <t>Generelt effektiviseringskrav til driftsomkostningerne i ØR22</t>
  </si>
  <si>
    <t>Generelt effektiviseringskrav til driftsomkostningerne i ØR23</t>
  </si>
  <si>
    <t>Nye driftsomkostninger til de økonomiske rammer for 2022</t>
  </si>
  <si>
    <t>- Heraf nye driftsomkostninger til de økonomiske rammer for 2022</t>
  </si>
  <si>
    <t>Generelt effektiviseringskrav til anlægsomkostninger i de økonomiske rammer for 2022</t>
  </si>
  <si>
    <t>Generelt effektiviseringskrav til anlægsomkostningerne i ØR22</t>
  </si>
  <si>
    <t>Nye anlægsomkostninger til de økonomiske rammer for 2022</t>
  </si>
  <si>
    <t>Generelt effektiviseringskrav til anlægsomkostningerne i ØR23</t>
  </si>
  <si>
    <t>- Heraf nye anlægsomkostninger til de økonomiske rammer for 2022</t>
  </si>
  <si>
    <t>Individuelt effektiviseringskrav til de økonomiske rammer for 2017</t>
  </si>
  <si>
    <t>Faktiske omkostninger i 2020</t>
  </si>
  <si>
    <t>Samlet økonomisk ramme for 2022</t>
  </si>
  <si>
    <t>Samlet økonomisk ramme for 2023</t>
  </si>
  <si>
    <t>Vejledende økonomisk ramme for 2025</t>
  </si>
  <si>
    <t>Omkostninger i ØR2021</t>
  </si>
  <si>
    <t>Kontrol af den økonomiske ramme for 2020</t>
  </si>
  <si>
    <t>Fane 3: Videreførte omkostninger fra den økonomiske ramme for 2021</t>
  </si>
  <si>
    <t>Økonomisk ramme for 2021</t>
  </si>
  <si>
    <t xml:space="preserve">Note: Denne opgørelse er taget fra jeres statusmeddelelse for den økonomiske ramme for 2021. I kan derfor ikke komme med høringssvar til denne opgørelse. </t>
  </si>
  <si>
    <t>Prisudvikling til brug for ØR2022-2023</t>
  </si>
  <si>
    <t>Prisudvikling til brug for nye omkostninger i ØR2020</t>
  </si>
  <si>
    <t>Base for anlægsomkostninger til de vejledende økonomiske rammer for 2025</t>
  </si>
  <si>
    <t>Bortfald af anlægsomkostninger i de økonomiske rammer for 2025</t>
  </si>
  <si>
    <t>Vejledende generelt effektiviseringskrav til anlægsomkostningerne i ØR25</t>
  </si>
  <si>
    <t xml:space="preserve">Indtægter fra tilbagebetalt skat eller sambeskatningsbidrag som følge af skattesagen </t>
  </si>
  <si>
    <t xml:space="preserve">Nedsættelse af økonomisk ramme som følge af skattesagen </t>
  </si>
  <si>
    <t>Videreførte omkostninger fra den økonomiske ramme for 2021</t>
  </si>
  <si>
    <t>Ingen tilknyttet virksomhed</t>
  </si>
  <si>
    <t>Spildevandsafgift</t>
  </si>
  <si>
    <t>Afgift til Forsyningssekretariatet</t>
  </si>
  <si>
    <t>Køb af produkter og ydelser fra andre vandselskaber reguleret af vandsektorloven</t>
  </si>
  <si>
    <t>Selskabsskat</t>
  </si>
  <si>
    <t>Ejendomsskat</t>
  </si>
  <si>
    <t>Ingen bortfald eller nedsættelse</t>
  </si>
  <si>
    <t>Tidligere opgjorte over/underdækninger</t>
  </si>
  <si>
    <t>Over/underdækning i 2017</t>
  </si>
  <si>
    <t>Over/underdækning i 2018</t>
  </si>
  <si>
    <t>Korrigeret over/underdækning i 2018</t>
  </si>
  <si>
    <t>Over/underdækning i 2019</t>
  </si>
  <si>
    <t>Note: Opgørelsen af overholdelse af de økonomiske rammer og korrektioner heraf er taget fra jeres tidligere fremsendte økonomiske rammer og statusmeddelelser. I kan derfor ikke komme med høringssvar til denne opgørelse. Positive værdier er udtryk for at rammerne er overholdt(underdækning) og negative værdier er udtryk for at rammerne ikke er overholdt(overdækning).</t>
  </si>
  <si>
    <t>Allerede indregnet fradrag i jeres økonomiske rammer</t>
  </si>
  <si>
    <t>Indregnet fradrag i økonomisk ramme for 2022</t>
  </si>
  <si>
    <t>Indregnet fradrag i økonomisk ramme for 2023</t>
  </si>
  <si>
    <t xml:space="preserve">Note: Opgørelsen af over/underækningen er taget fra jeres tidligere fremsendte økonomiske rammer og statusmeddelelser. I kan derfor ikke komme med høringssvar til denne opgørelse. </t>
  </si>
  <si>
    <t>Resultat af kontrol med overholdelse af den økonomiske ramme for 2020</t>
  </si>
  <si>
    <t>Oversigt over den økonomiske ramme for 2021</t>
  </si>
  <si>
    <t>Håndteret vandmængde</t>
  </si>
  <si>
    <t>Ingen engangstillæg</t>
  </si>
  <si>
    <t>Note: Rækken 'Yderligere opkrævningsret for de økonomiske rammer for 2017 og/eller 2018' kan tage værdierne 0,1, 2 eller 3. Værdien er 1 hvis der er yderligere opkrævningsret fra 2017, 2 hvis der er yderligere opkrævningsret fra 2018 eller 3 hvis der er yderligere opkrævningsret for begge år. Hvis der ikke er nogen opkrævningsret overhovedet er værdien 0. Opkrævningsretten følger § 17, stk. 8 i den dagældende ØR-bekendtgørelse nr. 938 af 28. juni 2018.</t>
  </si>
  <si>
    <t>Yderligere opkrævningsret for de økonomiske rammer 2017 og/eller 2018</t>
  </si>
  <si>
    <t>Ingen anlægsprojekter</t>
  </si>
  <si>
    <t>Til økonomiske rammer for 2022 og 2023</t>
  </si>
  <si>
    <t>Kontrol med overholdelse af den økonomiske ramme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</si>
</sst>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_ * #,##0_ ;_ * \-#,##0_ ;_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164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125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0" fontId="8" fillId="8" borderId="1" xfId="0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10" fontId="8" fillId="8" borderId="1" xfId="4" applyNumberFormat="1" applyFont="1" applyFill="1" applyBorder="1" applyProtection="1"/>
    <xf numFmtId="165" fontId="8" fillId="8" borderId="1" xfId="1" applyNumberFormat="1" applyFont="1" applyFill="1" applyBorder="1" applyProtection="1"/>
    <xf numFmtId="49" fontId="8" fillId="8" borderId="2" xfId="0" applyNumberFormat="1" applyFont="1" applyFill="1" applyBorder="1" applyAlignment="1" applyProtection="1"/>
    <xf numFmtId="10" fontId="8" fillId="8" borderId="1" xfId="4" applyNumberFormat="1" applyFont="1" applyFill="1" applyBorder="1" applyAlignment="1" applyProtection="1"/>
    <xf numFmtId="0" fontId="15" fillId="0" borderId="2" xfId="0" applyFont="1" applyFill="1" applyBorder="1" applyAlignment="1" applyProtection="1"/>
    <xf numFmtId="3" fontId="15" fillId="0" borderId="1" xfId="0" applyNumberFormat="1" applyFont="1" applyFill="1" applyBorder="1" applyProtection="1"/>
    <xf numFmtId="0" fontId="15" fillId="0" borderId="1" xfId="0" applyFont="1" applyFill="1" applyBorder="1" applyProtection="1"/>
    <xf numFmtId="0" fontId="8" fillId="8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8" borderId="2" xfId="0" applyFont="1" applyFill="1" applyBorder="1" applyAlignment="1" applyProtection="1">
      <alignment wrapText="1"/>
    </xf>
    <xf numFmtId="3" fontId="7" fillId="3" borderId="2" xfId="0" applyNumberFormat="1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8" fillId="8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3" fontId="8" fillId="4" borderId="2" xfId="0" applyNumberFormat="1" applyFont="1" applyFill="1" applyBorder="1" applyProtection="1"/>
    <xf numFmtId="0" fontId="8" fillId="8" borderId="3" xfId="0" applyFont="1" applyFill="1" applyBorder="1" applyProtection="1"/>
    <xf numFmtId="49" fontId="8" fillId="8" borderId="2" xfId="0" applyNumberFormat="1" applyFont="1" applyFill="1" applyBorder="1" applyAlignment="1" applyProtection="1">
      <alignment horizontal="left"/>
    </xf>
    <xf numFmtId="3" fontId="8" fillId="4" borderId="2" xfId="0" applyNumberFormat="1" applyFont="1" applyFill="1" applyBorder="1" applyAlignment="1" applyProtection="1">
      <alignment horizontal="right"/>
    </xf>
    <xf numFmtId="1" fontId="8" fillId="0" borderId="1" xfId="0" applyNumberFormat="1" applyFont="1" applyFill="1" applyBorder="1" applyProtection="1"/>
    <xf numFmtId="10" fontId="8" fillId="0" borderId="1" xfId="4" applyNumberFormat="1" applyFont="1" applyFill="1" applyBorder="1" applyAlignment="1" applyProtection="1"/>
    <xf numFmtId="0" fontId="14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4" borderId="1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2" fillId="6" borderId="4" xfId="2" applyFont="1" applyFill="1" applyBorder="1" applyAlignment="1" applyProtection="1">
      <alignment horizontal="center"/>
    </xf>
    <xf numFmtId="0" fontId="12" fillId="6" borderId="0" xfId="2" applyFont="1" applyFill="1" applyBorder="1" applyAlignment="1" applyProtection="1">
      <alignment horizontal="center"/>
    </xf>
    <xf numFmtId="0" fontId="12" fillId="6" borderId="5" xfId="2" applyFont="1" applyFill="1" applyBorder="1" applyAlignment="1" applyProtection="1">
      <alignment horizontal="center"/>
    </xf>
    <xf numFmtId="0" fontId="1" fillId="7" borderId="4" xfId="2" applyFont="1" applyFill="1" applyBorder="1" applyAlignment="1" applyProtection="1">
      <alignment horizontal="center"/>
    </xf>
    <xf numFmtId="0" fontId="1" fillId="7" borderId="0" xfId="2" applyFont="1" applyFill="1" applyBorder="1" applyAlignment="1" applyProtection="1">
      <alignment horizontal="center"/>
    </xf>
    <xf numFmtId="0" fontId="1" fillId="7" borderId="5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1" fillId="9" borderId="4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5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8" fillId="8" borderId="2" xfId="0" quotePrefix="1" applyFont="1" applyFill="1" applyBorder="1" applyAlignment="1" applyProtection="1">
      <alignment horizontal="left" wrapText="1"/>
    </xf>
    <xf numFmtId="0" fontId="8" fillId="8" borderId="6" xfId="0" quotePrefix="1" applyFont="1" applyFill="1" applyBorder="1" applyAlignment="1" applyProtection="1">
      <alignment horizontal="left" wrapText="1"/>
    </xf>
    <xf numFmtId="0" fontId="8" fillId="8" borderId="3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>
      <alignment horizontal="left" wrapText="1"/>
    </xf>
    <xf numFmtId="0" fontId="8" fillId="8" borderId="6" xfId="0" applyFont="1" applyFill="1" applyBorder="1" applyAlignment="1" applyProtection="1">
      <alignment horizontal="left" wrapText="1"/>
    </xf>
    <xf numFmtId="0" fontId="8" fillId="8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8" borderId="6" xfId="0" applyFont="1" applyFill="1" applyBorder="1" applyAlignment="1" applyProtection="1"/>
    <xf numFmtId="0" fontId="8" fillId="8" borderId="3" xfId="0" applyFont="1" applyFill="1" applyBorder="1" applyAlignment="1" applyProtection="1"/>
    <xf numFmtId="0" fontId="8" fillId="8" borderId="2" xfId="0" quotePrefix="1" applyFont="1" applyFill="1" applyBorder="1" applyAlignment="1" applyProtection="1"/>
    <xf numFmtId="0" fontId="8" fillId="8" borderId="6" xfId="0" quotePrefix="1" applyFont="1" applyFill="1" applyBorder="1" applyAlignment="1" applyProtection="1"/>
    <xf numFmtId="0" fontId="8" fillId="8" borderId="3" xfId="0" quotePrefix="1" applyFont="1" applyFill="1" applyBorder="1" applyAlignment="1" applyProtection="1"/>
    <xf numFmtId="0" fontId="2" fillId="2" borderId="0" xfId="0" applyFont="1" applyFill="1" applyAlignment="1" applyProtection="1">
      <alignment horizontal="center" wrapText="1"/>
    </xf>
    <xf numFmtId="0" fontId="2" fillId="2" borderId="7" xfId="0" applyFont="1" applyFill="1" applyBorder="1" applyAlignment="1" applyProtection="1">
      <alignment horizontal="center" wrapText="1"/>
    </xf>
    <xf numFmtId="0" fontId="0" fillId="2" borderId="0" xfId="0" applyFill="1" applyAlignment="1" applyProtection="1">
      <alignment horizontal="center" wrapText="1"/>
    </xf>
    <xf numFmtId="0" fontId="8" fillId="4" borderId="1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8" borderId="2" xfId="0" quotePrefix="1" applyFont="1" applyFill="1" applyBorder="1" applyAlignment="1" applyProtection="1">
      <alignment horizontal="left"/>
    </xf>
    <xf numFmtId="0" fontId="8" fillId="8" borderId="6" xfId="0" quotePrefix="1" applyFont="1" applyFill="1" applyBorder="1" applyAlignment="1" applyProtection="1">
      <alignment horizontal="left"/>
    </xf>
    <xf numFmtId="0" fontId="8" fillId="8" borderId="3" xfId="0" quotePrefix="1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49" fontId="8" fillId="8" borderId="6" xfId="0" applyNumberFormat="1" applyFont="1" applyFill="1" applyBorder="1" applyAlignment="1" applyProtection="1">
      <alignment horizontal="left" wrapText="1"/>
    </xf>
    <xf numFmtId="49" fontId="8" fillId="8" borderId="3" xfId="0" applyNumberFormat="1" applyFont="1" applyFill="1" applyBorder="1" applyAlignment="1" applyProtection="1">
      <alignment horizontal="left" wrapText="1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F2DCDB"/>
      <color rgb="FF212121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328125" defaultRowHeight="14.25" x14ac:dyDescent="0.45"/>
  <cols>
    <col min="1" max="1" width="9.1328125" style="2"/>
    <col min="2" max="2" width="5.86328125" style="2" customWidth="1"/>
    <col min="3" max="4" width="9.1328125" style="2"/>
    <col min="5" max="5" width="11.73046875" style="2" customWidth="1"/>
    <col min="6" max="6" width="11.59765625" style="2" customWidth="1"/>
    <col min="7" max="8" width="9.1328125" style="2"/>
    <col min="9" max="9" width="12.1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45">
      <c r="A4" s="1"/>
      <c r="B4" s="1"/>
      <c r="C4" s="1"/>
      <c r="D4" s="1"/>
      <c r="E4" s="1"/>
      <c r="F4" s="1"/>
      <c r="G4" s="1"/>
      <c r="H4" s="1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45">
      <c r="A6" s="1"/>
      <c r="B6" s="1"/>
      <c r="C6" s="3"/>
      <c r="D6" s="70" t="s">
        <v>4</v>
      </c>
      <c r="E6" s="70"/>
      <c r="F6" s="70"/>
      <c r="G6" s="70"/>
      <c r="H6" s="3"/>
      <c r="I6" s="1"/>
    </row>
    <row r="7" spans="1:9" ht="15" customHeight="1" x14ac:dyDescent="0.45">
      <c r="A7" s="1"/>
      <c r="B7" s="1"/>
      <c r="C7" s="3"/>
      <c r="D7" s="70"/>
      <c r="E7" s="70"/>
      <c r="F7" s="70"/>
      <c r="G7" s="70"/>
      <c r="H7" s="3"/>
      <c r="I7" s="1"/>
    </row>
    <row r="8" spans="1:9" ht="15.75" x14ac:dyDescent="0.5">
      <c r="A8" s="1"/>
      <c r="B8" s="1"/>
      <c r="C8" s="4"/>
      <c r="D8" s="78" t="s">
        <v>285</v>
      </c>
      <c r="E8" s="78"/>
      <c r="F8" s="78"/>
      <c r="G8" s="78"/>
      <c r="H8" s="4"/>
      <c r="I8" s="1"/>
    </row>
    <row r="9" spans="1:9" x14ac:dyDescent="0.45">
      <c r="A9" s="1"/>
      <c r="B9" s="1"/>
      <c r="C9" s="5"/>
      <c r="D9" s="5"/>
      <c r="E9" s="5"/>
      <c r="F9" s="5"/>
      <c r="G9" s="5"/>
      <c r="H9" s="5"/>
      <c r="I9" s="1"/>
    </row>
    <row r="10" spans="1:9" x14ac:dyDescent="0.4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45">
      <c r="A11" s="1"/>
      <c r="B11" s="5"/>
      <c r="C11" s="5"/>
      <c r="D11" s="77" t="s">
        <v>5</v>
      </c>
      <c r="E11" s="77"/>
      <c r="F11" s="77"/>
      <c r="G11" s="77"/>
      <c r="H11" s="5"/>
      <c r="I11" s="1"/>
    </row>
    <row r="12" spans="1:9" x14ac:dyDescent="0.4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45">
      <c r="A13" s="1"/>
      <c r="B13" s="1"/>
      <c r="C13" s="6" t="s">
        <v>6</v>
      </c>
      <c r="D13" s="67" t="s">
        <v>245</v>
      </c>
      <c r="E13" s="68"/>
      <c r="F13" s="68"/>
      <c r="G13" s="69"/>
      <c r="H13" s="1"/>
      <c r="I13" s="1"/>
    </row>
    <row r="14" spans="1:9" x14ac:dyDescent="0.45">
      <c r="A14" s="1"/>
      <c r="B14" s="1"/>
      <c r="C14" s="6" t="s">
        <v>17</v>
      </c>
      <c r="D14" s="67" t="s">
        <v>246</v>
      </c>
      <c r="E14" s="68"/>
      <c r="F14" s="68"/>
      <c r="G14" s="69"/>
      <c r="H14" s="1"/>
      <c r="I14" s="1"/>
    </row>
    <row r="15" spans="1:9" x14ac:dyDescent="0.45">
      <c r="A15" s="1"/>
      <c r="B15" s="1"/>
      <c r="C15" s="6" t="s">
        <v>37</v>
      </c>
      <c r="D15" s="67" t="s">
        <v>160</v>
      </c>
      <c r="E15" s="68"/>
      <c r="F15" s="68"/>
      <c r="G15" s="69"/>
      <c r="H15" s="1"/>
      <c r="I15" s="1"/>
    </row>
    <row r="16" spans="1:9" x14ac:dyDescent="0.45">
      <c r="A16" s="1"/>
      <c r="B16" s="1"/>
      <c r="C16" s="6" t="s">
        <v>38</v>
      </c>
      <c r="D16" s="67" t="s">
        <v>247</v>
      </c>
      <c r="E16" s="68"/>
      <c r="F16" s="68"/>
      <c r="G16" s="69"/>
      <c r="H16" s="1"/>
      <c r="I16" s="1"/>
    </row>
    <row r="17" spans="1:9" x14ac:dyDescent="0.45">
      <c r="A17" s="1"/>
      <c r="B17" s="1"/>
      <c r="C17" s="6" t="s">
        <v>144</v>
      </c>
      <c r="D17" s="67" t="s">
        <v>248</v>
      </c>
      <c r="E17" s="68"/>
      <c r="F17" s="68"/>
      <c r="G17" s="69"/>
      <c r="H17" s="1"/>
      <c r="I17" s="1"/>
    </row>
    <row r="18" spans="1:9" x14ac:dyDescent="0.45">
      <c r="A18" s="1"/>
      <c r="B18" s="1"/>
      <c r="C18" s="6" t="s">
        <v>124</v>
      </c>
      <c r="D18" s="79" t="s">
        <v>110</v>
      </c>
      <c r="E18" s="80"/>
      <c r="F18" s="80"/>
      <c r="G18" s="81"/>
      <c r="H18" s="1"/>
      <c r="I18" s="1"/>
    </row>
    <row r="19" spans="1:9" x14ac:dyDescent="0.45">
      <c r="A19" s="1"/>
      <c r="B19" s="1"/>
      <c r="C19" s="6" t="s">
        <v>125</v>
      </c>
      <c r="D19" s="79" t="s">
        <v>111</v>
      </c>
      <c r="E19" s="80"/>
      <c r="F19" s="80"/>
      <c r="G19" s="81"/>
      <c r="H19" s="1"/>
      <c r="I19" s="1"/>
    </row>
    <row r="20" spans="1:9" x14ac:dyDescent="0.45">
      <c r="A20" s="1"/>
      <c r="B20" s="1"/>
      <c r="C20" s="6" t="s">
        <v>7</v>
      </c>
      <c r="D20" s="79" t="s">
        <v>10</v>
      </c>
      <c r="E20" s="80"/>
      <c r="F20" s="80"/>
      <c r="G20" s="81"/>
      <c r="H20" s="1"/>
      <c r="I20" s="1"/>
    </row>
    <row r="21" spans="1:9" x14ac:dyDescent="0.45">
      <c r="A21" s="1"/>
      <c r="B21" s="1"/>
      <c r="C21" s="6" t="s">
        <v>126</v>
      </c>
      <c r="D21" s="71" t="s">
        <v>13</v>
      </c>
      <c r="E21" s="72"/>
      <c r="F21" s="72"/>
      <c r="G21" s="73"/>
      <c r="H21" s="1"/>
      <c r="I21" s="1"/>
    </row>
    <row r="22" spans="1:9" x14ac:dyDescent="0.45">
      <c r="A22" s="1"/>
      <c r="B22" s="1"/>
      <c r="C22" s="6" t="s">
        <v>91</v>
      </c>
      <c r="D22" s="74" t="s">
        <v>249</v>
      </c>
      <c r="E22" s="75"/>
      <c r="F22" s="75"/>
      <c r="G22" s="76"/>
      <c r="H22" s="1"/>
      <c r="I22" s="1"/>
    </row>
    <row r="23" spans="1:9" x14ac:dyDescent="0.45">
      <c r="A23" s="1"/>
      <c r="B23" s="1"/>
      <c r="C23" s="6" t="s">
        <v>8</v>
      </c>
      <c r="D23" s="74" t="s">
        <v>195</v>
      </c>
      <c r="E23" s="75"/>
      <c r="F23" s="75"/>
      <c r="G23" s="76"/>
      <c r="H23" s="1"/>
      <c r="I23" s="1"/>
    </row>
    <row r="24" spans="1:9" x14ac:dyDescent="0.45">
      <c r="A24" s="1"/>
      <c r="B24" s="1"/>
      <c r="C24" s="6" t="s">
        <v>9</v>
      </c>
      <c r="D24" s="74" t="s">
        <v>39</v>
      </c>
      <c r="E24" s="75"/>
      <c r="F24" s="75"/>
      <c r="G24" s="76"/>
      <c r="H24" s="1"/>
      <c r="I24" s="1"/>
    </row>
    <row r="25" spans="1:9" x14ac:dyDescent="0.45">
      <c r="A25" s="1"/>
      <c r="B25" s="1"/>
      <c r="C25" s="6" t="s">
        <v>127</v>
      </c>
      <c r="D25" s="74" t="s">
        <v>92</v>
      </c>
      <c r="E25" s="75"/>
      <c r="F25" s="75"/>
      <c r="G25" s="76"/>
      <c r="H25" s="1"/>
      <c r="I25" s="1"/>
    </row>
    <row r="26" spans="1:9" x14ac:dyDescent="0.45">
      <c r="A26" s="1"/>
      <c r="B26" s="1"/>
      <c r="C26" s="6" t="s">
        <v>128</v>
      </c>
      <c r="D26" s="74" t="s">
        <v>93</v>
      </c>
      <c r="E26" s="75"/>
      <c r="F26" s="75"/>
      <c r="G26" s="76"/>
      <c r="H26" s="1"/>
      <c r="I26" s="1"/>
    </row>
    <row r="27" spans="1:9" x14ac:dyDescent="0.45">
      <c r="A27" s="1"/>
      <c r="B27" s="1"/>
      <c r="C27" s="6" t="s">
        <v>129</v>
      </c>
      <c r="D27" s="74" t="s">
        <v>94</v>
      </c>
      <c r="E27" s="75"/>
      <c r="F27" s="75"/>
      <c r="G27" s="76"/>
      <c r="H27" s="1"/>
      <c r="I27" s="1"/>
    </row>
    <row r="28" spans="1:9" x14ac:dyDescent="0.45">
      <c r="A28" s="1"/>
      <c r="B28" s="1"/>
      <c r="C28" s="6" t="s">
        <v>16</v>
      </c>
      <c r="D28" s="74" t="s">
        <v>161</v>
      </c>
      <c r="E28" s="75"/>
      <c r="F28" s="75"/>
      <c r="G28" s="76"/>
      <c r="H28" s="1"/>
      <c r="I28" s="1"/>
    </row>
    <row r="29" spans="1:9" x14ac:dyDescent="0.45">
      <c r="A29" s="1"/>
      <c r="B29" s="1"/>
      <c r="C29" s="6" t="s">
        <v>41</v>
      </c>
      <c r="D29" s="74" t="s">
        <v>40</v>
      </c>
      <c r="E29" s="75"/>
      <c r="F29" s="75"/>
      <c r="G29" s="76"/>
      <c r="H29" s="1"/>
      <c r="I29" s="1"/>
    </row>
    <row r="30" spans="1:9" x14ac:dyDescent="0.45">
      <c r="A30" s="1"/>
      <c r="B30" s="1"/>
      <c r="C30" s="6" t="s">
        <v>42</v>
      </c>
      <c r="D30" s="82" t="s">
        <v>123</v>
      </c>
      <c r="E30" s="83"/>
      <c r="F30" s="83"/>
      <c r="G30" s="84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4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4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4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4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x7eJTuPiqaUz3/KrYRSq12iDcIq+ly3fCKrredweSJ6SJs5tw5nPgZkVuIX+ewombbSZDi+ktw9bXcXDOiteaQ==" saltValue="MMreEaF8kAwuxIVW2ft1pA==" spinCount="100000" sheet="1" objects="1" scenarios="1"/>
  <mergeCells count="21">
    <mergeCell ref="D29:G29"/>
    <mergeCell ref="D30:G30"/>
    <mergeCell ref="D18:G18"/>
    <mergeCell ref="D24:G24"/>
    <mergeCell ref="D25:G25"/>
    <mergeCell ref="D28:G28"/>
    <mergeCell ref="D26:G26"/>
    <mergeCell ref="D27:G27"/>
    <mergeCell ref="D23:G23"/>
    <mergeCell ref="D14:G14"/>
    <mergeCell ref="D6:G7"/>
    <mergeCell ref="D21:G21"/>
    <mergeCell ref="D22:G22"/>
    <mergeCell ref="D11:G11"/>
    <mergeCell ref="D8:G8"/>
    <mergeCell ref="D15:G15"/>
    <mergeCell ref="D16:G16"/>
    <mergeCell ref="D19:G19"/>
    <mergeCell ref="D13:G13"/>
    <mergeCell ref="D17:G17"/>
    <mergeCell ref="D20:G20"/>
  </mergeCells>
  <hyperlinks>
    <hyperlink ref="D14:G14" location="'Fane 2.2. Økonomisk ramme 2023'!A1" display="Samlet økonomisk ramme for 2022"/>
    <hyperlink ref="D25:G25" location="'Fane 10.1. Varige tillæg'!A1" display="Varige tillæg"/>
    <hyperlink ref="D28:G28" location="'Fane 12. Tilknyttet virksomhed'!A1" display="Tilknyttet virksomhed"/>
    <hyperlink ref="D29:G29" location="'Fane 13. Bortfald'!A1" display="Bortfald"/>
    <hyperlink ref="D13:G13" location="'Fane 2.1. Økonomisk ramme 2022'!A1" display="Samlet økonomisk ramme for 2021"/>
    <hyperlink ref="D16:G16" location="'Fane 2.4. Økonomisk ramme 2025'!A1" display="Vejledende økonomisk ramme for 2024"/>
    <hyperlink ref="D15:G15" location="'Fane 2.3. Økonomisk ramme 2024'!A1" display="Vejledende økonomisk ramme for 2023"/>
    <hyperlink ref="D22:G22" location="'Fane 7. Kontrol af ØR2020'!A1" display="Kontrol af den økonomiske ramme for 2019"/>
    <hyperlink ref="D24:G24" location="'Fane 9. Anlægsprojekter'!A1" display="Anlægsprojekter"/>
    <hyperlink ref="D30:G30" location="'Fane 14. Nøgletal'!A1" display="Nøgletal"/>
    <hyperlink ref="D17:G17" location="'Fane 3. Omkostninger i ØR2021'!A1" display="Omkostninger i ØR2020"/>
    <hyperlink ref="D26:G26" location="'Fane 10.2. Engangstillæg'!A1" display="Engangstillæg"/>
    <hyperlink ref="D27:G27" location="'Fane 11. Periodevise driftsomk.'!A1" display="Periodevise driftsomkostninger"/>
    <hyperlink ref="D23:G23" location="'Fane 6. Korrektion af ØR2020" display="Korrektion af den økonomiske ramme for 2019"/>
    <hyperlink ref="D21:G21" location="'Fane 6. Ikke-påvirkelige omk.'!A1" display="Ikke-påvirkelige omkostninger"/>
    <hyperlink ref="D18:G18" location="'Fane 4.1. Gen. krav - drift'!A1" display="Generelt effektiviseringskrav på drift"/>
    <hyperlink ref="D20:G20" location="'Fane 5. Individuelt eff. krav'!A1" display="Individuelt effektiviseringskrav"/>
    <hyperlink ref="D19:G19" location="'Fane 4.2. Gen. krav - anlæg'!A1" display="Generelt effektiviseringskrav på anlæg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2"/>
  <sheetViews>
    <sheetView showGridLines="0" view="pageLayout" zoomScaleNormal="100" workbookViewId="0"/>
  </sheetViews>
  <sheetFormatPr defaultColWidth="9.1328125" defaultRowHeight="14.25" x14ac:dyDescent="0.45"/>
  <cols>
    <col min="1" max="1" width="8.1328125" style="2" customWidth="1"/>
    <col min="2" max="2" width="38" style="2" customWidth="1"/>
    <col min="3" max="3" width="24.86328125" style="2" customWidth="1"/>
    <col min="4" max="4" width="3.265625" style="2" customWidth="1"/>
    <col min="5" max="5" width="7.86328125" style="2" customWidth="1"/>
    <col min="6" max="6" width="4" style="2" customWidth="1"/>
    <col min="7" max="16384" width="9.1328125" style="2"/>
  </cols>
  <sheetData>
    <row r="1" spans="1:6" x14ac:dyDescent="0.45">
      <c r="A1" s="1"/>
      <c r="B1" s="1"/>
      <c r="C1" s="1"/>
      <c r="D1" s="1"/>
      <c r="E1" s="1"/>
      <c r="F1" s="1"/>
    </row>
    <row r="2" spans="1:6" x14ac:dyDescent="0.45">
      <c r="A2" s="1"/>
      <c r="B2" s="1"/>
      <c r="C2" s="1"/>
      <c r="D2" s="1"/>
      <c r="E2" s="1"/>
      <c r="F2" s="1"/>
    </row>
    <row r="3" spans="1:6" ht="15" customHeight="1" x14ac:dyDescent="0.45">
      <c r="A3" s="1"/>
      <c r="B3" s="85" t="s">
        <v>132</v>
      </c>
      <c r="C3" s="85"/>
      <c r="D3" s="85"/>
      <c r="E3" s="1"/>
      <c r="F3" s="1"/>
    </row>
    <row r="4" spans="1:6" ht="15" customHeight="1" x14ac:dyDescent="0.45">
      <c r="A4" s="1"/>
      <c r="B4" s="85"/>
      <c r="C4" s="85"/>
      <c r="D4" s="85"/>
      <c r="E4" s="1"/>
      <c r="F4" s="1"/>
    </row>
    <row r="5" spans="1:6" x14ac:dyDescent="0.45">
      <c r="A5" s="1"/>
      <c r="B5" s="1"/>
      <c r="C5" s="1"/>
      <c r="D5" s="1"/>
      <c r="E5" s="1"/>
      <c r="F5" s="1"/>
    </row>
    <row r="6" spans="1:6" x14ac:dyDescent="0.45">
      <c r="A6" s="1"/>
      <c r="B6" s="1"/>
      <c r="C6" s="1"/>
      <c r="D6" s="1"/>
      <c r="E6" s="1"/>
      <c r="F6" s="1"/>
    </row>
    <row r="7" spans="1:6" x14ac:dyDescent="0.45">
      <c r="A7" s="1"/>
      <c r="B7" s="1"/>
      <c r="C7" s="1"/>
      <c r="D7" s="1"/>
      <c r="E7" s="1"/>
      <c r="F7" s="1"/>
    </row>
    <row r="8" spans="1:6" x14ac:dyDescent="0.45">
      <c r="A8" s="1"/>
      <c r="B8" s="93" t="s">
        <v>208</v>
      </c>
      <c r="C8" s="94"/>
      <c r="D8" s="95"/>
      <c r="E8" s="1"/>
      <c r="F8" s="1"/>
    </row>
    <row r="9" spans="1:6" ht="15" customHeight="1" x14ac:dyDescent="0.45">
      <c r="A9" s="1"/>
      <c r="B9" s="31" t="s">
        <v>35</v>
      </c>
      <c r="C9" s="11" t="s">
        <v>244</v>
      </c>
      <c r="D9" s="11"/>
      <c r="E9" s="1"/>
      <c r="F9" s="1"/>
    </row>
    <row r="10" spans="1:6" ht="15" customHeight="1" x14ac:dyDescent="0.45">
      <c r="A10" s="1"/>
      <c r="B10" s="63" t="s">
        <v>262</v>
      </c>
      <c r="C10" s="9">
        <v>2035056</v>
      </c>
      <c r="D10" s="14" t="s">
        <v>3</v>
      </c>
      <c r="E10" s="1"/>
      <c r="F10" s="1"/>
    </row>
    <row r="11" spans="1:6" ht="15" customHeight="1" x14ac:dyDescent="0.45">
      <c r="A11" s="1"/>
      <c r="B11" s="63" t="s">
        <v>263</v>
      </c>
      <c r="C11" s="9">
        <v>68591</v>
      </c>
      <c r="D11" s="14" t="s">
        <v>3</v>
      </c>
      <c r="E11" s="1"/>
      <c r="F11" s="1"/>
    </row>
    <row r="12" spans="1:6" x14ac:dyDescent="0.45">
      <c r="A12" s="1"/>
      <c r="B12" s="63" t="s">
        <v>264</v>
      </c>
      <c r="C12" s="9">
        <v>497894</v>
      </c>
      <c r="D12" s="14" t="s">
        <v>3</v>
      </c>
      <c r="E12" s="1"/>
      <c r="F12" s="1"/>
    </row>
    <row r="13" spans="1:6" x14ac:dyDescent="0.45">
      <c r="A13" s="1"/>
      <c r="B13" s="63" t="s">
        <v>265</v>
      </c>
      <c r="C13" s="9">
        <v>2218227</v>
      </c>
      <c r="D13" s="14" t="s">
        <v>3</v>
      </c>
      <c r="E13" s="1"/>
      <c r="F13" s="1"/>
    </row>
    <row r="14" spans="1:6" x14ac:dyDescent="0.45">
      <c r="A14" s="1"/>
      <c r="B14" s="63" t="s">
        <v>266</v>
      </c>
      <c r="C14" s="9">
        <v>90105</v>
      </c>
      <c r="D14" s="14" t="s">
        <v>3</v>
      </c>
      <c r="E14" s="1"/>
      <c r="F14" s="1"/>
    </row>
    <row r="15" spans="1:6" x14ac:dyDescent="0.45">
      <c r="A15" s="1"/>
      <c r="B15" s="38" t="s">
        <v>209</v>
      </c>
      <c r="C15" s="12">
        <f>SUM(C10:C14)</f>
        <v>4909873</v>
      </c>
      <c r="D15" s="13" t="s">
        <v>3</v>
      </c>
      <c r="E15" s="1"/>
      <c r="F15" s="1"/>
    </row>
    <row r="16" spans="1:6" x14ac:dyDescent="0.45">
      <c r="A16" s="1"/>
      <c r="B16" s="38" t="s">
        <v>210</v>
      </c>
      <c r="C16" s="12">
        <f>C15*(1+'Fane 14. Nøgletal'!C14)^2</f>
        <v>4942331.6303169709</v>
      </c>
      <c r="D16" s="13" t="s">
        <v>3</v>
      </c>
      <c r="E16" s="1"/>
      <c r="F16" s="1"/>
    </row>
    <row r="17" spans="1:6" x14ac:dyDescent="0.45">
      <c r="A17" s="1"/>
      <c r="B17" s="16"/>
      <c r="C17" s="15"/>
      <c r="D17" s="15"/>
      <c r="E17" s="1"/>
      <c r="F17" s="1"/>
    </row>
    <row r="18" spans="1:6" x14ac:dyDescent="0.45">
      <c r="A18" s="1"/>
      <c r="B18" s="16"/>
      <c r="C18" s="15"/>
      <c r="D18" s="15"/>
      <c r="E18" s="1"/>
      <c r="F18" s="1"/>
    </row>
    <row r="19" spans="1:6" x14ac:dyDescent="0.45">
      <c r="A19" s="1"/>
      <c r="B19" s="93" t="s">
        <v>142</v>
      </c>
      <c r="C19" s="94"/>
      <c r="D19" s="95"/>
      <c r="E19" s="1"/>
      <c r="F19" s="1"/>
    </row>
    <row r="20" spans="1:6" x14ac:dyDescent="0.45">
      <c r="A20" s="1"/>
      <c r="B20" s="63" t="s">
        <v>116</v>
      </c>
      <c r="C20" s="9">
        <v>0</v>
      </c>
      <c r="D20" s="14" t="s">
        <v>3</v>
      </c>
      <c r="E20" s="1"/>
      <c r="F20" s="1"/>
    </row>
    <row r="21" spans="1:6" x14ac:dyDescent="0.45">
      <c r="A21" s="1"/>
      <c r="B21" s="63" t="s">
        <v>117</v>
      </c>
      <c r="C21" s="9">
        <v>0</v>
      </c>
      <c r="D21" s="14" t="s">
        <v>3</v>
      </c>
      <c r="E21" s="1"/>
      <c r="F21" s="1"/>
    </row>
    <row r="22" spans="1:6" x14ac:dyDescent="0.45">
      <c r="A22" s="1"/>
      <c r="B22" s="63" t="s">
        <v>154</v>
      </c>
      <c r="C22" s="9">
        <v>0</v>
      </c>
      <c r="D22" s="14" t="s">
        <v>3</v>
      </c>
      <c r="E22" s="1"/>
      <c r="F22" s="1"/>
    </row>
    <row r="23" spans="1:6" x14ac:dyDescent="0.45">
      <c r="A23" s="1"/>
      <c r="B23" s="63" t="s">
        <v>211</v>
      </c>
      <c r="C23" s="9">
        <v>0</v>
      </c>
      <c r="D23" s="14" t="s">
        <v>3</v>
      </c>
      <c r="E23" s="1"/>
      <c r="F23" s="1"/>
    </row>
    <row r="24" spans="1:6" x14ac:dyDescent="0.45">
      <c r="A24" s="1"/>
      <c r="B24" s="93"/>
      <c r="C24" s="94"/>
      <c r="D24" s="95"/>
      <c r="E24" s="1"/>
      <c r="F24" s="1"/>
    </row>
    <row r="25" spans="1:6" x14ac:dyDescent="0.45">
      <c r="A25" s="1"/>
      <c r="B25" s="1"/>
      <c r="C25" s="1"/>
      <c r="D25" s="1"/>
      <c r="E25" s="1"/>
      <c r="F25" s="1"/>
    </row>
    <row r="26" spans="1:6" x14ac:dyDescent="0.45">
      <c r="A26" s="1"/>
      <c r="B26" s="1"/>
      <c r="C26" s="1"/>
      <c r="D26" s="1"/>
      <c r="E26" s="1"/>
      <c r="F26" s="1"/>
    </row>
    <row r="27" spans="1:6" x14ac:dyDescent="0.45">
      <c r="A27" s="1"/>
      <c r="B27" s="93" t="s">
        <v>115</v>
      </c>
      <c r="C27" s="94"/>
      <c r="D27" s="95"/>
      <c r="E27" s="1"/>
      <c r="F27" s="1"/>
    </row>
    <row r="28" spans="1:6" x14ac:dyDescent="0.45">
      <c r="A28" s="1"/>
      <c r="B28" s="63" t="s">
        <v>116</v>
      </c>
      <c r="C28" s="9">
        <v>0</v>
      </c>
      <c r="D28" s="14" t="s">
        <v>3</v>
      </c>
      <c r="E28" s="1"/>
      <c r="F28" s="1"/>
    </row>
    <row r="29" spans="1:6" x14ac:dyDescent="0.45">
      <c r="A29" s="1"/>
      <c r="B29" s="63" t="s">
        <v>117</v>
      </c>
      <c r="C29" s="9">
        <v>0</v>
      </c>
      <c r="D29" s="14" t="s">
        <v>3</v>
      </c>
      <c r="E29" s="1"/>
      <c r="F29" s="1"/>
    </row>
    <row r="30" spans="1:6" x14ac:dyDescent="0.45">
      <c r="A30" s="1"/>
      <c r="B30" s="63" t="s">
        <v>154</v>
      </c>
      <c r="C30" s="9">
        <v>0</v>
      </c>
      <c r="D30" s="14" t="s">
        <v>3</v>
      </c>
      <c r="E30" s="1"/>
      <c r="F30" s="1"/>
    </row>
    <row r="31" spans="1:6" x14ac:dyDescent="0.45">
      <c r="A31" s="1"/>
      <c r="B31" s="63" t="s">
        <v>211</v>
      </c>
      <c r="C31" s="9">
        <v>0</v>
      </c>
      <c r="D31" s="14" t="s">
        <v>3</v>
      </c>
      <c r="E31" s="1"/>
      <c r="F31" s="1"/>
    </row>
    <row r="32" spans="1:6" x14ac:dyDescent="0.45">
      <c r="A32" s="1"/>
      <c r="B32" s="93"/>
      <c r="C32" s="94"/>
      <c r="D32" s="95"/>
      <c r="E32" s="1"/>
      <c r="F32" s="1"/>
    </row>
    <row r="33" spans="1:6" x14ac:dyDescent="0.45">
      <c r="A33" s="1"/>
      <c r="B33" s="1"/>
      <c r="C33" s="1"/>
      <c r="D33" s="1"/>
      <c r="E33" s="1"/>
      <c r="F33" s="1"/>
    </row>
    <row r="34" spans="1:6" x14ac:dyDescent="0.45">
      <c r="A34" s="1"/>
      <c r="B34" s="1"/>
      <c r="C34" s="1"/>
      <c r="D34" s="1"/>
      <c r="E34" s="1"/>
      <c r="F34" s="1"/>
    </row>
    <row r="35" spans="1:6" x14ac:dyDescent="0.45">
      <c r="A35" s="1"/>
      <c r="B35" s="1"/>
      <c r="C35" s="1"/>
      <c r="D35" s="1"/>
      <c r="E35" s="1"/>
      <c r="F35" s="1"/>
    </row>
    <row r="36" spans="1:6" x14ac:dyDescent="0.45">
      <c r="A36" s="1"/>
      <c r="B36" s="1"/>
      <c r="C36" s="1"/>
      <c r="D36" s="1"/>
      <c r="E36" s="1"/>
      <c r="F36" s="1"/>
    </row>
    <row r="37" spans="1:6" x14ac:dyDescent="0.45">
      <c r="A37" s="1"/>
      <c r="B37" s="1"/>
      <c r="C37" s="1"/>
      <c r="D37" s="1"/>
      <c r="E37" s="1"/>
      <c r="F37" s="1"/>
    </row>
    <row r="38" spans="1:6" x14ac:dyDescent="0.45">
      <c r="A38" s="1"/>
      <c r="B38" s="1"/>
      <c r="C38" s="1"/>
      <c r="D38" s="1"/>
      <c r="E38" s="1"/>
      <c r="F38" s="1"/>
    </row>
    <row r="39" spans="1:6" x14ac:dyDescent="0.45">
      <c r="A39" s="1"/>
      <c r="B39" s="1"/>
      <c r="C39" s="1"/>
      <c r="D39" s="1"/>
      <c r="E39" s="1"/>
      <c r="F39" s="1"/>
    </row>
    <row r="40" spans="1:6" x14ac:dyDescent="0.45">
      <c r="A40" s="1"/>
      <c r="B40" s="1"/>
      <c r="C40" s="1"/>
      <c r="D40" s="1"/>
      <c r="E40" s="1"/>
      <c r="F40" s="1"/>
    </row>
    <row r="41" spans="1:6" x14ac:dyDescent="0.45">
      <c r="A41" s="1"/>
      <c r="B41" s="1"/>
      <c r="C41" s="1"/>
      <c r="D41" s="1"/>
      <c r="E41" s="1"/>
      <c r="F41" s="1"/>
    </row>
    <row r="42" spans="1:6" x14ac:dyDescent="0.45">
      <c r="A42" s="1"/>
      <c r="B42" s="1"/>
      <c r="C42" s="1"/>
      <c r="D42" s="1"/>
      <c r="E42" s="1"/>
      <c r="F42" s="1"/>
    </row>
    <row r="43" spans="1:6" x14ac:dyDescent="0.45">
      <c r="A43" s="1"/>
      <c r="B43" s="1"/>
      <c r="C43" s="1"/>
      <c r="D43" s="1"/>
      <c r="E43" s="1"/>
      <c r="F43" s="1"/>
    </row>
    <row r="44" spans="1:6" x14ac:dyDescent="0.45">
      <c r="A44" s="1"/>
      <c r="B44" s="1"/>
      <c r="C44" s="1"/>
      <c r="D44" s="1"/>
      <c r="E44" s="1"/>
      <c r="F44" s="1"/>
    </row>
    <row r="45" spans="1:6" x14ac:dyDescent="0.45">
      <c r="A45" s="1"/>
      <c r="B45" s="1"/>
      <c r="C45" s="1"/>
      <c r="D45" s="1"/>
      <c r="E45" s="1"/>
      <c r="F45" s="1"/>
    </row>
    <row r="46" spans="1:6" x14ac:dyDescent="0.45">
      <c r="A46" s="1"/>
      <c r="B46" s="1"/>
      <c r="C46" s="1"/>
      <c r="D46" s="1"/>
      <c r="E46" s="1"/>
      <c r="F46" s="1"/>
    </row>
    <row r="47" spans="1:6" x14ac:dyDescent="0.45">
      <c r="A47" s="1"/>
      <c r="B47" s="1"/>
      <c r="C47" s="1"/>
      <c r="D47" s="1"/>
      <c r="E47" s="1"/>
      <c r="F47" s="1"/>
    </row>
    <row r="48" spans="1:6" x14ac:dyDescent="0.45">
      <c r="A48" s="1"/>
      <c r="B48" s="1"/>
      <c r="C48" s="1"/>
      <c r="D48" s="1"/>
      <c r="E48" s="1"/>
      <c r="F48" s="1"/>
    </row>
    <row r="49" spans="1:6" x14ac:dyDescent="0.45">
      <c r="A49" s="1"/>
      <c r="B49" s="1"/>
      <c r="C49" s="1"/>
      <c r="D49" s="1"/>
      <c r="E49" s="1"/>
      <c r="F49" s="1"/>
    </row>
    <row r="50" spans="1:6" x14ac:dyDescent="0.45">
      <c r="A50" s="1"/>
      <c r="B50" s="1"/>
      <c r="C50" s="1"/>
      <c r="D50" s="1"/>
      <c r="E50" s="1"/>
      <c r="F50" s="1"/>
    </row>
    <row r="51" spans="1:6" x14ac:dyDescent="0.45">
      <c r="A51" s="1"/>
      <c r="B51" s="1"/>
      <c r="C51" s="1"/>
      <c r="D51" s="1"/>
      <c r="E51" s="1"/>
      <c r="F51" s="1"/>
    </row>
    <row r="52" spans="1:6" x14ac:dyDescent="0.45">
      <c r="A52" s="1"/>
      <c r="B52" s="1"/>
      <c r="C52" s="1"/>
      <c r="D52" s="1"/>
      <c r="E52" s="1"/>
      <c r="F52" s="1"/>
    </row>
  </sheetData>
  <sheetProtection algorithmName="SHA-512" hashValue="1QW8x9hNDHv4V+g1UiF041Yg4ey9UnP0wTtY73Cqu+iTIJBW0gjZygyZU+5xan/61Ia9hPuJBZsDc9JS1TofYQ==" saltValue="LXfo7F3LWxX7mVkOtsDXAA==" spinCount="100000" sheet="1" objects="1" scenarios="1"/>
  <mergeCells count="6">
    <mergeCell ref="B32:D32"/>
    <mergeCell ref="B3:D4"/>
    <mergeCell ref="B8:D8"/>
    <mergeCell ref="B19:D19"/>
    <mergeCell ref="B27:D27"/>
    <mergeCell ref="B24:D24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43"/>
  <sheetViews>
    <sheetView showGridLines="0" view="pageLayout" zoomScaleNormal="100" workbookViewId="0"/>
  </sheetViews>
  <sheetFormatPr defaultColWidth="9.1328125" defaultRowHeight="14.25" x14ac:dyDescent="0.45"/>
  <cols>
    <col min="1" max="1" width="3.59765625" style="2" customWidth="1"/>
    <col min="2" max="3" width="9.1328125" style="2"/>
    <col min="4" max="4" width="45.86328125" style="2" customWidth="1"/>
    <col min="5" max="5" width="12.265625" style="2" bestFit="1" customWidth="1"/>
    <col min="6" max="6" width="3.265625" style="2" customWidth="1"/>
    <col min="7" max="7" width="2.398437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29.25" customHeight="1" x14ac:dyDescent="0.45">
      <c r="A3" s="1"/>
      <c r="B3" s="101" t="s">
        <v>212</v>
      </c>
      <c r="C3" s="101"/>
      <c r="D3" s="101"/>
      <c r="E3" s="101"/>
      <c r="F3" s="101"/>
      <c r="G3" s="1"/>
    </row>
    <row r="4" spans="1:7" ht="15" customHeight="1" x14ac:dyDescent="0.45">
      <c r="A4" s="1"/>
      <c r="B4" s="101"/>
      <c r="C4" s="101"/>
      <c r="D4" s="101"/>
      <c r="E4" s="101"/>
      <c r="F4" s="101"/>
      <c r="G4" s="1"/>
    </row>
    <row r="5" spans="1:7" ht="15" customHeight="1" x14ac:dyDescent="0.45">
      <c r="A5" s="1"/>
      <c r="B5" s="51"/>
      <c r="C5" s="51"/>
      <c r="D5" s="51"/>
      <c r="E5" s="51"/>
      <c r="F5" s="51"/>
      <c r="G5" s="1"/>
    </row>
    <row r="6" spans="1:7" ht="15" customHeight="1" x14ac:dyDescent="0.45">
      <c r="A6" s="1"/>
      <c r="B6" s="51"/>
      <c r="C6" s="51"/>
      <c r="D6" s="51"/>
      <c r="E6" s="51"/>
      <c r="F6" s="5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93" t="s">
        <v>268</v>
      </c>
      <c r="C8" s="94"/>
      <c r="D8" s="94"/>
      <c r="E8" s="94"/>
      <c r="F8" s="95"/>
      <c r="G8" s="1"/>
    </row>
    <row r="9" spans="1:7" x14ac:dyDescent="0.45">
      <c r="A9" s="1"/>
      <c r="B9" s="102" t="s">
        <v>269</v>
      </c>
      <c r="C9" s="103"/>
      <c r="D9" s="104"/>
      <c r="E9" s="9">
        <v>3650695.3174219131</v>
      </c>
      <c r="F9" s="14" t="s">
        <v>3</v>
      </c>
      <c r="G9" s="1"/>
    </row>
    <row r="10" spans="1:7" x14ac:dyDescent="0.45">
      <c r="A10" s="1"/>
      <c r="B10" s="102" t="s">
        <v>270</v>
      </c>
      <c r="C10" s="103"/>
      <c r="D10" s="104"/>
      <c r="E10" s="9">
        <v>-136600.58960442245</v>
      </c>
      <c r="F10" s="14" t="s">
        <v>3</v>
      </c>
      <c r="G10" s="1"/>
    </row>
    <row r="11" spans="1:7" x14ac:dyDescent="0.45">
      <c r="A11" s="1"/>
      <c r="B11" s="102" t="s">
        <v>271</v>
      </c>
      <c r="C11" s="103"/>
      <c r="D11" s="104"/>
      <c r="E11" s="9">
        <v>0</v>
      </c>
      <c r="F11" s="14" t="s">
        <v>3</v>
      </c>
      <c r="G11" s="1"/>
    </row>
    <row r="12" spans="1:7" x14ac:dyDescent="0.45">
      <c r="A12" s="1"/>
      <c r="B12" s="102" t="s">
        <v>272</v>
      </c>
      <c r="C12" s="103"/>
      <c r="D12" s="104"/>
      <c r="E12" s="9">
        <v>445114.09797375649</v>
      </c>
      <c r="F12" s="14" t="s">
        <v>3</v>
      </c>
      <c r="G12" s="1"/>
    </row>
    <row r="13" spans="1:7" x14ac:dyDescent="0.45">
      <c r="A13" s="1"/>
      <c r="B13" s="38"/>
      <c r="C13" s="32"/>
      <c r="D13" s="32"/>
      <c r="E13" s="32"/>
      <c r="F13" s="20"/>
      <c r="G13" s="1"/>
    </row>
    <row r="14" spans="1:7" ht="51.75" customHeight="1" x14ac:dyDescent="0.45">
      <c r="A14" s="1"/>
      <c r="B14" s="96" t="s">
        <v>273</v>
      </c>
      <c r="C14" s="97"/>
      <c r="D14" s="97"/>
      <c r="E14" s="97"/>
      <c r="F14" s="98"/>
      <c r="G14" s="1"/>
    </row>
    <row r="15" spans="1:7" ht="27" customHeight="1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93" t="s">
        <v>274</v>
      </c>
      <c r="C16" s="94"/>
      <c r="D16" s="94"/>
      <c r="E16" s="94"/>
      <c r="F16" s="95"/>
      <c r="G16" s="1"/>
    </row>
    <row r="17" spans="1:7" x14ac:dyDescent="0.45">
      <c r="A17" s="1"/>
      <c r="B17" s="102" t="s">
        <v>275</v>
      </c>
      <c r="C17" s="103"/>
      <c r="D17" s="104"/>
      <c r="E17" s="9">
        <v>0</v>
      </c>
      <c r="F17" s="14" t="s">
        <v>3</v>
      </c>
      <c r="G17" s="1"/>
    </row>
    <row r="18" spans="1:7" x14ac:dyDescent="0.45">
      <c r="A18" s="1"/>
      <c r="B18" s="102" t="s">
        <v>276</v>
      </c>
      <c r="C18" s="103"/>
      <c r="D18" s="104"/>
      <c r="E18" s="9">
        <v>0</v>
      </c>
      <c r="F18" s="14" t="s">
        <v>3</v>
      </c>
      <c r="G18" s="1"/>
    </row>
    <row r="19" spans="1:7" x14ac:dyDescent="0.45">
      <c r="A19" s="1"/>
      <c r="B19" s="38"/>
      <c r="C19" s="32"/>
      <c r="D19" s="32"/>
      <c r="E19" s="32"/>
      <c r="F19" s="20"/>
      <c r="G19" s="1"/>
    </row>
    <row r="20" spans="1:7" ht="29.25" customHeight="1" x14ac:dyDescent="0.45">
      <c r="A20" s="1"/>
      <c r="B20" s="96" t="s">
        <v>277</v>
      </c>
      <c r="C20" s="97"/>
      <c r="D20" s="97"/>
      <c r="E20" s="97"/>
      <c r="F20" s="98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55" t="s">
        <v>213</v>
      </c>
      <c r="C22" s="56"/>
      <c r="D22" s="56"/>
      <c r="E22" s="56"/>
      <c r="F22" s="57"/>
      <c r="G22" s="1"/>
    </row>
    <row r="23" spans="1:7" x14ac:dyDescent="0.45">
      <c r="A23" s="1"/>
      <c r="B23" s="60" t="s">
        <v>214</v>
      </c>
      <c r="C23" s="61"/>
      <c r="D23" s="62"/>
      <c r="E23" s="9">
        <v>64327588.554753125</v>
      </c>
      <c r="F23" s="14" t="s">
        <v>3</v>
      </c>
      <c r="G23" s="1"/>
    </row>
    <row r="24" spans="1:7" x14ac:dyDescent="0.45">
      <c r="A24" s="1"/>
      <c r="B24" s="60" t="s">
        <v>215</v>
      </c>
      <c r="C24" s="61"/>
      <c r="D24" s="62"/>
      <c r="E24" s="9">
        <v>68410533</v>
      </c>
      <c r="F24" s="14" t="s">
        <v>3</v>
      </c>
      <c r="G24" s="1"/>
    </row>
    <row r="25" spans="1:7" x14ac:dyDescent="0.45">
      <c r="A25" s="1"/>
      <c r="B25" s="60" t="s">
        <v>36</v>
      </c>
      <c r="C25" s="61"/>
      <c r="D25" s="62"/>
      <c r="E25" s="9">
        <v>0</v>
      </c>
      <c r="F25" s="14" t="s">
        <v>3</v>
      </c>
      <c r="G25" s="1"/>
    </row>
    <row r="26" spans="1:7" x14ac:dyDescent="0.45">
      <c r="A26" s="1"/>
      <c r="B26" s="58" t="s">
        <v>278</v>
      </c>
      <c r="C26" s="59"/>
      <c r="D26" s="65"/>
      <c r="E26" s="47">
        <f>E23-(E24-E25)</f>
        <v>-4082944.4452468753</v>
      </c>
      <c r="F26" s="17" t="s">
        <v>3</v>
      </c>
      <c r="G26" s="1"/>
    </row>
    <row r="27" spans="1:7" x14ac:dyDescent="0.45">
      <c r="A27" s="1"/>
      <c r="B27" s="38"/>
      <c r="C27" s="32"/>
      <c r="D27" s="32"/>
      <c r="E27" s="32"/>
      <c r="F27" s="20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93" t="s">
        <v>186</v>
      </c>
      <c r="C30" s="94"/>
      <c r="D30" s="94"/>
      <c r="E30" s="94"/>
      <c r="F30" s="95"/>
      <c r="G30" s="1"/>
    </row>
    <row r="31" spans="1:7" x14ac:dyDescent="0.45">
      <c r="A31" s="1"/>
      <c r="B31" s="118" t="s">
        <v>283</v>
      </c>
      <c r="C31" s="119"/>
      <c r="D31" s="120"/>
      <c r="E31" s="9">
        <v>1</v>
      </c>
      <c r="F31" s="14"/>
      <c r="G31" s="1"/>
    </row>
    <row r="32" spans="1:7" x14ac:dyDescent="0.45">
      <c r="A32" s="1"/>
      <c r="B32" s="118" t="s">
        <v>187</v>
      </c>
      <c r="C32" s="119"/>
      <c r="D32" s="120"/>
      <c r="E32" s="9">
        <f>IF(AND(E26&gt;0,E31&gt;0),0,
IF(AND(E26&lt;0,OR(E31=1,E31=3),ABS(E26)&lt;ABS(SUM(E9:E10,E12))),0,
IF(AND(E26&lt;0,OR(E31=1,E31=3),ABS(E26)&gt;ABS(SUM(E9:E10,E12))),(E26+SUM(E9:E10,E12)),
IF(AND(E26&lt;0,E31=2,ABS(E26)&lt;ABS(SUM(E10,E12))),0,
IF(AND(E26&lt;0,E31=2,ABS(E26)&gt;ABS(SUM(E10,E12))),(E26+SUM(E10,E12)),
IF(AND(E10&lt;0,E12&gt;0,E26&lt;0,ABS(E11)&gt;ABS(E12)),E26,
IF(AND(E10&lt;0,E12&gt;0,E26&lt;0,ABS(E11)&lt;ABS(E12),ABS(SUM(E11,E12))&gt;ABS(E26)),0,
IF(AND(E10&lt;0,E12&gt;0,E26&lt;0,ABS(E11)&lt;ABS(E12),ABS(SUM(E11,E12))&lt;ABS(E26)),(ABS(SUM(E11,E12))-ABS(E26)),
IF(AND(E10&gt;0,E12&gt;0,E26&lt;0,ABS(E12)&gt;ABS(E26)),0,
IF(AND(E10&gt;0,E12&gt;0,E26&lt;0,ABS(E12)&lt;ABS(E26)),(ABS(E12)-ABS(E26)),
IF(AND(E12&lt;0,E26&lt;0),E17+E18+E26,
IF(AND(E12&lt;0,E26&gt;0),E18+E17,
IF(AND(E12&gt;0,E26&gt;0),0,"Fejl")))))))))))))</f>
        <v>-123735.6194556281</v>
      </c>
      <c r="F32" s="14" t="s">
        <v>3</v>
      </c>
      <c r="G32" s="1"/>
    </row>
    <row r="33" spans="1:7" x14ac:dyDescent="0.45">
      <c r="A33" s="1"/>
      <c r="B33" s="118" t="s">
        <v>120</v>
      </c>
      <c r="C33" s="119"/>
      <c r="D33" s="120"/>
      <c r="E33" s="9">
        <v>2</v>
      </c>
      <c r="F33" s="14" t="s">
        <v>21</v>
      </c>
      <c r="G33" s="1"/>
    </row>
    <row r="34" spans="1:7" x14ac:dyDescent="0.45">
      <c r="A34" s="1"/>
      <c r="B34" s="114" t="s">
        <v>188</v>
      </c>
      <c r="C34" s="114"/>
      <c r="D34" s="114"/>
      <c r="E34" s="10">
        <f>E32/E33</f>
        <v>-61867.809727814049</v>
      </c>
      <c r="F34" s="17" t="s">
        <v>3</v>
      </c>
      <c r="G34" s="1"/>
    </row>
    <row r="35" spans="1:7" x14ac:dyDescent="0.45">
      <c r="A35" s="1"/>
      <c r="B35" s="115"/>
      <c r="C35" s="116"/>
      <c r="D35" s="116"/>
      <c r="E35" s="116"/>
      <c r="F35" s="117"/>
      <c r="G35" s="1"/>
    </row>
    <row r="36" spans="1:7" ht="75" customHeight="1" x14ac:dyDescent="0.45">
      <c r="A36" s="1"/>
      <c r="B36" s="96" t="s">
        <v>282</v>
      </c>
      <c r="C36" s="97"/>
      <c r="D36" s="97"/>
      <c r="E36" s="97"/>
      <c r="F36" s="98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</sheetData>
  <sheetProtection algorithmName="SHA-512" hashValue="QhDOQqfVX6kKLZSZx1hZHmK234GyQoqnTA1vuchZiyLamMopP9E8vI4KsBHFGodkVRz2D6tbxKzqPZCuTJo8ig==" saltValue="gVzxPSj04/olDolxJykwPQ==" spinCount="100000" sheet="1" objects="1" scenarios="1"/>
  <mergeCells count="18">
    <mergeCell ref="B34:D34"/>
    <mergeCell ref="B35:F35"/>
    <mergeCell ref="B36:F36"/>
    <mergeCell ref="B20:F20"/>
    <mergeCell ref="B30:F30"/>
    <mergeCell ref="B31:D31"/>
    <mergeCell ref="B32:D32"/>
    <mergeCell ref="B33:D33"/>
    <mergeCell ref="B3:F4"/>
    <mergeCell ref="B16:F16"/>
    <mergeCell ref="B17:D17"/>
    <mergeCell ref="B18:D18"/>
    <mergeCell ref="B8:F8"/>
    <mergeCell ref="B9:D9"/>
    <mergeCell ref="B10:D10"/>
    <mergeCell ref="B11:D11"/>
    <mergeCell ref="B12:D12"/>
    <mergeCell ref="B14:F14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9"/>
  <sheetViews>
    <sheetView showGridLines="0" view="pageLayout" zoomScaleNormal="100" workbookViewId="0"/>
  </sheetViews>
  <sheetFormatPr defaultColWidth="9.1328125" defaultRowHeight="14.25" x14ac:dyDescent="0.45"/>
  <cols>
    <col min="1" max="1" width="3.59765625" style="2" customWidth="1"/>
    <col min="2" max="3" width="9.1328125" style="2"/>
    <col min="4" max="4" width="45.59765625" style="2" customWidth="1"/>
    <col min="5" max="5" width="12.73046875" style="2" bestFit="1" customWidth="1"/>
    <col min="6" max="6" width="3.265625" style="2" customWidth="1"/>
    <col min="7" max="7" width="2.398437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29.25" customHeight="1" x14ac:dyDescent="0.45">
      <c r="A3" s="1"/>
      <c r="B3" s="101" t="s">
        <v>216</v>
      </c>
      <c r="C3" s="101"/>
      <c r="D3" s="101"/>
      <c r="E3" s="101"/>
      <c r="F3" s="101"/>
      <c r="G3" s="1"/>
    </row>
    <row r="4" spans="1:7" ht="15" customHeight="1" x14ac:dyDescent="0.45">
      <c r="A4" s="1"/>
      <c r="B4" s="101"/>
      <c r="C4" s="101"/>
      <c r="D4" s="101"/>
      <c r="E4" s="101"/>
      <c r="F4" s="101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1"/>
      <c r="C8" s="1"/>
      <c r="D8" s="1"/>
      <c r="E8" s="1"/>
      <c r="F8" s="1"/>
      <c r="G8" s="1"/>
    </row>
    <row r="9" spans="1:7" ht="15" customHeight="1" x14ac:dyDescent="0.45">
      <c r="A9" s="1"/>
      <c r="B9" s="93" t="s">
        <v>217</v>
      </c>
      <c r="C9" s="94"/>
      <c r="D9" s="94"/>
      <c r="E9" s="94"/>
      <c r="F9" s="95"/>
      <c r="G9" s="1"/>
    </row>
    <row r="10" spans="1:7" x14ac:dyDescent="0.45">
      <c r="A10" s="1"/>
      <c r="B10" s="96" t="s">
        <v>118</v>
      </c>
      <c r="C10" s="97"/>
      <c r="D10" s="98"/>
      <c r="E10" s="7">
        <v>1621168.8342093658</v>
      </c>
      <c r="F10" s="8" t="s">
        <v>3</v>
      </c>
      <c r="G10" s="1"/>
    </row>
    <row r="11" spans="1:7" x14ac:dyDescent="0.45">
      <c r="A11" s="1"/>
      <c r="B11" s="102" t="s">
        <v>218</v>
      </c>
      <c r="C11" s="103"/>
      <c r="D11" s="104"/>
      <c r="E11" s="7">
        <v>1583777</v>
      </c>
      <c r="F11" s="8" t="s">
        <v>3</v>
      </c>
      <c r="G11" s="1"/>
    </row>
    <row r="12" spans="1:7" x14ac:dyDescent="0.45">
      <c r="A12" s="1"/>
      <c r="B12" s="99" t="s">
        <v>119</v>
      </c>
      <c r="C12" s="100"/>
      <c r="D12" s="121"/>
      <c r="E12" s="10">
        <f>E11-E10</f>
        <v>-37391.83420936577</v>
      </c>
      <c r="F12" s="11" t="s">
        <v>3</v>
      </c>
      <c r="G12" s="1"/>
    </row>
    <row r="13" spans="1:7" x14ac:dyDescent="0.45">
      <c r="A13" s="1"/>
      <c r="B13" s="93" t="s">
        <v>109</v>
      </c>
      <c r="C13" s="94"/>
      <c r="D13" s="94"/>
      <c r="E13" s="94"/>
      <c r="F13" s="95"/>
      <c r="G13" s="1"/>
    </row>
    <row r="14" spans="1:7" x14ac:dyDescent="0.45">
      <c r="A14" s="1"/>
      <c r="B14" s="102" t="s">
        <v>219</v>
      </c>
      <c r="C14" s="103"/>
      <c r="D14" s="104"/>
      <c r="E14" s="9">
        <v>0</v>
      </c>
      <c r="F14" s="8" t="s">
        <v>3</v>
      </c>
      <c r="G14" s="1"/>
    </row>
    <row r="15" spans="1:7" x14ac:dyDescent="0.45">
      <c r="A15" s="1"/>
      <c r="B15" s="96" t="s">
        <v>220</v>
      </c>
      <c r="C15" s="97"/>
      <c r="D15" s="98"/>
      <c r="E15" s="9">
        <v>0</v>
      </c>
      <c r="F15" s="8" t="s">
        <v>3</v>
      </c>
      <c r="G15" s="1"/>
    </row>
    <row r="16" spans="1:7" x14ac:dyDescent="0.45">
      <c r="A16" s="1"/>
      <c r="B16" s="99" t="s">
        <v>119</v>
      </c>
      <c r="C16" s="100"/>
      <c r="D16" s="121"/>
      <c r="E16" s="10">
        <f>E15-E14</f>
        <v>0</v>
      </c>
      <c r="F16" s="11" t="s">
        <v>3</v>
      </c>
      <c r="G16" s="1"/>
    </row>
    <row r="17" spans="1:7" x14ac:dyDescent="0.45">
      <c r="A17" s="1"/>
      <c r="B17" s="38" t="s">
        <v>221</v>
      </c>
      <c r="C17" s="32"/>
      <c r="D17" s="32"/>
      <c r="E17" s="12">
        <f>E12+E16</f>
        <v>-37391.83420936577</v>
      </c>
      <c r="F17" s="13" t="s">
        <v>3</v>
      </c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</sheetData>
  <sheetProtection algorithmName="SHA-512" hashValue="Z0q5iWC0BWV9y3a5QynQFj/Rq0zXcLk9xCKncx3x4Fw4SlOJCuwVDgeKyN7xm2Spduv6IDPw51z7OAQ0qC3Q9w==" saltValue="NmCjoXxcqzcKf6xGBStoHw==" spinCount="100000" sheet="1" objects="1" scenarios="1"/>
  <mergeCells count="9">
    <mergeCell ref="B13:F13"/>
    <mergeCell ref="B16:D16"/>
    <mergeCell ref="B3:F4"/>
    <mergeCell ref="B10:D10"/>
    <mergeCell ref="B11:D11"/>
    <mergeCell ref="B14:D14"/>
    <mergeCell ref="B15:D15"/>
    <mergeCell ref="B9:F9"/>
    <mergeCell ref="B12:D12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328125" defaultRowHeight="14.25" x14ac:dyDescent="0.45"/>
  <cols>
    <col min="1" max="1" width="4.73046875" style="2" customWidth="1"/>
    <col min="2" max="2" width="22.59765625" style="2" customWidth="1"/>
    <col min="3" max="3" width="8.265625" style="2" customWidth="1"/>
    <col min="4" max="6" width="10.73046875" style="2" customWidth="1"/>
    <col min="7" max="7" width="11.1328125" style="2" customWidth="1"/>
    <col min="8" max="8" width="3.265625" style="2" customWidth="1"/>
    <col min="9" max="9" width="4.86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85" t="s">
        <v>177</v>
      </c>
      <c r="C3" s="85"/>
      <c r="D3" s="85"/>
      <c r="E3" s="85"/>
      <c r="F3" s="85"/>
      <c r="G3" s="85"/>
      <c r="H3" s="85"/>
      <c r="I3" s="1"/>
    </row>
    <row r="4" spans="1:9" ht="15" customHeight="1" x14ac:dyDescent="0.45">
      <c r="A4" s="1"/>
      <c r="B4" s="85"/>
      <c r="C4" s="85"/>
      <c r="D4" s="85"/>
      <c r="E4" s="85"/>
      <c r="F4" s="85"/>
      <c r="G4" s="85"/>
      <c r="H4" s="85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x14ac:dyDescent="0.45">
      <c r="A6" s="1"/>
      <c r="B6" s="1"/>
      <c r="C6" s="1"/>
      <c r="D6" s="1"/>
      <c r="E6" s="1"/>
      <c r="F6" s="1"/>
      <c r="G6" s="1"/>
      <c r="H6" s="1"/>
      <c r="I6" s="1"/>
    </row>
    <row r="7" spans="1:9" x14ac:dyDescent="0.45">
      <c r="A7" s="1"/>
      <c r="B7" s="1"/>
      <c r="C7" s="1"/>
      <c r="D7" s="1"/>
      <c r="E7" s="1"/>
      <c r="F7" s="1"/>
      <c r="G7" s="1"/>
      <c r="H7" s="1"/>
      <c r="I7" s="1"/>
    </row>
    <row r="8" spans="1:9" x14ac:dyDescent="0.45">
      <c r="A8" s="1"/>
      <c r="B8" s="93" t="s">
        <v>178</v>
      </c>
      <c r="C8" s="94"/>
      <c r="D8" s="94"/>
      <c r="E8" s="94"/>
      <c r="F8" s="94"/>
      <c r="G8" s="94"/>
      <c r="H8" s="95"/>
      <c r="I8" s="1"/>
    </row>
    <row r="9" spans="1:9" ht="39.75" customHeight="1" x14ac:dyDescent="0.45">
      <c r="A9" s="1"/>
      <c r="B9" s="19" t="s">
        <v>0</v>
      </c>
      <c r="C9" s="19" t="s">
        <v>1</v>
      </c>
      <c r="D9" s="19" t="s">
        <v>11</v>
      </c>
      <c r="E9" s="11" t="s">
        <v>2</v>
      </c>
      <c r="F9" s="11" t="s">
        <v>12</v>
      </c>
      <c r="G9" s="11" t="s">
        <v>33</v>
      </c>
      <c r="H9" s="37"/>
      <c r="I9" s="1"/>
    </row>
    <row r="10" spans="1:9" x14ac:dyDescent="0.45">
      <c r="A10" s="1"/>
      <c r="B10" s="66" t="s">
        <v>284</v>
      </c>
      <c r="C10" s="48">
        <v>0</v>
      </c>
      <c r="D10" s="9">
        <v>0</v>
      </c>
      <c r="E10" s="9">
        <f t="shared" ref="E10" si="0">IFERROR(D10/C10,0)</f>
        <v>0</v>
      </c>
      <c r="F10" s="9">
        <v>0</v>
      </c>
      <c r="G10" s="9">
        <v>0</v>
      </c>
      <c r="H10" s="14" t="s">
        <v>3</v>
      </c>
      <c r="I10" s="1"/>
    </row>
    <row r="11" spans="1:9" x14ac:dyDescent="0.45">
      <c r="A11" s="1"/>
      <c r="B11" s="93" t="s">
        <v>179</v>
      </c>
      <c r="C11" s="94"/>
      <c r="D11" s="95"/>
      <c r="E11" s="12">
        <f>SUM(E10:E10)</f>
        <v>0</v>
      </c>
      <c r="F11" s="12">
        <f>SUM(F10:F10)</f>
        <v>0</v>
      </c>
      <c r="G11" s="12">
        <f>SUM(G10:G10)</f>
        <v>0</v>
      </c>
      <c r="H11" s="13" t="s">
        <v>3</v>
      </c>
      <c r="I11" s="1"/>
    </row>
    <row r="12" spans="1:9" x14ac:dyDescent="0.4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4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4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4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4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4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4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4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4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4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4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4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4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tUdCl0+5TsfeqG8GkCzpF8gj4kMi2Aef0egMG0MfVPRX5+d5ts6pu1JZjbLfenkgkQH6FFyDZAL8BJxMVAY3Dw==" saltValue="Ya7PsHury2BT65BQQBBr2g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49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4.3984375" style="2" customWidth="1"/>
    <col min="3" max="3" width="16.265625" style="2" customWidth="1"/>
    <col min="4" max="4" width="3.265625" style="2" customWidth="1"/>
    <col min="5" max="5" width="19.13281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85" t="s">
        <v>135</v>
      </c>
      <c r="C3" s="85"/>
      <c r="D3" s="85"/>
      <c r="E3" s="85"/>
      <c r="F3" s="85"/>
      <c r="G3" s="1"/>
    </row>
    <row r="4" spans="1:7" ht="15" customHeight="1" x14ac:dyDescent="0.45">
      <c r="A4" s="1"/>
      <c r="B4" s="85"/>
      <c r="C4" s="85"/>
      <c r="D4" s="85"/>
      <c r="E4" s="85"/>
      <c r="F4" s="85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38" t="s">
        <v>88</v>
      </c>
      <c r="C8" s="32"/>
      <c r="D8" s="32"/>
      <c r="E8" s="32"/>
      <c r="F8" s="20"/>
      <c r="G8" s="1"/>
    </row>
    <row r="9" spans="1:7" ht="17.25" customHeight="1" x14ac:dyDescent="0.45">
      <c r="A9" s="1"/>
      <c r="B9" s="53" t="s">
        <v>18</v>
      </c>
      <c r="C9" s="53" t="s">
        <v>12</v>
      </c>
      <c r="D9" s="54"/>
      <c r="E9" s="53" t="s">
        <v>34</v>
      </c>
      <c r="F9" s="37"/>
      <c r="G9" s="1"/>
    </row>
    <row r="10" spans="1:7" x14ac:dyDescent="0.45">
      <c r="A10" s="1"/>
      <c r="B10" s="25" t="s">
        <v>180</v>
      </c>
      <c r="C10" s="22">
        <f>'Fane 9. Anlægsprojekter'!F11</f>
        <v>0</v>
      </c>
      <c r="D10" s="14" t="s">
        <v>3</v>
      </c>
      <c r="E10" s="9">
        <f>SUM('Fane 9. Anlægsprojekter'!E11,'Fane 9. Anlægsprojekter'!G11)</f>
        <v>0</v>
      </c>
      <c r="F10" s="14" t="s">
        <v>3</v>
      </c>
      <c r="G10" s="1"/>
    </row>
    <row r="11" spans="1:7" x14ac:dyDescent="0.45">
      <c r="A11" s="1"/>
      <c r="B11" s="46" t="s">
        <v>280</v>
      </c>
      <c r="C11" s="22">
        <v>449048</v>
      </c>
      <c r="D11" s="14" t="s">
        <v>3</v>
      </c>
      <c r="E11" s="9">
        <v>0</v>
      </c>
      <c r="F11" s="14" t="s">
        <v>3</v>
      </c>
      <c r="G11" s="1"/>
    </row>
    <row r="12" spans="1:7" x14ac:dyDescent="0.45">
      <c r="A12" s="1"/>
      <c r="B12" s="38" t="s">
        <v>163</v>
      </c>
      <c r="C12" s="12">
        <f>SUM(C10:C11)</f>
        <v>449048</v>
      </c>
      <c r="D12" s="13" t="s">
        <v>3</v>
      </c>
      <c r="E12" s="12">
        <f>SUM(E10:E11)</f>
        <v>0</v>
      </c>
      <c r="F12" s="13" t="s">
        <v>3</v>
      </c>
      <c r="G12" s="1"/>
    </row>
    <row r="13" spans="1:7" x14ac:dyDescent="0.45">
      <c r="A13" s="1"/>
      <c r="B13" s="38" t="s">
        <v>222</v>
      </c>
      <c r="C13" s="12">
        <f>C12*(1+'Fane 14. Nøgletal'!C14)</f>
        <v>450529.85840000003</v>
      </c>
      <c r="D13" s="13" t="s">
        <v>3</v>
      </c>
      <c r="E13" s="12">
        <f>E12*(1+'Fane 14. Nøgletal'!C14)</f>
        <v>0</v>
      </c>
      <c r="F13" s="13" t="s">
        <v>3</v>
      </c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1"/>
      <c r="C16" s="1"/>
      <c r="D16" s="1"/>
      <c r="E16" s="1"/>
      <c r="F16" s="1"/>
      <c r="G16" s="1"/>
    </row>
    <row r="17" spans="1:7" x14ac:dyDescent="0.45">
      <c r="A17" s="1"/>
      <c r="B17" s="1"/>
      <c r="C17" s="1"/>
      <c r="D17" s="1"/>
      <c r="E17" s="1"/>
      <c r="F17" s="1"/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</sheetData>
  <sheetProtection algorithmName="SHA-512" hashValue="MHeoEpUN92ycjoPiq6P6HJX/P96SZQKSShB5Qipy3wPfdO7zUoKHHMaXvcnJ6M3DJ3B20VfN1FQc/sGf8ErSpQ==" saltValue="+2G7+OS3oLuQQsELhZ5dEg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2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4.3984375" style="2" customWidth="1"/>
    <col min="3" max="3" width="16.265625" style="2" customWidth="1"/>
    <col min="4" max="4" width="3.3984375" style="2" bestFit="1" customWidth="1"/>
    <col min="5" max="5" width="17.73046875" style="2" bestFit="1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85" t="s">
        <v>134</v>
      </c>
      <c r="C3" s="85"/>
      <c r="D3" s="85"/>
      <c r="E3" s="85"/>
      <c r="F3" s="85"/>
      <c r="G3" s="1"/>
    </row>
    <row r="4" spans="1:7" ht="15" customHeight="1" x14ac:dyDescent="0.45">
      <c r="A4" s="1"/>
      <c r="B4" s="85"/>
      <c r="C4" s="85"/>
      <c r="D4" s="85"/>
      <c r="E4" s="85"/>
      <c r="F4" s="85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93" t="s">
        <v>112</v>
      </c>
      <c r="C8" s="94"/>
      <c r="D8" s="94"/>
      <c r="E8" s="94"/>
      <c r="F8" s="95"/>
      <c r="G8" s="1"/>
    </row>
    <row r="9" spans="1:7" x14ac:dyDescent="0.45">
      <c r="A9" s="1"/>
      <c r="B9" s="53" t="s">
        <v>18</v>
      </c>
      <c r="C9" s="53" t="s">
        <v>12</v>
      </c>
      <c r="D9" s="54"/>
      <c r="E9" s="53" t="s">
        <v>34</v>
      </c>
      <c r="F9" s="37"/>
      <c r="G9" s="1"/>
    </row>
    <row r="10" spans="1:7" x14ac:dyDescent="0.45">
      <c r="A10" s="1"/>
      <c r="B10" s="25" t="s">
        <v>281</v>
      </c>
      <c r="C10" s="22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45">
      <c r="A11" s="1"/>
      <c r="B11" s="38" t="s">
        <v>223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45">
      <c r="A12" s="1"/>
      <c r="B12" s="27" t="s">
        <v>10</v>
      </c>
      <c r="C12" s="28">
        <f>-C11*'Fane 5. Individuelt eff. krav'!G12</f>
        <v>0</v>
      </c>
      <c r="D12" s="29" t="s">
        <v>3</v>
      </c>
      <c r="E12" s="28">
        <f>-E11*'Fane 5. Individuelt eff. krav'!G12</f>
        <v>0</v>
      </c>
      <c r="F12" s="29" t="s">
        <v>3</v>
      </c>
      <c r="G12" s="1"/>
    </row>
    <row r="13" spans="1:7" x14ac:dyDescent="0.45">
      <c r="A13" s="1"/>
      <c r="B13" s="27" t="s">
        <v>114</v>
      </c>
      <c r="C13" s="28">
        <f>-C11*'Fane 14. Nøgletal'!C29</f>
        <v>0</v>
      </c>
      <c r="D13" s="29" t="s">
        <v>3</v>
      </c>
      <c r="E13" s="28">
        <f>-E11*'Fane 14. Nøgletal'!C24</f>
        <v>0</v>
      </c>
      <c r="F13" s="29" t="s">
        <v>3</v>
      </c>
      <c r="G13" s="1"/>
    </row>
    <row r="14" spans="1:7" x14ac:dyDescent="0.45">
      <c r="A14" s="1"/>
      <c r="B14" s="38" t="s">
        <v>164</v>
      </c>
      <c r="C14" s="12">
        <f>SUM(C11:C13)*(1+'Fane 14. Nøgletal'!C14)^2</f>
        <v>0</v>
      </c>
      <c r="D14" s="13" t="s">
        <v>3</v>
      </c>
      <c r="E14" s="12">
        <f>SUM(E11:E13)*(1+'Fane 14. Nøgletal'!C14)^2</f>
        <v>0</v>
      </c>
      <c r="F14" s="13" t="s">
        <v>3</v>
      </c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93" t="s">
        <v>113</v>
      </c>
      <c r="C16" s="94"/>
      <c r="D16" s="94"/>
      <c r="E16" s="94"/>
      <c r="F16" s="95"/>
      <c r="G16" s="1"/>
    </row>
    <row r="17" spans="1:7" x14ac:dyDescent="0.45">
      <c r="A17" s="1"/>
      <c r="B17" s="53" t="s">
        <v>18</v>
      </c>
      <c r="C17" s="53" t="s">
        <v>12</v>
      </c>
      <c r="D17" s="54"/>
      <c r="E17" s="53" t="s">
        <v>34</v>
      </c>
      <c r="F17" s="37"/>
      <c r="G17" s="1"/>
    </row>
    <row r="18" spans="1:7" x14ac:dyDescent="0.45">
      <c r="A18" s="1"/>
      <c r="B18" s="25" t="s">
        <v>281</v>
      </c>
      <c r="C18" s="22">
        <v>0</v>
      </c>
      <c r="D18" s="14" t="s">
        <v>3</v>
      </c>
      <c r="E18" s="9">
        <v>0</v>
      </c>
      <c r="F18" s="14" t="s">
        <v>3</v>
      </c>
      <c r="G18" s="1"/>
    </row>
    <row r="19" spans="1:7" x14ac:dyDescent="0.45">
      <c r="A19" s="1"/>
      <c r="B19" s="38" t="s">
        <v>223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45">
      <c r="A20" s="1"/>
      <c r="B20" s="27" t="s">
        <v>10</v>
      </c>
      <c r="C20" s="28">
        <f>-C19*'Fane 5. Individuelt eff. krav'!G12</f>
        <v>0</v>
      </c>
      <c r="D20" s="29" t="s">
        <v>3</v>
      </c>
      <c r="E20" s="28">
        <f>-E19*'Fane 5. Individuelt eff. krav'!G12</f>
        <v>0</v>
      </c>
      <c r="F20" s="29" t="s">
        <v>3</v>
      </c>
      <c r="G20" s="1"/>
    </row>
    <row r="21" spans="1:7" x14ac:dyDescent="0.45">
      <c r="A21" s="1"/>
      <c r="B21" s="27" t="s">
        <v>114</v>
      </c>
      <c r="C21" s="28">
        <f>-C19*'Fane 14. Nøgletal'!C29</f>
        <v>0</v>
      </c>
      <c r="D21" s="29" t="s">
        <v>3</v>
      </c>
      <c r="E21" s="28">
        <f>-E19*'Fane 14. Nøgletal'!C24</f>
        <v>0</v>
      </c>
      <c r="F21" s="29" t="s">
        <v>3</v>
      </c>
      <c r="G21" s="1"/>
    </row>
    <row r="22" spans="1:7" x14ac:dyDescent="0.45">
      <c r="A22" s="1"/>
      <c r="B22" s="38" t="s">
        <v>165</v>
      </c>
      <c r="C22" s="12">
        <f>SUM(C19:C21)*(1+'Fane 14. Nøgletal'!C14)^3</f>
        <v>0</v>
      </c>
      <c r="D22" s="13" t="s">
        <v>3</v>
      </c>
      <c r="E22" s="12">
        <f>SUM(E19:E21)*(1+'Fane 14. Nøgletal'!C14)^3</f>
        <v>0</v>
      </c>
      <c r="F22" s="13" t="s">
        <v>3</v>
      </c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93" t="s">
        <v>166</v>
      </c>
      <c r="C24" s="94"/>
      <c r="D24" s="94"/>
      <c r="E24" s="94"/>
      <c r="F24" s="95"/>
      <c r="G24" s="1"/>
    </row>
    <row r="25" spans="1:7" x14ac:dyDescent="0.45">
      <c r="A25" s="1"/>
      <c r="B25" s="53" t="s">
        <v>18</v>
      </c>
      <c r="C25" s="53" t="s">
        <v>12</v>
      </c>
      <c r="D25" s="54"/>
      <c r="E25" s="53" t="s">
        <v>34</v>
      </c>
      <c r="F25" s="37"/>
      <c r="G25" s="1"/>
    </row>
    <row r="26" spans="1:7" x14ac:dyDescent="0.45">
      <c r="A26" s="1"/>
      <c r="B26" s="25" t="s">
        <v>281</v>
      </c>
      <c r="C26" s="22">
        <v>0</v>
      </c>
      <c r="D26" s="14" t="s">
        <v>3</v>
      </c>
      <c r="E26" s="9">
        <v>0</v>
      </c>
      <c r="F26" s="14" t="s">
        <v>3</v>
      </c>
      <c r="G26" s="1"/>
    </row>
    <row r="27" spans="1:7" x14ac:dyDescent="0.45">
      <c r="A27" s="1"/>
      <c r="B27" s="38" t="s">
        <v>223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45">
      <c r="A28" s="1"/>
      <c r="B28" s="27" t="s">
        <v>10</v>
      </c>
      <c r="C28" s="28">
        <f>-C27*'Fane 5. Individuelt eff. krav'!G12</f>
        <v>0</v>
      </c>
      <c r="D28" s="29" t="s">
        <v>3</v>
      </c>
      <c r="E28" s="28">
        <f>-E27*'Fane 5. Individuelt eff. krav'!G12</f>
        <v>0</v>
      </c>
      <c r="F28" s="29" t="s">
        <v>3</v>
      </c>
      <c r="G28" s="1"/>
    </row>
    <row r="29" spans="1:7" x14ac:dyDescent="0.45">
      <c r="A29" s="1"/>
      <c r="B29" s="27" t="s">
        <v>114</v>
      </c>
      <c r="C29" s="28">
        <f>-C27*'Fane 14. Nøgletal'!C29</f>
        <v>0</v>
      </c>
      <c r="D29" s="29" t="s">
        <v>3</v>
      </c>
      <c r="E29" s="28">
        <f>-E27*'Fane 14. Nøgletal'!C24</f>
        <v>0</v>
      </c>
      <c r="F29" s="29" t="s">
        <v>3</v>
      </c>
      <c r="G29" s="1"/>
    </row>
    <row r="30" spans="1:7" x14ac:dyDescent="0.45">
      <c r="A30" s="1"/>
      <c r="B30" s="38" t="s">
        <v>167</v>
      </c>
      <c r="C30" s="12">
        <f>SUM(C27:C29)*(1+'Fane 14. Nøgletal'!C14)^4</f>
        <v>0</v>
      </c>
      <c r="D30" s="13" t="s">
        <v>3</v>
      </c>
      <c r="E30" s="12">
        <f>SUM(E27:E29)*(1+'Fane 14. Nøgletal'!C14)^4</f>
        <v>0</v>
      </c>
      <c r="F30" s="13" t="s">
        <v>3</v>
      </c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93" t="s">
        <v>224</v>
      </c>
      <c r="C32" s="94"/>
      <c r="D32" s="94"/>
      <c r="E32" s="94"/>
      <c r="F32" s="95"/>
      <c r="G32" s="1"/>
    </row>
    <row r="33" spans="1:7" x14ac:dyDescent="0.45">
      <c r="A33" s="1"/>
      <c r="B33" s="53" t="s">
        <v>18</v>
      </c>
      <c r="C33" s="53" t="s">
        <v>12</v>
      </c>
      <c r="D33" s="54"/>
      <c r="E33" s="53" t="s">
        <v>34</v>
      </c>
      <c r="F33" s="37"/>
      <c r="G33" s="1"/>
    </row>
    <row r="34" spans="1:7" x14ac:dyDescent="0.45">
      <c r="A34" s="1"/>
      <c r="B34" s="25" t="s">
        <v>281</v>
      </c>
      <c r="C34" s="22">
        <v>0</v>
      </c>
      <c r="D34" s="14" t="s">
        <v>3</v>
      </c>
      <c r="E34" s="9">
        <v>0</v>
      </c>
      <c r="F34" s="14" t="s">
        <v>3</v>
      </c>
      <c r="G34" s="1"/>
    </row>
    <row r="35" spans="1:7" x14ac:dyDescent="0.45">
      <c r="A35" s="1"/>
      <c r="B35" s="38" t="s">
        <v>223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45">
      <c r="A36" s="1"/>
      <c r="B36" s="27" t="s">
        <v>10</v>
      </c>
      <c r="C36" s="28">
        <f>-C35*'Fane 5. Individuelt eff. krav'!G12</f>
        <v>0</v>
      </c>
      <c r="D36" s="29" t="s">
        <v>3</v>
      </c>
      <c r="E36" s="28">
        <f>-E35*'Fane 5. Individuelt eff. krav'!G12</f>
        <v>0</v>
      </c>
      <c r="F36" s="29" t="s">
        <v>3</v>
      </c>
      <c r="G36" s="1"/>
    </row>
    <row r="37" spans="1:7" x14ac:dyDescent="0.45">
      <c r="A37" s="1"/>
      <c r="B37" s="27" t="s">
        <v>114</v>
      </c>
      <c r="C37" s="28">
        <f>-C35*'Fane 14. Nøgletal'!C29</f>
        <v>0</v>
      </c>
      <c r="D37" s="29" t="s">
        <v>3</v>
      </c>
      <c r="E37" s="28">
        <f>-E35*'Fane 14. Nøgletal'!C24</f>
        <v>0</v>
      </c>
      <c r="F37" s="29" t="s">
        <v>3</v>
      </c>
      <c r="G37" s="1"/>
    </row>
    <row r="38" spans="1:7" x14ac:dyDescent="0.45">
      <c r="A38" s="1"/>
      <c r="B38" s="38" t="s">
        <v>225</v>
      </c>
      <c r="C38" s="12">
        <f>SUM(C35:C37)*(1+'Fane 14. Nøgletal'!C14)^5</f>
        <v>0</v>
      </c>
      <c r="D38" s="13" t="s">
        <v>3</v>
      </c>
      <c r="E38" s="12">
        <f>SUM(E35:E37)*(1+'Fane 14. Nøgletal'!C14)^5</f>
        <v>0</v>
      </c>
      <c r="F38" s="13" t="s">
        <v>3</v>
      </c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</sheetData>
  <sheetProtection algorithmName="SHA-512" hashValue="l290/jVddAfPVHIxIiBFzvXk5fAOpDWFWjXSykc+M4v5rA7BWCqLmmSrtPgHrfwUIwoCLxsaFetkWsQKCZ0MLg==" saltValue="uWTcNzQKUhL/xabNGubidw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50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4.3984375" style="2" customWidth="1"/>
    <col min="3" max="3" width="16.265625" style="2" customWidth="1"/>
    <col min="4" max="4" width="3.265625" style="2" customWidth="1"/>
    <col min="5" max="5" width="19.13281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101" t="s">
        <v>136</v>
      </c>
      <c r="C3" s="101"/>
      <c r="D3" s="101"/>
      <c r="E3" s="101"/>
      <c r="F3" s="101"/>
      <c r="G3" s="1"/>
    </row>
    <row r="4" spans="1:7" ht="15" customHeight="1" x14ac:dyDescent="0.45">
      <c r="A4" s="1"/>
      <c r="B4" s="101"/>
      <c r="C4" s="101"/>
      <c r="D4" s="101"/>
      <c r="E4" s="101"/>
      <c r="F4" s="101"/>
      <c r="G4" s="1"/>
    </row>
    <row r="5" spans="1:7" x14ac:dyDescent="0.45">
      <c r="A5" s="1"/>
      <c r="B5" s="101"/>
      <c r="C5" s="101"/>
      <c r="D5" s="101"/>
      <c r="E5" s="101"/>
      <c r="F5" s="10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93" t="s">
        <v>103</v>
      </c>
      <c r="C8" s="94"/>
      <c r="D8" s="94"/>
      <c r="E8" s="94"/>
      <c r="F8" s="95"/>
      <c r="G8" s="1"/>
    </row>
    <row r="9" spans="1:7" x14ac:dyDescent="0.45">
      <c r="A9" s="1"/>
      <c r="B9" s="122" t="s">
        <v>226</v>
      </c>
      <c r="C9" s="123"/>
      <c r="D9" s="124"/>
      <c r="E9" s="9">
        <v>1612375.878706834</v>
      </c>
      <c r="F9" s="14" t="s">
        <v>3</v>
      </c>
      <c r="G9" s="1"/>
    </row>
    <row r="10" spans="1:7" x14ac:dyDescent="0.45">
      <c r="A10" s="1"/>
      <c r="B10" s="87" t="s">
        <v>10</v>
      </c>
      <c r="C10" s="88"/>
      <c r="D10" s="89"/>
      <c r="E10" s="9">
        <f>-E9*'Fane 5. Individuelt eff. krav'!G12</f>
        <v>0</v>
      </c>
      <c r="F10" s="14" t="s">
        <v>3</v>
      </c>
      <c r="G10" s="1"/>
    </row>
    <row r="11" spans="1:7" x14ac:dyDescent="0.45">
      <c r="A11" s="1"/>
      <c r="B11" s="87" t="s">
        <v>26</v>
      </c>
      <c r="C11" s="88"/>
      <c r="D11" s="89"/>
      <c r="E11" s="9">
        <f>-E9*'Fane 14. Nøgletal'!C29</f>
        <v>-32247.51757413668</v>
      </c>
      <c r="F11" s="14" t="s">
        <v>3</v>
      </c>
      <c r="G11" s="1"/>
    </row>
    <row r="12" spans="1:7" x14ac:dyDescent="0.45">
      <c r="A12" s="1"/>
      <c r="B12" s="93" t="s">
        <v>105</v>
      </c>
      <c r="C12" s="94"/>
      <c r="D12" s="95"/>
      <c r="E12" s="12">
        <f>SUM(E9:E11)*(1+'Fane 14. Nøgletal'!C14)^2</f>
        <v>1590574.4159140261</v>
      </c>
      <c r="F12" s="13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93" t="s">
        <v>104</v>
      </c>
      <c r="C14" s="94"/>
      <c r="D14" s="94"/>
      <c r="E14" s="94"/>
      <c r="F14" s="95"/>
      <c r="G14" s="1"/>
    </row>
    <row r="15" spans="1:7" ht="15" customHeight="1" x14ac:dyDescent="0.45">
      <c r="A15" s="1"/>
      <c r="B15" s="122" t="s">
        <v>226</v>
      </c>
      <c r="C15" s="123"/>
      <c r="D15" s="124"/>
      <c r="E15" s="9">
        <v>1656000.2567301942</v>
      </c>
      <c r="F15" s="14" t="s">
        <v>3</v>
      </c>
      <c r="G15" s="1"/>
    </row>
    <row r="16" spans="1:7" x14ac:dyDescent="0.45">
      <c r="A16" s="1"/>
      <c r="B16" s="87" t="s">
        <v>10</v>
      </c>
      <c r="C16" s="88"/>
      <c r="D16" s="89"/>
      <c r="E16" s="9">
        <f>-E15*'Fane 5. Individuelt eff. krav'!G12</f>
        <v>0</v>
      </c>
      <c r="F16" s="14" t="s">
        <v>3</v>
      </c>
      <c r="G16" s="1"/>
    </row>
    <row r="17" spans="1:7" x14ac:dyDescent="0.45">
      <c r="A17" s="1"/>
      <c r="B17" s="87" t="s">
        <v>26</v>
      </c>
      <c r="C17" s="88"/>
      <c r="D17" s="89"/>
      <c r="E17" s="9">
        <f>-E15*'Fane 14. Nøgletal'!C29</f>
        <v>-33120.005134603882</v>
      </c>
      <c r="F17" s="14" t="s">
        <v>3</v>
      </c>
      <c r="G17" s="1"/>
    </row>
    <row r="18" spans="1:7" x14ac:dyDescent="0.45">
      <c r="A18" s="1"/>
      <c r="B18" s="93" t="s">
        <v>106</v>
      </c>
      <c r="C18" s="94"/>
      <c r="D18" s="95"/>
      <c r="E18" s="12">
        <f>SUM(E15:E17)*(1+'Fane 14. Nøgletal'!C14)^3</f>
        <v>1638999.8439056543</v>
      </c>
      <c r="F18" s="13" t="s">
        <v>3</v>
      </c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93" t="s">
        <v>155</v>
      </c>
      <c r="C20" s="94"/>
      <c r="D20" s="94"/>
      <c r="E20" s="94"/>
      <c r="F20" s="95"/>
      <c r="G20" s="1"/>
    </row>
    <row r="21" spans="1:7" ht="15" customHeight="1" x14ac:dyDescent="0.45">
      <c r="A21" s="1"/>
      <c r="B21" s="122" t="s">
        <v>226</v>
      </c>
      <c r="C21" s="123"/>
      <c r="D21" s="124"/>
      <c r="E21" s="9">
        <v>1669929.2218245622</v>
      </c>
      <c r="F21" s="14" t="s">
        <v>3</v>
      </c>
      <c r="G21" s="1"/>
    </row>
    <row r="22" spans="1:7" x14ac:dyDescent="0.45">
      <c r="A22" s="1"/>
      <c r="B22" s="87" t="s">
        <v>10</v>
      </c>
      <c r="C22" s="88"/>
      <c r="D22" s="89"/>
      <c r="E22" s="9">
        <f>-E21*'Fane 5. Individuelt eff. krav'!G12</f>
        <v>0</v>
      </c>
      <c r="F22" s="14" t="s">
        <v>3</v>
      </c>
      <c r="G22" s="1"/>
    </row>
    <row r="23" spans="1:7" x14ac:dyDescent="0.45">
      <c r="A23" s="1"/>
      <c r="B23" s="87" t="s">
        <v>26</v>
      </c>
      <c r="C23" s="88"/>
      <c r="D23" s="89"/>
      <c r="E23" s="9">
        <f>-E21*'Fane 14. Nøgletal'!C29</f>
        <v>-33398.584436491241</v>
      </c>
      <c r="F23" s="14" t="s">
        <v>3</v>
      </c>
      <c r="G23" s="1"/>
    </row>
    <row r="24" spans="1:7" x14ac:dyDescent="0.45">
      <c r="A24" s="1"/>
      <c r="B24" s="93" t="s">
        <v>156</v>
      </c>
      <c r="C24" s="94"/>
      <c r="D24" s="95"/>
      <c r="E24" s="12">
        <f>SUM(E21:E23)*(1+'Fane 14. Nøgletal'!C14)^4</f>
        <v>1658240.0081555268</v>
      </c>
      <c r="F24" s="13" t="s">
        <v>3</v>
      </c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93" t="s">
        <v>227</v>
      </c>
      <c r="C26" s="94"/>
      <c r="D26" s="94"/>
      <c r="E26" s="94"/>
      <c r="F26" s="95"/>
      <c r="G26" s="1"/>
    </row>
    <row r="27" spans="1:7" ht="15" customHeight="1" x14ac:dyDescent="0.45">
      <c r="A27" s="1"/>
      <c r="B27" s="122" t="s">
        <v>226</v>
      </c>
      <c r="C27" s="123"/>
      <c r="D27" s="124"/>
      <c r="E27" s="9">
        <v>1618587.1104633871</v>
      </c>
      <c r="F27" s="14" t="s">
        <v>3</v>
      </c>
      <c r="G27" s="1"/>
    </row>
    <row r="28" spans="1:7" x14ac:dyDescent="0.45">
      <c r="A28" s="1"/>
      <c r="B28" s="87" t="s">
        <v>10</v>
      </c>
      <c r="C28" s="88"/>
      <c r="D28" s="89"/>
      <c r="E28" s="9">
        <f>-E27*'Fane 5. Individuelt eff. krav'!G12</f>
        <v>0</v>
      </c>
      <c r="F28" s="14" t="s">
        <v>3</v>
      </c>
      <c r="G28" s="1"/>
    </row>
    <row r="29" spans="1:7" x14ac:dyDescent="0.45">
      <c r="A29" s="1"/>
      <c r="B29" s="87" t="s">
        <v>26</v>
      </c>
      <c r="C29" s="88"/>
      <c r="D29" s="89"/>
      <c r="E29" s="9">
        <f>-E27*'Fane 14. Nøgletal'!C29</f>
        <v>-32371.742209267744</v>
      </c>
      <c r="F29" s="14" t="s">
        <v>3</v>
      </c>
      <c r="G29" s="1"/>
    </row>
    <row r="30" spans="1:7" x14ac:dyDescent="0.45">
      <c r="A30" s="1"/>
      <c r="B30" s="93" t="s">
        <v>228</v>
      </c>
      <c r="C30" s="94"/>
      <c r="D30" s="95"/>
      <c r="E30" s="12">
        <f>SUM(E27:E29)*(1+'Fane 14. Nøgletal'!C14)^5</f>
        <v>1612561.2316633165</v>
      </c>
      <c r="F30" s="13" t="s">
        <v>3</v>
      </c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  <row r="50" spans="1:7" x14ac:dyDescent="0.45">
      <c r="A50" s="1"/>
      <c r="B50" s="1"/>
      <c r="C50" s="1"/>
      <c r="D50" s="1"/>
      <c r="E50" s="1"/>
      <c r="F50" s="1"/>
      <c r="G50" s="1"/>
    </row>
  </sheetData>
  <sheetProtection algorithmName="SHA-512" hashValue="Vqm5tPkLhz7KnKHX9IsE6T9ASgrgdmfnvW6ypxO3NK+a9NAM9lCs6dMtlea8MClG3bmVsfFhw2/Yh6ukon4PaA==" saltValue="DoZdOroTyhgusD8j+4vjjA==" spinCount="100000" sheet="1" objects="1" scenarios="1"/>
  <mergeCells count="21">
    <mergeCell ref="B3:F5"/>
    <mergeCell ref="B8:F8"/>
    <mergeCell ref="B9:D9"/>
    <mergeCell ref="B18:D18"/>
    <mergeCell ref="B20:F20"/>
    <mergeCell ref="B14:F14"/>
    <mergeCell ref="B15:D15"/>
    <mergeCell ref="B12:D12"/>
    <mergeCell ref="B10:D10"/>
    <mergeCell ref="B11:D11"/>
    <mergeCell ref="B16:D16"/>
    <mergeCell ref="B17:D17"/>
    <mergeCell ref="B30:D30"/>
    <mergeCell ref="B26:F26"/>
    <mergeCell ref="B27:D27"/>
    <mergeCell ref="B24:D24"/>
    <mergeCell ref="B21:D21"/>
    <mergeCell ref="B22:D22"/>
    <mergeCell ref="B23:D23"/>
    <mergeCell ref="B28:D28"/>
    <mergeCell ref="B29:D29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5"/>
  <sheetViews>
    <sheetView showGridLines="0" view="pageLayout" zoomScaleNormal="100" workbookViewId="0"/>
  </sheetViews>
  <sheetFormatPr defaultColWidth="9.1328125" defaultRowHeight="14.25" x14ac:dyDescent="0.45"/>
  <cols>
    <col min="1" max="1" width="5.3984375" style="2" customWidth="1"/>
    <col min="2" max="2" width="36.3984375" style="2" customWidth="1"/>
    <col min="3" max="3" width="15.59765625" style="2" customWidth="1"/>
    <col min="4" max="4" width="3.265625" style="2" customWidth="1"/>
    <col min="5" max="5" width="17.1328125" style="2" customWidth="1"/>
    <col min="6" max="6" width="3.265625" style="2" customWidth="1"/>
    <col min="7" max="7" width="5.86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101" t="s">
        <v>157</v>
      </c>
      <c r="C3" s="101"/>
      <c r="D3" s="101"/>
      <c r="E3" s="101"/>
      <c r="F3" s="101"/>
      <c r="G3" s="1"/>
    </row>
    <row r="4" spans="1:7" ht="25.5" customHeight="1" x14ac:dyDescent="0.45">
      <c r="A4" s="1"/>
      <c r="B4" s="101"/>
      <c r="C4" s="101"/>
      <c r="D4" s="101"/>
      <c r="E4" s="101"/>
      <c r="F4" s="101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93" t="s">
        <v>158</v>
      </c>
      <c r="C8" s="94"/>
      <c r="D8" s="94"/>
      <c r="E8" s="94"/>
      <c r="F8" s="95"/>
      <c r="G8" s="1"/>
    </row>
    <row r="9" spans="1:7" ht="15" customHeight="1" x14ac:dyDescent="0.45">
      <c r="A9" s="1"/>
      <c r="B9" s="36" t="s">
        <v>159</v>
      </c>
      <c r="C9" s="36" t="s">
        <v>12</v>
      </c>
      <c r="D9" s="37"/>
      <c r="E9" s="36" t="s">
        <v>34</v>
      </c>
      <c r="F9" s="37"/>
      <c r="G9" s="1"/>
    </row>
    <row r="10" spans="1:7" x14ac:dyDescent="0.45">
      <c r="A10" s="1"/>
      <c r="B10" s="25" t="s">
        <v>261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45">
      <c r="A11" s="1"/>
      <c r="B11" s="21" t="s">
        <v>168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45">
      <c r="A12" s="1"/>
      <c r="B12" s="21" t="s">
        <v>229</v>
      </c>
      <c r="C12" s="12">
        <f>C11*(1+'Fane 14. Nøgletal'!C14)</f>
        <v>0</v>
      </c>
      <c r="D12" s="13" t="s">
        <v>3</v>
      </c>
      <c r="E12" s="12">
        <f>E11*(1+'Fane 14. Nøgletal'!C14)</f>
        <v>0</v>
      </c>
      <c r="F12" s="13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1"/>
      <c r="C16" s="1"/>
      <c r="D16" s="1"/>
      <c r="E16" s="1"/>
      <c r="F16" s="1"/>
      <c r="G16" s="1"/>
    </row>
    <row r="17" spans="1:7" x14ac:dyDescent="0.45">
      <c r="A17" s="1"/>
      <c r="B17" s="1"/>
      <c r="C17" s="1"/>
      <c r="D17" s="1"/>
      <c r="E17" s="1"/>
      <c r="F17" s="1"/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</sheetData>
  <sheetProtection algorithmName="SHA-512" hashValue="IuJgAz66od23w/4bvfhS30pCi+eppViFD/FIdvcdnefsbEfRfIHiHzZLq5vz/owwxPa4gUH0KQ5ZJeiuWSjCGA==" saltValue="lQjhSrWQKCFLefCsqG2RYw==" spinCount="100000" sheet="1" objects="1" scenarios="1"/>
  <mergeCells count="2">
    <mergeCell ref="B3:F4"/>
    <mergeCell ref="B8:F8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6.3984375" style="2" customWidth="1"/>
    <col min="3" max="3" width="15.73046875" style="2" customWidth="1"/>
    <col min="4" max="4" width="3.265625" style="2" customWidth="1"/>
    <col min="5" max="5" width="18.398437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101" t="s">
        <v>133</v>
      </c>
      <c r="C3" s="101"/>
      <c r="D3" s="101"/>
      <c r="E3" s="101"/>
      <c r="F3" s="101"/>
      <c r="G3" s="1"/>
    </row>
    <row r="4" spans="1:7" ht="25.5" customHeight="1" x14ac:dyDescent="0.45">
      <c r="A4" s="1"/>
      <c r="B4" s="101"/>
      <c r="C4" s="101"/>
      <c r="D4" s="101"/>
      <c r="E4" s="101"/>
      <c r="F4" s="101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93" t="s">
        <v>107</v>
      </c>
      <c r="C8" s="94"/>
      <c r="D8" s="94"/>
      <c r="E8" s="94"/>
      <c r="F8" s="95"/>
      <c r="G8" s="1"/>
    </row>
    <row r="9" spans="1:7" ht="15" customHeight="1" x14ac:dyDescent="0.45">
      <c r="A9" s="1"/>
      <c r="B9" s="36" t="s">
        <v>19</v>
      </c>
      <c r="C9" s="36" t="s">
        <v>12</v>
      </c>
      <c r="D9" s="37"/>
      <c r="E9" s="36" t="s">
        <v>34</v>
      </c>
      <c r="F9" s="37"/>
      <c r="G9" s="1"/>
    </row>
    <row r="10" spans="1:7" x14ac:dyDescent="0.45">
      <c r="A10" s="1"/>
      <c r="B10" s="25" t="s">
        <v>267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45">
      <c r="A11" s="1"/>
      <c r="B11" s="38" t="s">
        <v>98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45">
      <c r="A12" s="1"/>
      <c r="B12" s="38" t="s">
        <v>99</v>
      </c>
      <c r="C12" s="12">
        <f>C11*(1+'Fane 14. Nøgletal'!C14)</f>
        <v>0</v>
      </c>
      <c r="D12" s="13" t="s">
        <v>3</v>
      </c>
      <c r="E12" s="12">
        <f>E11*(1+'Fane 14. Nøgletal'!C14)</f>
        <v>0</v>
      </c>
      <c r="F12" s="13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93" t="s">
        <v>108</v>
      </c>
      <c r="C14" s="94"/>
      <c r="D14" s="94"/>
      <c r="E14" s="94"/>
      <c r="F14" s="95"/>
      <c r="G14" s="1"/>
    </row>
    <row r="15" spans="1:7" x14ac:dyDescent="0.45">
      <c r="A15" s="1"/>
      <c r="B15" s="36" t="s">
        <v>19</v>
      </c>
      <c r="C15" s="36" t="s">
        <v>12</v>
      </c>
      <c r="D15" s="37"/>
      <c r="E15" s="36" t="s">
        <v>34</v>
      </c>
      <c r="F15" s="37"/>
      <c r="G15" s="1"/>
    </row>
    <row r="16" spans="1:7" x14ac:dyDescent="0.45">
      <c r="A16" s="1"/>
      <c r="B16" s="25" t="s">
        <v>267</v>
      </c>
      <c r="C16" s="9">
        <v>0</v>
      </c>
      <c r="D16" s="14" t="s">
        <v>3</v>
      </c>
      <c r="E16" s="9">
        <v>0</v>
      </c>
      <c r="F16" s="14" t="s">
        <v>3</v>
      </c>
      <c r="G16" s="1"/>
    </row>
    <row r="17" spans="1:7" x14ac:dyDescent="0.45">
      <c r="A17" s="1"/>
      <c r="B17" s="38" t="s">
        <v>98</v>
      </c>
      <c r="C17" s="12">
        <f>SUM(C16:C16)</f>
        <v>0</v>
      </c>
      <c r="D17" s="13" t="s">
        <v>3</v>
      </c>
      <c r="E17" s="12">
        <f>SUM(E16:E16)</f>
        <v>0</v>
      </c>
      <c r="F17" s="13" t="s">
        <v>3</v>
      </c>
      <c r="G17" s="1"/>
    </row>
    <row r="18" spans="1:7" x14ac:dyDescent="0.45">
      <c r="A18" s="1"/>
      <c r="B18" s="38" t="s">
        <v>100</v>
      </c>
      <c r="C18" s="12">
        <f>C17*(1+'Fane 14. Nøgletal'!C14)^2</f>
        <v>0</v>
      </c>
      <c r="D18" s="13" t="s">
        <v>3</v>
      </c>
      <c r="E18" s="12">
        <f>E17*(1+'Fane 14. Nøgletal'!C14)^2</f>
        <v>0</v>
      </c>
      <c r="F18" s="13" t="s">
        <v>3</v>
      </c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93" t="s">
        <v>169</v>
      </c>
      <c r="C20" s="94"/>
      <c r="D20" s="94"/>
      <c r="E20" s="94"/>
      <c r="F20" s="95"/>
      <c r="G20" s="1"/>
    </row>
    <row r="21" spans="1:7" x14ac:dyDescent="0.45">
      <c r="A21" s="1"/>
      <c r="B21" s="36" t="s">
        <v>19</v>
      </c>
      <c r="C21" s="36" t="s">
        <v>12</v>
      </c>
      <c r="D21" s="37"/>
      <c r="E21" s="36" t="s">
        <v>34</v>
      </c>
      <c r="F21" s="37"/>
      <c r="G21" s="1"/>
    </row>
    <row r="22" spans="1:7" x14ac:dyDescent="0.45">
      <c r="A22" s="1"/>
      <c r="B22" s="25" t="s">
        <v>267</v>
      </c>
      <c r="C22" s="9">
        <v>0</v>
      </c>
      <c r="D22" s="14" t="s">
        <v>3</v>
      </c>
      <c r="E22" s="9">
        <v>0</v>
      </c>
      <c r="F22" s="14" t="s">
        <v>3</v>
      </c>
      <c r="G22" s="1"/>
    </row>
    <row r="23" spans="1:7" x14ac:dyDescent="0.45">
      <c r="A23" s="1"/>
      <c r="B23" s="38" t="s">
        <v>98</v>
      </c>
      <c r="C23" s="12">
        <f>SUM(C22:C22)</f>
        <v>0</v>
      </c>
      <c r="D23" s="13" t="s">
        <v>3</v>
      </c>
      <c r="E23" s="12">
        <f>SUM(E22:E22)</f>
        <v>0</v>
      </c>
      <c r="F23" s="13" t="s">
        <v>3</v>
      </c>
      <c r="G23" s="1"/>
    </row>
    <row r="24" spans="1:7" x14ac:dyDescent="0.45">
      <c r="A24" s="1"/>
      <c r="B24" s="38" t="s">
        <v>170</v>
      </c>
      <c r="C24" s="12">
        <f>C23*(1+'Fane 14. Nøgletal'!C14)^3</f>
        <v>0</v>
      </c>
      <c r="D24" s="13" t="s">
        <v>3</v>
      </c>
      <c r="E24" s="12">
        <f>E23*(1+'Fane 14. Nøgletal'!C14)^3</f>
        <v>0</v>
      </c>
      <c r="F24" s="13" t="s">
        <v>3</v>
      </c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93" t="s">
        <v>231</v>
      </c>
      <c r="C26" s="94"/>
      <c r="D26" s="94"/>
      <c r="E26" s="94"/>
      <c r="F26" s="95"/>
      <c r="G26" s="1"/>
    </row>
    <row r="27" spans="1:7" x14ac:dyDescent="0.45">
      <c r="A27" s="1"/>
      <c r="B27" s="36" t="s">
        <v>19</v>
      </c>
      <c r="C27" s="36" t="s">
        <v>12</v>
      </c>
      <c r="D27" s="37"/>
      <c r="E27" s="36" t="s">
        <v>34</v>
      </c>
      <c r="F27" s="37"/>
      <c r="G27" s="1"/>
    </row>
    <row r="28" spans="1:7" x14ac:dyDescent="0.45">
      <c r="A28" s="1"/>
      <c r="B28" s="25" t="s">
        <v>267</v>
      </c>
      <c r="C28" s="9">
        <v>0</v>
      </c>
      <c r="D28" s="14" t="s">
        <v>3</v>
      </c>
      <c r="E28" s="9">
        <v>0</v>
      </c>
      <c r="F28" s="14" t="s">
        <v>3</v>
      </c>
      <c r="G28" s="1"/>
    </row>
    <row r="29" spans="1:7" x14ac:dyDescent="0.45">
      <c r="A29" s="1"/>
      <c r="B29" s="38" t="s">
        <v>98</v>
      </c>
      <c r="C29" s="12">
        <f>SUM(C28:C28)</f>
        <v>0</v>
      </c>
      <c r="D29" s="13" t="s">
        <v>3</v>
      </c>
      <c r="E29" s="12">
        <f>SUM(E28:E28)</f>
        <v>0</v>
      </c>
      <c r="F29" s="13" t="s">
        <v>3</v>
      </c>
      <c r="G29" s="1"/>
    </row>
    <row r="30" spans="1:7" x14ac:dyDescent="0.45">
      <c r="A30" s="1"/>
      <c r="B30" s="38" t="s">
        <v>230</v>
      </c>
      <c r="C30" s="12">
        <f>C29*(1+'Fane 14. Nøgletal'!C14)^4</f>
        <v>0</v>
      </c>
      <c r="D30" s="13" t="s">
        <v>3</v>
      </c>
      <c r="E30" s="12">
        <f>E29*(1+'Fane 14. Nøgletal'!C14)^4</f>
        <v>0</v>
      </c>
      <c r="F30" s="13" t="s">
        <v>3</v>
      </c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</sheetData>
  <sheetProtection algorithmName="SHA-512" hashValue="wEPaJMUuRyYrhcNXlBRcr8r+0Vik5DpWVipRUurlJs3ChOoo67vb6ccVgAZaQfKlGO2zNWxz9MR5djZPBduqcg==" saltValue="0AaKcGb01dG/ECeEnMJwJQ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D51"/>
  <sheetViews>
    <sheetView showGridLines="0" view="pageLayout" zoomScaleNormal="100" workbookViewId="0"/>
  </sheetViews>
  <sheetFormatPr defaultColWidth="9.1328125" defaultRowHeight="14.25" x14ac:dyDescent="0.45"/>
  <cols>
    <col min="1" max="1" width="11.1328125" style="2" customWidth="1"/>
    <col min="2" max="2" width="55.3984375" style="2" customWidth="1"/>
    <col min="3" max="3" width="6.265625" style="2" customWidth="1"/>
    <col min="4" max="4" width="12.265625" style="2" customWidth="1"/>
    <col min="5" max="16384" width="9.1328125" style="2"/>
  </cols>
  <sheetData>
    <row r="1" spans="1:4" x14ac:dyDescent="0.45">
      <c r="A1" s="1"/>
      <c r="B1" s="1"/>
      <c r="C1" s="1"/>
      <c r="D1" s="1"/>
    </row>
    <row r="2" spans="1:4" x14ac:dyDescent="0.45">
      <c r="A2" s="1"/>
      <c r="B2" s="1"/>
      <c r="C2" s="1"/>
      <c r="D2" s="1"/>
    </row>
    <row r="3" spans="1:4" ht="15" customHeight="1" x14ac:dyDescent="0.45">
      <c r="A3" s="1"/>
      <c r="B3" s="101" t="s">
        <v>189</v>
      </c>
      <c r="C3" s="101"/>
      <c r="D3" s="1"/>
    </row>
    <row r="4" spans="1:4" ht="25.5" customHeight="1" x14ac:dyDescent="0.45">
      <c r="A4" s="1"/>
      <c r="B4" s="101"/>
      <c r="C4" s="101"/>
      <c r="D4" s="1"/>
    </row>
    <row r="5" spans="1:4" x14ac:dyDescent="0.45">
      <c r="A5" s="1"/>
      <c r="B5" s="1"/>
      <c r="C5" s="1"/>
      <c r="D5" s="1"/>
    </row>
    <row r="6" spans="1:4" x14ac:dyDescent="0.45">
      <c r="A6" s="1"/>
      <c r="B6" s="1"/>
      <c r="C6" s="1"/>
      <c r="D6" s="1"/>
    </row>
    <row r="7" spans="1:4" x14ac:dyDescent="0.45">
      <c r="A7" s="1"/>
      <c r="B7" s="1"/>
      <c r="C7" s="1"/>
      <c r="D7" s="1"/>
    </row>
    <row r="8" spans="1:4" x14ac:dyDescent="0.45">
      <c r="A8" s="1"/>
      <c r="B8" s="38" t="s">
        <v>15</v>
      </c>
      <c r="C8" s="20"/>
      <c r="D8" s="1"/>
    </row>
    <row r="9" spans="1:4" x14ac:dyDescent="0.45">
      <c r="A9" s="1"/>
      <c r="B9" s="63" t="s">
        <v>137</v>
      </c>
      <c r="C9" s="26">
        <v>1.2699999999999999E-2</v>
      </c>
      <c r="D9" s="1"/>
    </row>
    <row r="10" spans="1:4" x14ac:dyDescent="0.45">
      <c r="A10" s="1"/>
      <c r="B10" s="63" t="s">
        <v>138</v>
      </c>
      <c r="C10" s="26">
        <v>1.7500000000000002E-2</v>
      </c>
      <c r="D10" s="1"/>
    </row>
    <row r="11" spans="1:4" x14ac:dyDescent="0.45">
      <c r="A11" s="1"/>
      <c r="B11" s="63" t="s">
        <v>24</v>
      </c>
      <c r="C11" s="26">
        <v>1.6899999999999998E-2</v>
      </c>
      <c r="D11" s="1"/>
    </row>
    <row r="12" spans="1:4" x14ac:dyDescent="0.45">
      <c r="A12" s="1"/>
      <c r="B12" s="39" t="s">
        <v>254</v>
      </c>
      <c r="C12" s="40">
        <v>1.9699999999999999E-2</v>
      </c>
      <c r="D12" s="1"/>
    </row>
    <row r="13" spans="1:4" x14ac:dyDescent="0.45">
      <c r="A13" s="1"/>
      <c r="B13" s="39" t="s">
        <v>162</v>
      </c>
      <c r="C13" s="40">
        <v>1.2200000000000001E-2</v>
      </c>
      <c r="D13" s="1"/>
    </row>
    <row r="14" spans="1:4" x14ac:dyDescent="0.45">
      <c r="A14" s="1"/>
      <c r="B14" s="63" t="s">
        <v>253</v>
      </c>
      <c r="C14" s="49">
        <v>3.3E-3</v>
      </c>
      <c r="D14" s="1"/>
    </row>
    <row r="15" spans="1:4" x14ac:dyDescent="0.45">
      <c r="A15" s="1"/>
      <c r="B15" s="38"/>
      <c r="C15" s="20"/>
      <c r="D15" s="1"/>
    </row>
    <row r="16" spans="1:4" x14ac:dyDescent="0.45">
      <c r="A16" s="1"/>
      <c r="B16" s="1"/>
      <c r="C16" s="1"/>
      <c r="D16" s="1"/>
    </row>
    <row r="17" spans="1:4" x14ac:dyDescent="0.45">
      <c r="A17" s="1"/>
      <c r="B17" s="1"/>
      <c r="C17" s="1"/>
      <c r="D17" s="1"/>
    </row>
    <row r="18" spans="1:4" x14ac:dyDescent="0.45">
      <c r="A18" s="1"/>
      <c r="B18" s="38" t="s">
        <v>121</v>
      </c>
      <c r="C18" s="20"/>
      <c r="D18" s="1"/>
    </row>
    <row r="19" spans="1:4" x14ac:dyDescent="0.45">
      <c r="A19" s="1"/>
      <c r="B19" s="63" t="s">
        <v>139</v>
      </c>
      <c r="C19" s="23">
        <v>9.1000000000000004E-3</v>
      </c>
      <c r="D19" s="1"/>
    </row>
    <row r="20" spans="1:4" x14ac:dyDescent="0.45">
      <c r="A20" s="1"/>
      <c r="B20" s="63" t="s">
        <v>190</v>
      </c>
      <c r="C20" s="23">
        <v>1.77E-2</v>
      </c>
      <c r="D20" s="1"/>
    </row>
    <row r="21" spans="1:4" x14ac:dyDescent="0.45">
      <c r="A21" s="1"/>
      <c r="B21" s="63" t="s">
        <v>191</v>
      </c>
      <c r="C21" s="23">
        <v>8.6999999999999994E-3</v>
      </c>
      <c r="D21" s="1"/>
    </row>
    <row r="22" spans="1:4" x14ac:dyDescent="0.45">
      <c r="A22" s="1"/>
      <c r="B22" s="63" t="s">
        <v>140</v>
      </c>
      <c r="C22" s="41">
        <v>2.8400000000000002E-2</v>
      </c>
      <c r="D22" s="1"/>
    </row>
    <row r="23" spans="1:4" x14ac:dyDescent="0.45">
      <c r="A23" s="1"/>
      <c r="B23" s="63" t="s">
        <v>192</v>
      </c>
      <c r="C23" s="41">
        <v>2.75E-2</v>
      </c>
      <c r="D23" s="1"/>
    </row>
    <row r="24" spans="1:4" x14ac:dyDescent="0.45">
      <c r="A24" s="1"/>
      <c r="B24" s="63" t="s">
        <v>193</v>
      </c>
      <c r="C24" s="41">
        <v>1.4800000000000001E-2</v>
      </c>
      <c r="D24" s="1"/>
    </row>
    <row r="25" spans="1:4" x14ac:dyDescent="0.45">
      <c r="A25" s="1"/>
      <c r="B25" s="38"/>
      <c r="C25" s="20"/>
      <c r="D25" s="1"/>
    </row>
    <row r="26" spans="1:4" x14ac:dyDescent="0.45">
      <c r="A26" s="1"/>
      <c r="B26" s="1"/>
      <c r="C26" s="1"/>
      <c r="D26" s="1"/>
    </row>
    <row r="27" spans="1:4" x14ac:dyDescent="0.45">
      <c r="A27" s="1"/>
      <c r="B27" s="1"/>
      <c r="C27" s="1"/>
      <c r="D27" s="1"/>
    </row>
    <row r="28" spans="1:4" x14ac:dyDescent="0.45">
      <c r="A28" s="1"/>
      <c r="B28" s="38" t="s">
        <v>122</v>
      </c>
      <c r="C28" s="20"/>
      <c r="D28" s="1"/>
    </row>
    <row r="29" spans="1:4" x14ac:dyDescent="0.45">
      <c r="A29" s="1"/>
      <c r="B29" s="63" t="s">
        <v>141</v>
      </c>
      <c r="C29" s="26">
        <v>0.02</v>
      </c>
      <c r="D29" s="1"/>
    </row>
    <row r="30" spans="1:4" x14ac:dyDescent="0.45">
      <c r="A30" s="1"/>
      <c r="B30" s="38"/>
      <c r="C30" s="20"/>
      <c r="D30" s="1"/>
    </row>
    <row r="31" spans="1:4" x14ac:dyDescent="0.45">
      <c r="A31" s="1"/>
      <c r="B31" s="1"/>
      <c r="C31" s="1"/>
      <c r="D31" s="1"/>
    </row>
    <row r="32" spans="1:4" x14ac:dyDescent="0.45">
      <c r="A32" s="1"/>
      <c r="B32" s="1"/>
      <c r="C32" s="1"/>
      <c r="D32" s="1"/>
    </row>
    <row r="33" spans="1:4" x14ac:dyDescent="0.45">
      <c r="A33" s="1"/>
      <c r="B33" s="1"/>
      <c r="C33" s="1"/>
      <c r="D33" s="1"/>
    </row>
    <row r="34" spans="1:4" x14ac:dyDescent="0.45">
      <c r="A34" s="1"/>
      <c r="B34" s="1"/>
      <c r="C34" s="1"/>
      <c r="D34" s="1"/>
    </row>
    <row r="35" spans="1:4" x14ac:dyDescent="0.45">
      <c r="A35" s="1"/>
      <c r="B35" s="1"/>
      <c r="C35" s="1"/>
      <c r="D35" s="1"/>
    </row>
    <row r="36" spans="1:4" x14ac:dyDescent="0.45">
      <c r="A36" s="1"/>
      <c r="B36" s="1"/>
      <c r="C36" s="1"/>
      <c r="D36" s="1"/>
    </row>
    <row r="37" spans="1:4" x14ac:dyDescent="0.45">
      <c r="A37" s="1"/>
      <c r="B37" s="1"/>
      <c r="C37" s="1"/>
      <c r="D37" s="1"/>
    </row>
    <row r="38" spans="1:4" x14ac:dyDescent="0.45">
      <c r="A38" s="1"/>
      <c r="B38" s="1"/>
      <c r="C38" s="1"/>
      <c r="D38" s="1"/>
    </row>
    <row r="39" spans="1:4" x14ac:dyDescent="0.45">
      <c r="A39" s="1"/>
      <c r="B39" s="1"/>
      <c r="C39" s="1"/>
      <c r="D39" s="1"/>
    </row>
    <row r="40" spans="1:4" x14ac:dyDescent="0.45">
      <c r="A40" s="1"/>
      <c r="B40" s="1"/>
      <c r="C40" s="1"/>
      <c r="D40" s="1"/>
    </row>
    <row r="41" spans="1:4" x14ac:dyDescent="0.45">
      <c r="A41" s="1"/>
      <c r="B41" s="1"/>
      <c r="C41" s="1"/>
      <c r="D41" s="1"/>
    </row>
    <row r="42" spans="1:4" x14ac:dyDescent="0.45">
      <c r="A42" s="1"/>
      <c r="B42" s="1"/>
      <c r="C42" s="1"/>
      <c r="D42" s="1"/>
    </row>
    <row r="43" spans="1:4" x14ac:dyDescent="0.45">
      <c r="A43" s="1"/>
      <c r="B43" s="1"/>
      <c r="C43" s="1"/>
      <c r="D43" s="1"/>
    </row>
    <row r="44" spans="1:4" x14ac:dyDescent="0.45">
      <c r="A44" s="1"/>
      <c r="B44" s="1"/>
      <c r="C44" s="1"/>
      <c r="D44" s="1"/>
    </row>
    <row r="45" spans="1:4" x14ac:dyDescent="0.45">
      <c r="A45" s="1"/>
      <c r="B45" s="1"/>
      <c r="C45" s="1"/>
      <c r="D45" s="1"/>
    </row>
    <row r="46" spans="1:4" x14ac:dyDescent="0.45">
      <c r="A46" s="1"/>
      <c r="B46" s="1"/>
      <c r="C46" s="1"/>
      <c r="D46" s="1"/>
    </row>
    <row r="47" spans="1:4" x14ac:dyDescent="0.45">
      <c r="A47" s="1"/>
      <c r="B47" s="1"/>
      <c r="C47" s="1"/>
      <c r="D47" s="1"/>
    </row>
    <row r="48" spans="1:4" x14ac:dyDescent="0.45">
      <c r="A48" s="1"/>
      <c r="B48" s="1"/>
      <c r="C48" s="1"/>
      <c r="D48" s="1"/>
    </row>
    <row r="49" spans="1:4" x14ac:dyDescent="0.45">
      <c r="A49" s="1"/>
      <c r="B49" s="1"/>
      <c r="C49" s="1"/>
      <c r="D49" s="1"/>
    </row>
    <row r="50" spans="1:4" x14ac:dyDescent="0.45">
      <c r="A50" s="1"/>
      <c r="B50" s="1"/>
      <c r="C50" s="1"/>
      <c r="D50" s="1"/>
    </row>
    <row r="51" spans="1:4" x14ac:dyDescent="0.45">
      <c r="A51" s="1"/>
      <c r="B51" s="1"/>
      <c r="C51" s="1"/>
      <c r="D51" s="1"/>
    </row>
  </sheetData>
  <sheetProtection algorithmName="SHA-512" hashValue="gLcsGeR1qIlguAR371jnP8p5jtjU5pnLxqVv8wKtiVGcs8VgA5twlHZSpUYhTVN+ZlRnCkei5QxM4ht9iPluWw==" saltValue="q2p4otoBdSrtP1u/u9Zv0A==" spinCount="100000" sheet="1" objects="1" scenarios="1"/>
  <mergeCells count="1">
    <mergeCell ref="B3:C4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49"/>
  <sheetViews>
    <sheetView showGridLines="0" view="pageLayout" zoomScaleNormal="100" workbookViewId="0"/>
  </sheetViews>
  <sheetFormatPr defaultColWidth="9.1328125" defaultRowHeight="14.25" x14ac:dyDescent="0.45"/>
  <cols>
    <col min="1" max="1" width="6.59765625" style="2" customWidth="1"/>
    <col min="2" max="2" width="58.59765625" style="2" customWidth="1"/>
    <col min="3" max="3" width="12.59765625" style="2" customWidth="1"/>
    <col min="4" max="4" width="2.86328125" style="2" bestFit="1" customWidth="1"/>
    <col min="5" max="5" width="6.265625" style="2" customWidth="1"/>
    <col min="6" max="16384" width="9.1328125" style="2"/>
  </cols>
  <sheetData>
    <row r="1" spans="1:5" x14ac:dyDescent="0.45">
      <c r="A1" s="1"/>
      <c r="B1" s="1"/>
      <c r="C1" s="1"/>
      <c r="D1" s="1"/>
      <c r="E1" s="1"/>
    </row>
    <row r="2" spans="1:5" x14ac:dyDescent="0.45">
      <c r="A2" s="1"/>
      <c r="B2" s="1"/>
      <c r="C2" s="1"/>
      <c r="D2" s="1"/>
      <c r="E2" s="1"/>
    </row>
    <row r="3" spans="1:5" ht="15" customHeight="1" x14ac:dyDescent="0.45">
      <c r="A3" s="1"/>
      <c r="B3" s="85" t="s">
        <v>194</v>
      </c>
      <c r="C3" s="85"/>
      <c r="D3" s="85"/>
      <c r="E3" s="1"/>
    </row>
    <row r="4" spans="1:5" ht="15" customHeight="1" x14ac:dyDescent="0.45">
      <c r="A4" s="1"/>
      <c r="B4" s="85"/>
      <c r="C4" s="85"/>
      <c r="D4" s="85"/>
      <c r="E4" s="1"/>
    </row>
    <row r="5" spans="1:5" x14ac:dyDescent="0.45">
      <c r="A5" s="1"/>
      <c r="B5" s="1"/>
      <c r="C5" s="1"/>
      <c r="D5" s="1"/>
      <c r="E5" s="1"/>
    </row>
    <row r="6" spans="1:5" x14ac:dyDescent="0.45">
      <c r="A6" s="1"/>
      <c r="B6" s="1"/>
      <c r="C6" s="1"/>
      <c r="D6" s="1"/>
      <c r="E6" s="1"/>
    </row>
    <row r="7" spans="1:5" x14ac:dyDescent="0.45">
      <c r="A7" s="1"/>
      <c r="B7" s="1"/>
      <c r="C7" s="1"/>
      <c r="D7" s="1"/>
      <c r="E7" s="1"/>
    </row>
    <row r="8" spans="1:5" x14ac:dyDescent="0.45">
      <c r="A8" s="1"/>
      <c r="B8" s="38" t="s">
        <v>14</v>
      </c>
      <c r="C8" s="32"/>
      <c r="D8" s="20"/>
      <c r="E8" s="1"/>
    </row>
    <row r="9" spans="1:5" x14ac:dyDescent="0.45">
      <c r="A9" s="1"/>
      <c r="B9" s="33" t="s">
        <v>260</v>
      </c>
      <c r="C9" s="7">
        <f>'Fane 3. Omkostninger i ØR2021'!E20</f>
        <v>60439999.304652736</v>
      </c>
      <c r="D9" s="8" t="s">
        <v>3</v>
      </c>
      <c r="E9" s="1"/>
    </row>
    <row r="10" spans="1:5" ht="17.100000000000001" customHeight="1" x14ac:dyDescent="0.45">
      <c r="A10" s="1"/>
      <c r="B10" s="52" t="s">
        <v>43</v>
      </c>
      <c r="C10" s="7">
        <f>'Fane 10.1. Varige tillæg'!C13</f>
        <v>450529.85840000003</v>
      </c>
      <c r="D10" s="8" t="s">
        <v>3</v>
      </c>
      <c r="E10" s="1"/>
    </row>
    <row r="11" spans="1:5" ht="17.100000000000001" customHeight="1" x14ac:dyDescent="0.45">
      <c r="A11" s="1"/>
      <c r="B11" s="52" t="s">
        <v>44</v>
      </c>
      <c r="C11" s="9">
        <f>'Fane 10.1. Varige tillæg'!E13</f>
        <v>0</v>
      </c>
      <c r="D11" s="8" t="s">
        <v>3</v>
      </c>
      <c r="E11" s="1"/>
    </row>
    <row r="12" spans="1:5" ht="17.100000000000001" customHeight="1" x14ac:dyDescent="0.45">
      <c r="A12" s="1"/>
      <c r="B12" s="52" t="s">
        <v>29</v>
      </c>
      <c r="C12" s="9">
        <f>-'Fane 13. Bortfald'!C12</f>
        <v>0</v>
      </c>
      <c r="D12" s="8" t="s">
        <v>3</v>
      </c>
      <c r="E12" s="1"/>
    </row>
    <row r="13" spans="1:5" ht="17.100000000000001" customHeight="1" x14ac:dyDescent="0.45">
      <c r="A13" s="1"/>
      <c r="B13" s="52" t="s">
        <v>28</v>
      </c>
      <c r="C13" s="9">
        <f>-'Fane 13. Bortfald'!E12</f>
        <v>0</v>
      </c>
      <c r="D13" s="8" t="s">
        <v>3</v>
      </c>
      <c r="E13" s="1"/>
    </row>
    <row r="14" spans="1:5" ht="17.100000000000001" customHeight="1" x14ac:dyDescent="0.45">
      <c r="A14" s="1"/>
      <c r="B14" s="52" t="s">
        <v>149</v>
      </c>
      <c r="C14" s="9">
        <f>'Fane 12. Tilknyttet virksomhed'!C12</f>
        <v>0</v>
      </c>
      <c r="D14" s="8" t="s">
        <v>3</v>
      </c>
      <c r="E14" s="1"/>
    </row>
    <row r="15" spans="1:5" ht="17.100000000000001" customHeight="1" x14ac:dyDescent="0.45">
      <c r="A15" s="1"/>
      <c r="B15" s="52" t="s">
        <v>150</v>
      </c>
      <c r="C15" s="9">
        <f>'Fane 12. Tilknyttet virksomhed'!E12</f>
        <v>0</v>
      </c>
      <c r="D15" s="8" t="s">
        <v>3</v>
      </c>
      <c r="E15" s="1"/>
    </row>
    <row r="16" spans="1:5" ht="17.100000000000001" customHeight="1" x14ac:dyDescent="0.45">
      <c r="A16" s="1"/>
      <c r="B16" s="52" t="s">
        <v>20</v>
      </c>
      <c r="C16" s="9">
        <f>SUM(C9:C15)*'Fane 14. Nøgletal'!C14</f>
        <v>200938.74623807403</v>
      </c>
      <c r="D16" s="8" t="s">
        <v>3</v>
      </c>
      <c r="E16" s="1"/>
    </row>
    <row r="17" spans="1:5" ht="17.100000000000001" customHeight="1" x14ac:dyDescent="0.45">
      <c r="A17" s="1"/>
      <c r="B17" s="52" t="s">
        <v>10</v>
      </c>
      <c r="C17" s="9">
        <f>-SUM(C9:C16)*'Fane 5. Individuelt eff. krav'!G12</f>
        <v>0</v>
      </c>
      <c r="D17" s="8" t="s">
        <v>3</v>
      </c>
      <c r="E17" s="1"/>
    </row>
    <row r="18" spans="1:5" ht="17.100000000000001" customHeight="1" x14ac:dyDescent="0.45">
      <c r="A18" s="1"/>
      <c r="B18" s="52" t="s">
        <v>26</v>
      </c>
      <c r="C18" s="9">
        <f>-'Fane 4.1. Gen. krav - drift'!G38</f>
        <v>-486725.90936373809</v>
      </c>
      <c r="D18" s="8" t="s">
        <v>3</v>
      </c>
      <c r="E18" s="1"/>
    </row>
    <row r="19" spans="1:5" ht="17.100000000000001" customHeight="1" x14ac:dyDescent="0.45">
      <c r="A19" s="1"/>
      <c r="B19" s="52" t="s">
        <v>27</v>
      </c>
      <c r="C19" s="9">
        <f>-'Fane 4.2. Gen. krav - anlæg'!G37</f>
        <v>-531164.93591348978</v>
      </c>
      <c r="D19" s="8" t="s">
        <v>3</v>
      </c>
      <c r="E19" s="1"/>
    </row>
    <row r="20" spans="1:5" ht="17.100000000000001" customHeight="1" x14ac:dyDescent="0.45">
      <c r="A20" s="1"/>
      <c r="B20" s="58" t="s">
        <v>22</v>
      </c>
      <c r="C20" s="10">
        <f>SUM(C9:C19)</f>
        <v>60073577.064013585</v>
      </c>
      <c r="D20" s="11" t="s">
        <v>3</v>
      </c>
      <c r="E20" s="1"/>
    </row>
    <row r="21" spans="1:5" ht="15" customHeight="1" x14ac:dyDescent="0.45">
      <c r="A21" s="1"/>
      <c r="B21" s="38" t="s">
        <v>13</v>
      </c>
      <c r="C21" s="32"/>
      <c r="D21" s="20"/>
      <c r="E21" s="1"/>
    </row>
    <row r="22" spans="1:5" ht="15" customHeight="1" x14ac:dyDescent="0.45">
      <c r="A22" s="1"/>
      <c r="B22" s="36" t="s">
        <v>13</v>
      </c>
      <c r="C22" s="10">
        <f>'Fane 6. Ikke-påvirkelige omk.'!C16+'Fane 6. Ikke-påvirkelige omk.'!C20+'Fane 6. Ikke-påvirkelige omk.'!C28</f>
        <v>4942331.6303169709</v>
      </c>
      <c r="D22" s="11" t="s">
        <v>3</v>
      </c>
      <c r="E22" s="1"/>
    </row>
    <row r="23" spans="1:5" ht="15" customHeight="1" x14ac:dyDescent="0.45">
      <c r="A23" s="1"/>
      <c r="B23" s="38" t="s">
        <v>94</v>
      </c>
      <c r="C23" s="32"/>
      <c r="D23" s="20"/>
      <c r="E23" s="1"/>
    </row>
    <row r="24" spans="1:5" ht="15" customHeight="1" x14ac:dyDescent="0.45">
      <c r="A24" s="1"/>
      <c r="B24" s="58" t="s">
        <v>94</v>
      </c>
      <c r="C24" s="10">
        <f>'Fane 11. Periodevise driftsomk.'!E12</f>
        <v>1590574.4159140261</v>
      </c>
      <c r="D24" s="11" t="s">
        <v>3</v>
      </c>
      <c r="E24" s="1"/>
    </row>
    <row r="25" spans="1:5" ht="15" customHeight="1" x14ac:dyDescent="0.45">
      <c r="A25" s="1"/>
      <c r="B25" s="38" t="s">
        <v>93</v>
      </c>
      <c r="C25" s="32"/>
      <c r="D25" s="20"/>
      <c r="E25" s="1"/>
    </row>
    <row r="26" spans="1:5" ht="15" customHeight="1" x14ac:dyDescent="0.45">
      <c r="A26" s="1"/>
      <c r="B26" s="52" t="s">
        <v>89</v>
      </c>
      <c r="C26" s="9">
        <f>'Fane 10.2. Engangstillæg'!C14</f>
        <v>0</v>
      </c>
      <c r="D26" s="8" t="s">
        <v>3</v>
      </c>
      <c r="E26" s="1"/>
    </row>
    <row r="27" spans="1:5" ht="15" customHeight="1" x14ac:dyDescent="0.45">
      <c r="A27" s="1"/>
      <c r="B27" s="52" t="s">
        <v>90</v>
      </c>
      <c r="C27" s="9">
        <f>'Fane 10.2. Engangstillæg'!E14</f>
        <v>0</v>
      </c>
      <c r="D27" s="8" t="s">
        <v>3</v>
      </c>
      <c r="E27" s="1"/>
    </row>
    <row r="28" spans="1:5" x14ac:dyDescent="0.45">
      <c r="A28" s="1"/>
      <c r="B28" s="58" t="s">
        <v>95</v>
      </c>
      <c r="C28" s="10">
        <f>SUM(C26:C27)</f>
        <v>0</v>
      </c>
      <c r="D28" s="11" t="s">
        <v>3</v>
      </c>
      <c r="E28" s="1"/>
    </row>
    <row r="29" spans="1:5" x14ac:dyDescent="0.45">
      <c r="A29" s="1"/>
      <c r="B29" s="38" t="s">
        <v>187</v>
      </c>
      <c r="C29" s="32"/>
      <c r="D29" s="20"/>
      <c r="E29" s="1"/>
    </row>
    <row r="30" spans="1:5" x14ac:dyDescent="0.45">
      <c r="A30" s="1"/>
      <c r="B30" s="36" t="s">
        <v>286</v>
      </c>
      <c r="C30" s="10">
        <f>'Fane 7. Kontrol af ØR2020'!E34</f>
        <v>-61867.809727814049</v>
      </c>
      <c r="D30" s="11" t="s">
        <v>3</v>
      </c>
      <c r="E30" s="1"/>
    </row>
    <row r="31" spans="1:5" ht="15" customHeight="1" x14ac:dyDescent="0.45">
      <c r="A31" s="1"/>
      <c r="B31" s="38" t="s">
        <v>195</v>
      </c>
      <c r="C31" s="32"/>
      <c r="D31" s="20"/>
      <c r="E31" s="1"/>
    </row>
    <row r="32" spans="1:5" x14ac:dyDescent="0.45">
      <c r="A32" s="1"/>
      <c r="B32" s="36" t="s">
        <v>195</v>
      </c>
      <c r="C32" s="10">
        <f>'Fane 8. Korrektion af ØR2020'!E17</f>
        <v>-37391.83420936577</v>
      </c>
      <c r="D32" s="11" t="s">
        <v>3</v>
      </c>
      <c r="E32" s="1"/>
    </row>
    <row r="33" spans="1:5" x14ac:dyDescent="0.45">
      <c r="A33" s="1"/>
      <c r="B33" s="35" t="s">
        <v>258</v>
      </c>
      <c r="C33" s="32"/>
      <c r="D33" s="20"/>
      <c r="E33" s="1"/>
    </row>
    <row r="34" spans="1:5" x14ac:dyDescent="0.45">
      <c r="A34" s="1"/>
      <c r="B34" s="64" t="s">
        <v>259</v>
      </c>
      <c r="C34" s="10">
        <v>0</v>
      </c>
      <c r="D34" s="11" t="s">
        <v>3</v>
      </c>
      <c r="E34" s="1"/>
    </row>
    <row r="35" spans="1:5" x14ac:dyDescent="0.45">
      <c r="A35" s="1"/>
      <c r="B35" s="38" t="s">
        <v>32</v>
      </c>
      <c r="C35" s="34">
        <f>SUM(C32,C30,C28,C24,C22,C20)</f>
        <v>66507223.466307402</v>
      </c>
      <c r="D35" s="35" t="s">
        <v>3</v>
      </c>
      <c r="E35" s="1"/>
    </row>
    <row r="36" spans="1:5" x14ac:dyDescent="0.45">
      <c r="A36" s="1"/>
      <c r="B36" s="1"/>
      <c r="C36" s="1"/>
      <c r="D36" s="1"/>
      <c r="E36" s="1"/>
    </row>
    <row r="37" spans="1:5" x14ac:dyDescent="0.45">
      <c r="A37" s="1"/>
      <c r="B37" s="1"/>
      <c r="C37" s="1"/>
      <c r="D37" s="1"/>
      <c r="E37" s="1"/>
    </row>
    <row r="38" spans="1:5" x14ac:dyDescent="0.45">
      <c r="A38" s="1"/>
      <c r="B38" s="1"/>
      <c r="C38" s="1"/>
      <c r="D38" s="1"/>
      <c r="E38" s="1"/>
    </row>
    <row r="39" spans="1:5" x14ac:dyDescent="0.45">
      <c r="A39" s="1"/>
      <c r="B39" s="1"/>
      <c r="C39" s="1"/>
      <c r="D39" s="1"/>
      <c r="E39" s="1"/>
    </row>
    <row r="40" spans="1:5" x14ac:dyDescent="0.45">
      <c r="A40" s="1"/>
      <c r="B40" s="1"/>
      <c r="C40" s="1"/>
      <c r="D40" s="1"/>
      <c r="E40" s="1"/>
    </row>
    <row r="41" spans="1:5" x14ac:dyDescent="0.45">
      <c r="A41" s="1"/>
      <c r="B41" s="1"/>
      <c r="C41" s="1"/>
      <c r="D41" s="1"/>
      <c r="E41" s="1"/>
    </row>
    <row r="42" spans="1:5" x14ac:dyDescent="0.45">
      <c r="A42" s="1"/>
      <c r="B42" s="1"/>
      <c r="C42" s="1"/>
      <c r="D42" s="1"/>
      <c r="E42" s="1"/>
    </row>
    <row r="43" spans="1:5" x14ac:dyDescent="0.45">
      <c r="A43" s="1"/>
      <c r="B43" s="1"/>
      <c r="C43" s="1"/>
      <c r="D43" s="1"/>
      <c r="E43" s="1"/>
    </row>
    <row r="44" spans="1:5" x14ac:dyDescent="0.45">
      <c r="A44" s="1"/>
      <c r="B44" s="1"/>
      <c r="C44" s="1"/>
      <c r="D44" s="1"/>
      <c r="E44" s="1"/>
    </row>
    <row r="45" spans="1:5" x14ac:dyDescent="0.45">
      <c r="A45" s="1"/>
      <c r="B45" s="1"/>
      <c r="C45" s="1"/>
      <c r="D45" s="1"/>
      <c r="E45" s="1"/>
    </row>
    <row r="46" spans="1:5" x14ac:dyDescent="0.45">
      <c r="A46" s="1"/>
      <c r="B46" s="1"/>
      <c r="C46" s="1"/>
      <c r="D46" s="1"/>
      <c r="E46" s="1"/>
    </row>
    <row r="47" spans="1:5" x14ac:dyDescent="0.45">
      <c r="A47" s="1"/>
      <c r="B47" s="1"/>
      <c r="C47" s="1"/>
      <c r="D47" s="1"/>
      <c r="E47" s="1"/>
    </row>
    <row r="48" spans="1:5" x14ac:dyDescent="0.45">
      <c r="A48" s="1"/>
      <c r="B48" s="1"/>
      <c r="C48" s="1"/>
      <c r="D48" s="1"/>
      <c r="E48" s="1"/>
    </row>
    <row r="49" spans="1:5" x14ac:dyDescent="0.45">
      <c r="A49" s="1"/>
      <c r="B49" s="1"/>
      <c r="C49" s="1"/>
      <c r="D49" s="1"/>
      <c r="E49" s="1"/>
    </row>
  </sheetData>
  <sheetProtection algorithmName="SHA-512" hashValue="RWn2T9RQlRUoBlvMwXnkXV8VpKV8cdQKbZx7N+XkzFYs/mTMpZd6mFrlBYoJZor9XzK0w8HmibhXyqi7O3k+UQ==" saltValue="V/NhkM8r99zczWBvQSp4YQ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51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0.86328125" style="2" customWidth="1"/>
    <col min="3" max="3" width="12.265625" style="2" bestFit="1" customWidth="1"/>
    <col min="4" max="4" width="3.265625" style="2" customWidth="1"/>
    <col min="5" max="5" width="5.1328125" style="2" customWidth="1"/>
    <col min="6" max="16384" width="9.1328125" style="2"/>
  </cols>
  <sheetData>
    <row r="1" spans="1:5" x14ac:dyDescent="0.45">
      <c r="A1" s="1"/>
      <c r="B1" s="1"/>
      <c r="C1" s="1"/>
      <c r="D1" s="1"/>
      <c r="E1" s="1"/>
    </row>
    <row r="2" spans="1:5" x14ac:dyDescent="0.45">
      <c r="A2" s="1"/>
      <c r="B2" s="1"/>
      <c r="C2" s="1"/>
      <c r="D2" s="1"/>
      <c r="E2" s="1"/>
    </row>
    <row r="3" spans="1:5" ht="15" customHeight="1" x14ac:dyDescent="0.45">
      <c r="A3" s="1"/>
      <c r="B3" s="85" t="s">
        <v>196</v>
      </c>
      <c r="C3" s="85"/>
      <c r="D3" s="85"/>
      <c r="E3" s="1"/>
    </row>
    <row r="4" spans="1:5" ht="15" customHeight="1" x14ac:dyDescent="0.45">
      <c r="A4" s="1"/>
      <c r="B4" s="85"/>
      <c r="C4" s="85"/>
      <c r="D4" s="85"/>
      <c r="E4" s="1"/>
    </row>
    <row r="5" spans="1:5" x14ac:dyDescent="0.45">
      <c r="A5" s="1"/>
      <c r="B5" s="86" t="s">
        <v>23</v>
      </c>
      <c r="C5" s="86"/>
      <c r="D5" s="86"/>
      <c r="E5" s="1"/>
    </row>
    <row r="6" spans="1:5" x14ac:dyDescent="0.45">
      <c r="A6" s="1"/>
      <c r="B6" s="1"/>
      <c r="C6" s="1"/>
      <c r="D6" s="1"/>
      <c r="E6" s="1"/>
    </row>
    <row r="7" spans="1:5" x14ac:dyDescent="0.45">
      <c r="A7" s="1"/>
      <c r="B7" s="1"/>
      <c r="C7" s="1"/>
      <c r="D7" s="1"/>
      <c r="E7" s="1"/>
    </row>
    <row r="8" spans="1:5" x14ac:dyDescent="0.45">
      <c r="A8" s="1"/>
      <c r="B8" s="38" t="s">
        <v>14</v>
      </c>
      <c r="C8" s="32"/>
      <c r="D8" s="20"/>
      <c r="E8" s="1"/>
    </row>
    <row r="9" spans="1:5" ht="15" customHeight="1" x14ac:dyDescent="0.45">
      <c r="A9" s="1"/>
      <c r="B9" s="33" t="s">
        <v>151</v>
      </c>
      <c r="C9" s="7">
        <f>'Fane 2.1. Økonomisk ramme 2022'!C20</f>
        <v>60073577.064013585</v>
      </c>
      <c r="D9" s="8" t="s">
        <v>3</v>
      </c>
      <c r="E9" s="1"/>
    </row>
    <row r="10" spans="1:5" ht="15" customHeight="1" x14ac:dyDescent="0.45">
      <c r="A10" s="1"/>
      <c r="B10" s="52" t="s">
        <v>29</v>
      </c>
      <c r="C10" s="7">
        <f>-'Fane 13. Bortfald'!C18</f>
        <v>0</v>
      </c>
      <c r="D10" s="8" t="s">
        <v>3</v>
      </c>
      <c r="E10" s="1"/>
    </row>
    <row r="11" spans="1:5" ht="15" customHeight="1" x14ac:dyDescent="0.45">
      <c r="A11" s="1"/>
      <c r="B11" s="52" t="s">
        <v>28</v>
      </c>
      <c r="C11" s="7">
        <f>-'Fane 13. Bortfald'!E18</f>
        <v>0</v>
      </c>
      <c r="D11" s="8" t="s">
        <v>3</v>
      </c>
      <c r="E11" s="1"/>
    </row>
    <row r="12" spans="1:5" ht="15" customHeight="1" x14ac:dyDescent="0.45">
      <c r="A12" s="1"/>
      <c r="B12" s="30" t="s">
        <v>20</v>
      </c>
      <c r="C12" s="9">
        <f>SUM(C9:C11)*'Fane 14. Nøgletal'!C14</f>
        <v>198242.80431124484</v>
      </c>
      <c r="D12" s="8" t="s">
        <v>3</v>
      </c>
      <c r="E12" s="1"/>
    </row>
    <row r="13" spans="1:5" ht="15" customHeight="1" x14ac:dyDescent="0.45">
      <c r="A13" s="1"/>
      <c r="B13" s="30" t="s">
        <v>10</v>
      </c>
      <c r="C13" s="9">
        <f>-SUM(C9:C12)*'Fane 5. Individuelt eff. krav'!G12</f>
        <v>0</v>
      </c>
      <c r="D13" s="8" t="s">
        <v>3</v>
      </c>
      <c r="E13" s="1"/>
    </row>
    <row r="14" spans="1:5" ht="15" customHeight="1" x14ac:dyDescent="0.45">
      <c r="A14" s="1"/>
      <c r="B14" s="30" t="s">
        <v>26</v>
      </c>
      <c r="C14" s="9">
        <f>-'Fane 4.1. Gen. krav - drift'!G45</f>
        <v>-478565.46276734571</v>
      </c>
      <c r="D14" s="8" t="s">
        <v>3</v>
      </c>
      <c r="E14" s="1"/>
    </row>
    <row r="15" spans="1:5" ht="15" customHeight="1" x14ac:dyDescent="0.45">
      <c r="A15" s="1"/>
      <c r="B15" s="30" t="s">
        <v>27</v>
      </c>
      <c r="C15" s="9">
        <f>-'Fane 4.2. Gen. krav - anlæg'!G44</f>
        <v>-525030.59705501469</v>
      </c>
      <c r="D15" s="8" t="s">
        <v>3</v>
      </c>
      <c r="E15" s="1"/>
    </row>
    <row r="16" spans="1:5" ht="15" customHeight="1" x14ac:dyDescent="0.45">
      <c r="A16" s="1"/>
      <c r="B16" s="31" t="s">
        <v>22</v>
      </c>
      <c r="C16" s="10">
        <f>SUM(C9:C15)</f>
        <v>59268223.808502465</v>
      </c>
      <c r="D16" s="11" t="s">
        <v>3</v>
      </c>
      <c r="E16" s="1"/>
    </row>
    <row r="17" spans="1:5" x14ac:dyDescent="0.45">
      <c r="A17" s="1"/>
      <c r="B17" s="38" t="s">
        <v>13</v>
      </c>
      <c r="C17" s="32"/>
      <c r="D17" s="20"/>
      <c r="E17" s="1"/>
    </row>
    <row r="18" spans="1:5" ht="15" customHeight="1" x14ac:dyDescent="0.45">
      <c r="A18" s="1"/>
      <c r="B18" s="36" t="s">
        <v>13</v>
      </c>
      <c r="C18" s="10">
        <f>'Fane 6. Ikke-påvirkelige omk.'!C16*(1+'Fane 14. Nøgletal'!C14)+'Fane 6. Ikke-påvirkelige omk.'!C21+'Fane 6. Ikke-påvirkelige omk.'!C29</f>
        <v>4958641.3246970177</v>
      </c>
      <c r="D18" s="11" t="s">
        <v>3</v>
      </c>
      <c r="E18" s="1"/>
    </row>
    <row r="19" spans="1:5" ht="15" customHeight="1" x14ac:dyDescent="0.45">
      <c r="A19" s="1"/>
      <c r="B19" s="38" t="s">
        <v>94</v>
      </c>
      <c r="C19" s="32"/>
      <c r="D19" s="20"/>
      <c r="E19" s="1"/>
    </row>
    <row r="20" spans="1:5" ht="15" customHeight="1" x14ac:dyDescent="0.45">
      <c r="A20" s="1"/>
      <c r="B20" s="58" t="s">
        <v>94</v>
      </c>
      <c r="C20" s="10">
        <f>'Fane 11. Periodevise driftsomk.'!E18</f>
        <v>1638999.8439056543</v>
      </c>
      <c r="D20" s="11" t="s">
        <v>3</v>
      </c>
      <c r="E20" s="1"/>
    </row>
    <row r="21" spans="1:5" ht="15" customHeight="1" x14ac:dyDescent="0.45">
      <c r="A21" s="1"/>
      <c r="B21" s="38" t="s">
        <v>93</v>
      </c>
      <c r="C21" s="32"/>
      <c r="D21" s="20"/>
      <c r="E21" s="1"/>
    </row>
    <row r="22" spans="1:5" ht="15" customHeight="1" x14ac:dyDescent="0.45">
      <c r="A22" s="1"/>
      <c r="B22" s="52" t="s">
        <v>89</v>
      </c>
      <c r="C22" s="9">
        <f>'Fane 10.2. Engangstillæg'!C22</f>
        <v>0</v>
      </c>
      <c r="D22" s="8" t="s">
        <v>3</v>
      </c>
      <c r="E22" s="1"/>
    </row>
    <row r="23" spans="1:5" ht="15" customHeight="1" x14ac:dyDescent="0.45">
      <c r="A23" s="1"/>
      <c r="B23" s="52" t="s">
        <v>90</v>
      </c>
      <c r="C23" s="9">
        <f>'Fane 10.2. Engangstillæg'!E22</f>
        <v>0</v>
      </c>
      <c r="D23" s="8" t="s">
        <v>3</v>
      </c>
      <c r="E23" s="1"/>
    </row>
    <row r="24" spans="1:5" ht="15" customHeight="1" x14ac:dyDescent="0.45">
      <c r="A24" s="1"/>
      <c r="B24" s="58" t="s">
        <v>95</v>
      </c>
      <c r="C24" s="10">
        <f>SUM(C22:C23)</f>
        <v>0</v>
      </c>
      <c r="D24" s="11" t="s">
        <v>3</v>
      </c>
      <c r="E24" s="1"/>
    </row>
    <row r="25" spans="1:5" x14ac:dyDescent="0.45">
      <c r="A25" s="1"/>
      <c r="B25" s="38" t="s">
        <v>187</v>
      </c>
      <c r="C25" s="32"/>
      <c r="D25" s="20"/>
      <c r="E25" s="1"/>
    </row>
    <row r="26" spans="1:5" ht="15" customHeight="1" x14ac:dyDescent="0.45">
      <c r="A26" s="1"/>
      <c r="B26" s="36" t="s">
        <v>286</v>
      </c>
      <c r="C26" s="10">
        <f>'Fane 7. Kontrol af ØR2020'!E34</f>
        <v>-61867.809727814049</v>
      </c>
      <c r="D26" s="11" t="s">
        <v>3</v>
      </c>
      <c r="E26" s="1"/>
    </row>
    <row r="27" spans="1:5" x14ac:dyDescent="0.45">
      <c r="A27" s="1"/>
      <c r="B27" s="35" t="s">
        <v>258</v>
      </c>
      <c r="C27" s="32"/>
      <c r="D27" s="20"/>
      <c r="E27" s="1"/>
    </row>
    <row r="28" spans="1:5" x14ac:dyDescent="0.45">
      <c r="A28" s="1"/>
      <c r="B28" s="64" t="s">
        <v>259</v>
      </c>
      <c r="C28" s="10">
        <v>0</v>
      </c>
      <c r="D28" s="11" t="s">
        <v>3</v>
      </c>
      <c r="E28" s="1"/>
    </row>
    <row r="29" spans="1:5" x14ac:dyDescent="0.45">
      <c r="A29" s="1"/>
      <c r="B29" s="38" t="s">
        <v>102</v>
      </c>
      <c r="C29" s="12">
        <f>SUM(C16,C18,C20,C24,C26,C28)</f>
        <v>65803997.167377323</v>
      </c>
      <c r="D29" s="13" t="s">
        <v>3</v>
      </c>
      <c r="E29" s="1"/>
    </row>
    <row r="30" spans="1:5" x14ac:dyDescent="0.45">
      <c r="A30" s="1"/>
      <c r="B30" s="1"/>
      <c r="C30" s="1"/>
      <c r="D30" s="1"/>
      <c r="E30" s="1"/>
    </row>
    <row r="31" spans="1:5" x14ac:dyDescent="0.45">
      <c r="A31" s="1"/>
      <c r="B31" s="1"/>
      <c r="C31" s="1"/>
      <c r="D31" s="1"/>
      <c r="E31" s="1"/>
    </row>
    <row r="32" spans="1:5" x14ac:dyDescent="0.45">
      <c r="A32" s="1"/>
      <c r="B32" s="1"/>
      <c r="C32" s="1"/>
      <c r="D32" s="1"/>
      <c r="E32" s="1"/>
    </row>
    <row r="33" spans="1:5" x14ac:dyDescent="0.45">
      <c r="A33" s="1"/>
      <c r="B33" s="1"/>
      <c r="C33" s="1"/>
      <c r="D33" s="1"/>
      <c r="E33" s="1"/>
    </row>
    <row r="34" spans="1:5" x14ac:dyDescent="0.45">
      <c r="A34" s="1"/>
      <c r="B34" s="1"/>
      <c r="C34" s="1"/>
      <c r="D34" s="1"/>
      <c r="E34" s="1"/>
    </row>
    <row r="35" spans="1:5" x14ac:dyDescent="0.45">
      <c r="A35" s="1"/>
      <c r="B35" s="1"/>
      <c r="C35" s="1"/>
      <c r="D35" s="1"/>
      <c r="E35" s="1"/>
    </row>
    <row r="36" spans="1:5" x14ac:dyDescent="0.45">
      <c r="A36" s="1"/>
      <c r="B36" s="1"/>
      <c r="C36" s="1"/>
      <c r="D36" s="1"/>
      <c r="E36" s="1"/>
    </row>
    <row r="37" spans="1:5" x14ac:dyDescent="0.45">
      <c r="A37" s="1"/>
      <c r="B37" s="1"/>
      <c r="C37" s="1"/>
      <c r="D37" s="1"/>
      <c r="E37" s="1"/>
    </row>
    <row r="38" spans="1:5" x14ac:dyDescent="0.45">
      <c r="A38" s="1"/>
      <c r="B38" s="1"/>
      <c r="C38" s="1"/>
      <c r="D38" s="1"/>
      <c r="E38" s="1"/>
    </row>
    <row r="39" spans="1:5" x14ac:dyDescent="0.45">
      <c r="A39" s="1"/>
      <c r="B39" s="1"/>
      <c r="C39" s="1"/>
      <c r="D39" s="1"/>
      <c r="E39" s="1"/>
    </row>
    <row r="40" spans="1:5" x14ac:dyDescent="0.45">
      <c r="A40" s="1"/>
      <c r="B40" s="1"/>
      <c r="C40" s="1"/>
      <c r="D40" s="1"/>
      <c r="E40" s="1"/>
    </row>
    <row r="41" spans="1:5" x14ac:dyDescent="0.45">
      <c r="A41" s="1"/>
      <c r="B41" s="1"/>
      <c r="C41" s="1"/>
      <c r="D41" s="1"/>
      <c r="E41" s="1"/>
    </row>
    <row r="42" spans="1:5" x14ac:dyDescent="0.45">
      <c r="A42" s="1"/>
      <c r="B42" s="1"/>
      <c r="C42" s="1"/>
      <c r="D42" s="1"/>
      <c r="E42" s="1"/>
    </row>
    <row r="43" spans="1:5" x14ac:dyDescent="0.45">
      <c r="A43" s="1"/>
      <c r="B43" s="1"/>
      <c r="C43" s="1"/>
      <c r="D43" s="1"/>
      <c r="E43" s="1"/>
    </row>
    <row r="44" spans="1:5" x14ac:dyDescent="0.45">
      <c r="A44" s="1"/>
      <c r="B44" s="1"/>
      <c r="C44" s="1"/>
      <c r="D44" s="1"/>
      <c r="E44" s="1"/>
    </row>
    <row r="45" spans="1:5" x14ac:dyDescent="0.45">
      <c r="A45" s="1"/>
      <c r="B45" s="1"/>
      <c r="C45" s="1"/>
      <c r="D45" s="1"/>
      <c r="E45" s="1"/>
    </row>
    <row r="46" spans="1:5" x14ac:dyDescent="0.45">
      <c r="A46" s="1"/>
      <c r="B46" s="1"/>
      <c r="C46" s="1"/>
      <c r="D46" s="1"/>
      <c r="E46" s="1"/>
    </row>
    <row r="47" spans="1:5" x14ac:dyDescent="0.45">
      <c r="A47" s="1"/>
      <c r="B47" s="1"/>
      <c r="C47" s="1"/>
      <c r="D47" s="1"/>
      <c r="E47" s="1"/>
    </row>
    <row r="48" spans="1:5" x14ac:dyDescent="0.45">
      <c r="A48" s="1"/>
      <c r="B48" s="1"/>
      <c r="C48" s="1"/>
      <c r="D48" s="1"/>
      <c r="E48" s="1"/>
    </row>
    <row r="49" spans="1:5" x14ac:dyDescent="0.45">
      <c r="A49" s="1"/>
      <c r="B49" s="1"/>
      <c r="C49" s="1"/>
      <c r="D49" s="1"/>
      <c r="E49" s="1"/>
    </row>
    <row r="50" spans="1:5" x14ac:dyDescent="0.45">
      <c r="A50" s="1"/>
      <c r="B50" s="1"/>
      <c r="C50" s="1"/>
      <c r="D50" s="1"/>
      <c r="E50" s="1"/>
    </row>
    <row r="51" spans="1:5" x14ac:dyDescent="0.45">
      <c r="A51" s="1"/>
      <c r="B51" s="1"/>
      <c r="C51" s="1"/>
      <c r="D51" s="1"/>
      <c r="E51" s="1"/>
    </row>
  </sheetData>
  <sheetProtection algorithmName="SHA-512" hashValue="P8fZQjeX4MneOKkgzcSTLQrSBq1dLUEKK8ezSqV+rBxeUUXPIU9DuyQ1hACjhIrrCIb5qAflgUC+AcLDwUif0g==" saltValue="ymUtII2KOkzIP7bBcdkjuA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49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2.1328125" style="2" customWidth="1"/>
    <col min="3" max="3" width="10.86328125" style="2" bestFit="1" customWidth="1"/>
    <col min="4" max="4" width="3.265625" style="2" customWidth="1"/>
    <col min="5" max="5" width="5.1328125" style="2" customWidth="1"/>
    <col min="6" max="16384" width="9.1328125" style="2"/>
  </cols>
  <sheetData>
    <row r="1" spans="1:5" x14ac:dyDescent="0.45">
      <c r="A1" s="1"/>
      <c r="B1" s="1"/>
      <c r="C1" s="1"/>
      <c r="D1" s="1"/>
      <c r="E1" s="1"/>
    </row>
    <row r="2" spans="1:5" x14ac:dyDescent="0.45">
      <c r="A2" s="1"/>
      <c r="B2" s="1"/>
      <c r="C2" s="1"/>
      <c r="D2" s="1"/>
      <c r="E2" s="1"/>
    </row>
    <row r="3" spans="1:5" ht="15" customHeight="1" x14ac:dyDescent="0.45">
      <c r="A3" s="1"/>
      <c r="B3" s="85" t="s">
        <v>197</v>
      </c>
      <c r="C3" s="85"/>
      <c r="D3" s="85"/>
      <c r="E3" s="1"/>
    </row>
    <row r="4" spans="1:5" ht="15" customHeight="1" x14ac:dyDescent="0.45">
      <c r="A4" s="1"/>
      <c r="B4" s="85"/>
      <c r="C4" s="85"/>
      <c r="D4" s="85"/>
      <c r="E4" s="1"/>
    </row>
    <row r="5" spans="1:5" x14ac:dyDescent="0.45">
      <c r="A5" s="1"/>
      <c r="B5" s="86" t="s">
        <v>23</v>
      </c>
      <c r="C5" s="86"/>
      <c r="D5" s="86"/>
      <c r="E5" s="1"/>
    </row>
    <row r="6" spans="1:5" x14ac:dyDescent="0.45">
      <c r="A6" s="1"/>
      <c r="B6" s="50"/>
      <c r="C6" s="50"/>
      <c r="D6" s="50"/>
      <c r="E6" s="1"/>
    </row>
    <row r="7" spans="1:5" x14ac:dyDescent="0.45">
      <c r="A7" s="1"/>
      <c r="B7" s="1"/>
      <c r="C7" s="1"/>
      <c r="D7" s="1"/>
      <c r="E7" s="1"/>
    </row>
    <row r="8" spans="1:5" x14ac:dyDescent="0.45">
      <c r="A8" s="1"/>
      <c r="B8" s="38" t="s">
        <v>14</v>
      </c>
      <c r="C8" s="32"/>
      <c r="D8" s="20"/>
      <c r="E8" s="1"/>
    </row>
    <row r="9" spans="1:5" ht="15" customHeight="1" x14ac:dyDescent="0.45">
      <c r="A9" s="1"/>
      <c r="B9" s="33" t="s">
        <v>152</v>
      </c>
      <c r="C9" s="7">
        <f>'Fane 2.2. Økonomisk ramme 2023'!C16</f>
        <v>59268223.808502465</v>
      </c>
      <c r="D9" s="8" t="s">
        <v>3</v>
      </c>
      <c r="E9" s="1"/>
    </row>
    <row r="10" spans="1:5" ht="15" customHeight="1" x14ac:dyDescent="0.45">
      <c r="A10" s="1"/>
      <c r="B10" s="33" t="s">
        <v>29</v>
      </c>
      <c r="C10" s="7">
        <f>-'Fane 13. Bortfald'!C24</f>
        <v>0</v>
      </c>
      <c r="D10" s="8" t="s">
        <v>3</v>
      </c>
      <c r="E10" s="1"/>
    </row>
    <row r="11" spans="1:5" ht="15" customHeight="1" x14ac:dyDescent="0.45">
      <c r="A11" s="1"/>
      <c r="B11" s="33" t="s">
        <v>28</v>
      </c>
      <c r="C11" s="7">
        <f>-'Fane 13. Bortfald'!E24</f>
        <v>0</v>
      </c>
      <c r="D11" s="8" t="s">
        <v>3</v>
      </c>
      <c r="E11" s="1"/>
    </row>
    <row r="12" spans="1:5" ht="15" customHeight="1" x14ac:dyDescent="0.45">
      <c r="A12" s="1"/>
      <c r="B12" s="30" t="s">
        <v>20</v>
      </c>
      <c r="C12" s="9">
        <f>SUM(C9:C11)*'Fane 14. Nøgletal'!C14</f>
        <v>195585.13856805814</v>
      </c>
      <c r="D12" s="8" t="s">
        <v>3</v>
      </c>
      <c r="E12" s="1"/>
    </row>
    <row r="13" spans="1:5" ht="15" customHeight="1" x14ac:dyDescent="0.45">
      <c r="A13" s="1"/>
      <c r="B13" s="30" t="s">
        <v>10</v>
      </c>
      <c r="C13" s="9">
        <f>-SUM(C9:C12)*'Fane 5. Individuelt eff. krav'!G12</f>
        <v>0</v>
      </c>
      <c r="D13" s="8" t="s">
        <v>3</v>
      </c>
      <c r="E13" s="1"/>
    </row>
    <row r="14" spans="1:5" ht="15" customHeight="1" x14ac:dyDescent="0.45">
      <c r="A14" s="1"/>
      <c r="B14" s="30" t="s">
        <v>26</v>
      </c>
      <c r="C14" s="9">
        <f>-'Fane 4.1. Gen. krav - drift'!G54</f>
        <v>-470541.83421858848</v>
      </c>
      <c r="D14" s="8" t="s">
        <v>3</v>
      </c>
      <c r="E14" s="1"/>
    </row>
    <row r="15" spans="1:5" ht="15" customHeight="1" x14ac:dyDescent="0.45">
      <c r="A15" s="1"/>
      <c r="B15" s="30" t="s">
        <v>27</v>
      </c>
      <c r="C15" s="9">
        <f>-'Fane 4.2. Gen. krav - anlæg'!G55</f>
        <v>-518967.10269452183</v>
      </c>
      <c r="D15" s="8" t="s">
        <v>3</v>
      </c>
      <c r="E15" s="1"/>
    </row>
    <row r="16" spans="1:5" x14ac:dyDescent="0.45">
      <c r="A16" s="1"/>
      <c r="B16" s="31" t="s">
        <v>22</v>
      </c>
      <c r="C16" s="10">
        <f>SUM(C9:C15)</f>
        <v>58474300.010157414</v>
      </c>
      <c r="D16" s="11" t="s">
        <v>3</v>
      </c>
      <c r="E16" s="1"/>
    </row>
    <row r="17" spans="1:5" x14ac:dyDescent="0.45">
      <c r="A17" s="1"/>
      <c r="B17" s="38" t="s">
        <v>13</v>
      </c>
      <c r="C17" s="32"/>
      <c r="D17" s="20"/>
      <c r="E17" s="1"/>
    </row>
    <row r="18" spans="1:5" ht="15" customHeight="1" x14ac:dyDescent="0.45">
      <c r="A18" s="1"/>
      <c r="B18" s="36" t="s">
        <v>13</v>
      </c>
      <c r="C18" s="10">
        <f>'Fane 6. Ikke-påvirkelige omk.'!C16*(1+'Fane 14. Nøgletal'!C14)^2+'Fane 6. Ikke-påvirkelige omk.'!C22+'Fane 6. Ikke-påvirkelige omk.'!C30</f>
        <v>4975004.8410685174</v>
      </c>
      <c r="D18" s="11" t="s">
        <v>3</v>
      </c>
      <c r="E18" s="1"/>
    </row>
    <row r="19" spans="1:5" ht="15" customHeight="1" x14ac:dyDescent="0.45">
      <c r="A19" s="1"/>
      <c r="B19" s="38" t="s">
        <v>94</v>
      </c>
      <c r="C19" s="32"/>
      <c r="D19" s="20"/>
      <c r="E19" s="1"/>
    </row>
    <row r="20" spans="1:5" ht="15" customHeight="1" x14ac:dyDescent="0.45">
      <c r="A20" s="1"/>
      <c r="B20" s="58" t="s">
        <v>94</v>
      </c>
      <c r="C20" s="10">
        <f>'Fane 11. Periodevise driftsomk.'!E24</f>
        <v>1658240.0081555268</v>
      </c>
      <c r="D20" s="11" t="s">
        <v>3</v>
      </c>
      <c r="E20" s="1"/>
    </row>
    <row r="21" spans="1:5" ht="15" customHeight="1" x14ac:dyDescent="0.45">
      <c r="A21" s="1"/>
      <c r="B21" s="38" t="s">
        <v>93</v>
      </c>
      <c r="C21" s="32"/>
      <c r="D21" s="20"/>
      <c r="E21" s="1"/>
    </row>
    <row r="22" spans="1:5" ht="15" customHeight="1" x14ac:dyDescent="0.45">
      <c r="A22" s="1"/>
      <c r="B22" s="52" t="s">
        <v>89</v>
      </c>
      <c r="C22" s="9">
        <f>'Fane 10.2. Engangstillæg'!C30</f>
        <v>0</v>
      </c>
      <c r="D22" s="8" t="s">
        <v>3</v>
      </c>
      <c r="E22" s="1"/>
    </row>
    <row r="23" spans="1:5" ht="15" customHeight="1" x14ac:dyDescent="0.45">
      <c r="A23" s="1"/>
      <c r="B23" s="52" t="s">
        <v>90</v>
      </c>
      <c r="C23" s="9">
        <f>'Fane 10.2. Engangstillæg'!E30</f>
        <v>0</v>
      </c>
      <c r="D23" s="8" t="s">
        <v>3</v>
      </c>
      <c r="E23" s="1"/>
    </row>
    <row r="24" spans="1:5" ht="15" customHeight="1" x14ac:dyDescent="0.45">
      <c r="A24" s="1"/>
      <c r="B24" s="58" t="s">
        <v>95</v>
      </c>
      <c r="C24" s="10">
        <f>SUM(C22:C23)</f>
        <v>0</v>
      </c>
      <c r="D24" s="11" t="s">
        <v>3</v>
      </c>
      <c r="E24" s="1"/>
    </row>
    <row r="25" spans="1:5" x14ac:dyDescent="0.45">
      <c r="A25" s="1"/>
      <c r="B25" s="35" t="s">
        <v>258</v>
      </c>
      <c r="C25" s="32"/>
      <c r="D25" s="20"/>
      <c r="E25" s="1"/>
    </row>
    <row r="26" spans="1:5" x14ac:dyDescent="0.45">
      <c r="A26" s="1"/>
      <c r="B26" s="64" t="s">
        <v>259</v>
      </c>
      <c r="C26" s="10">
        <v>0</v>
      </c>
      <c r="D26" s="11" t="s">
        <v>3</v>
      </c>
      <c r="E26" s="1"/>
    </row>
    <row r="27" spans="1:5" x14ac:dyDescent="0.45">
      <c r="A27" s="1"/>
      <c r="B27" s="38" t="s">
        <v>153</v>
      </c>
      <c r="C27" s="12">
        <f>SUM(C16,C18,C20,C24,C26)</f>
        <v>65107544.859381452</v>
      </c>
      <c r="D27" s="13" t="s">
        <v>3</v>
      </c>
      <c r="E27" s="1"/>
    </row>
    <row r="28" spans="1:5" x14ac:dyDescent="0.45">
      <c r="A28" s="1"/>
      <c r="B28" s="1"/>
      <c r="C28" s="1"/>
      <c r="D28" s="1"/>
      <c r="E28" s="1"/>
    </row>
    <row r="29" spans="1:5" x14ac:dyDescent="0.45">
      <c r="A29" s="1"/>
      <c r="B29" s="1"/>
      <c r="C29" s="1"/>
      <c r="D29" s="1"/>
      <c r="E29" s="1"/>
    </row>
    <row r="30" spans="1:5" x14ac:dyDescent="0.45">
      <c r="A30" s="1"/>
      <c r="B30" s="1"/>
      <c r="C30" s="1"/>
      <c r="D30" s="1"/>
      <c r="E30" s="1"/>
    </row>
    <row r="31" spans="1:5" x14ac:dyDescent="0.45">
      <c r="A31" s="1"/>
      <c r="B31" s="1"/>
      <c r="C31" s="1"/>
      <c r="D31" s="1"/>
      <c r="E31" s="1"/>
    </row>
    <row r="32" spans="1:5" x14ac:dyDescent="0.45">
      <c r="A32" s="1"/>
      <c r="B32" s="1"/>
      <c r="C32" s="1"/>
      <c r="D32" s="1"/>
      <c r="E32" s="1"/>
    </row>
    <row r="33" spans="1:5" x14ac:dyDescent="0.45">
      <c r="A33" s="1"/>
      <c r="B33" s="1"/>
      <c r="C33" s="1"/>
      <c r="D33" s="1"/>
      <c r="E33" s="1"/>
    </row>
    <row r="34" spans="1:5" x14ac:dyDescent="0.45">
      <c r="A34" s="1"/>
      <c r="B34" s="1"/>
      <c r="C34" s="1"/>
      <c r="D34" s="1"/>
      <c r="E34" s="1"/>
    </row>
    <row r="35" spans="1:5" x14ac:dyDescent="0.45">
      <c r="A35" s="1"/>
      <c r="B35" s="1"/>
      <c r="C35" s="1"/>
      <c r="D35" s="1"/>
      <c r="E35" s="1"/>
    </row>
    <row r="36" spans="1:5" x14ac:dyDescent="0.45">
      <c r="A36" s="1"/>
      <c r="B36" s="1"/>
      <c r="C36" s="1"/>
      <c r="D36" s="1"/>
      <c r="E36" s="1"/>
    </row>
    <row r="37" spans="1:5" x14ac:dyDescent="0.45">
      <c r="A37" s="1"/>
      <c r="B37" s="1"/>
      <c r="C37" s="1"/>
      <c r="D37" s="1"/>
      <c r="E37" s="1"/>
    </row>
    <row r="38" spans="1:5" x14ac:dyDescent="0.45">
      <c r="A38" s="1"/>
      <c r="B38" s="1"/>
      <c r="C38" s="1"/>
      <c r="D38" s="1"/>
      <c r="E38" s="1"/>
    </row>
    <row r="39" spans="1:5" x14ac:dyDescent="0.45">
      <c r="A39" s="1"/>
      <c r="B39" s="1"/>
      <c r="C39" s="1"/>
      <c r="D39" s="1"/>
      <c r="E39" s="1"/>
    </row>
    <row r="40" spans="1:5" x14ac:dyDescent="0.45">
      <c r="A40" s="1"/>
      <c r="B40" s="1"/>
      <c r="C40" s="1"/>
      <c r="D40" s="1"/>
      <c r="E40" s="1"/>
    </row>
    <row r="41" spans="1:5" x14ac:dyDescent="0.45">
      <c r="A41" s="1"/>
      <c r="B41" s="1"/>
      <c r="C41" s="1"/>
      <c r="D41" s="1"/>
      <c r="E41" s="1"/>
    </row>
    <row r="42" spans="1:5" x14ac:dyDescent="0.45">
      <c r="A42" s="1"/>
      <c r="B42" s="1"/>
      <c r="C42" s="1"/>
      <c r="D42" s="1"/>
      <c r="E42" s="1"/>
    </row>
    <row r="43" spans="1:5" x14ac:dyDescent="0.45">
      <c r="A43" s="1"/>
      <c r="B43" s="1"/>
      <c r="C43" s="1"/>
      <c r="D43" s="1"/>
      <c r="E43" s="1"/>
    </row>
    <row r="44" spans="1:5" x14ac:dyDescent="0.45">
      <c r="A44" s="1"/>
      <c r="B44" s="1"/>
      <c r="C44" s="1"/>
      <c r="D44" s="1"/>
      <c r="E44" s="1"/>
    </row>
    <row r="45" spans="1:5" x14ac:dyDescent="0.45">
      <c r="A45" s="1"/>
      <c r="B45" s="1"/>
      <c r="C45" s="1"/>
      <c r="D45" s="1"/>
      <c r="E45" s="1"/>
    </row>
    <row r="46" spans="1:5" x14ac:dyDescent="0.45">
      <c r="A46" s="1"/>
      <c r="B46" s="1"/>
      <c r="C46" s="1"/>
      <c r="D46" s="1"/>
      <c r="E46" s="1"/>
    </row>
    <row r="47" spans="1:5" x14ac:dyDescent="0.45">
      <c r="A47" s="1"/>
      <c r="B47" s="1"/>
      <c r="C47" s="1"/>
      <c r="D47" s="1"/>
      <c r="E47" s="1"/>
    </row>
    <row r="48" spans="1:5" x14ac:dyDescent="0.45">
      <c r="A48" s="1"/>
      <c r="B48" s="1"/>
      <c r="C48" s="1"/>
      <c r="D48" s="1"/>
      <c r="E48" s="1"/>
    </row>
    <row r="49" spans="1:5" x14ac:dyDescent="0.45">
      <c r="A49" s="1"/>
      <c r="B49" s="1"/>
      <c r="C49" s="1"/>
      <c r="D49" s="1"/>
      <c r="E49" s="1"/>
    </row>
  </sheetData>
  <sheetProtection algorithmName="SHA-512" hashValue="da5prp/2BDpEsBWMB0rPqYd+B/13bW5ICceryPTFlRPpHrAKQkmEnoy4KzWdussLb8X44wl3xdcem3U0Pdymhg==" saltValue="Nbki/LelvGZcALZle9+VkA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51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2.59765625" style="2" customWidth="1"/>
    <col min="3" max="3" width="10.86328125" style="2" bestFit="1" customWidth="1"/>
    <col min="4" max="4" width="3.265625" style="2" customWidth="1"/>
    <col min="5" max="5" width="5.1328125" style="2" customWidth="1"/>
    <col min="6" max="16384" width="9.1328125" style="2"/>
  </cols>
  <sheetData>
    <row r="1" spans="1:5" x14ac:dyDescent="0.45">
      <c r="A1" s="1"/>
      <c r="B1" s="1"/>
      <c r="C1" s="1"/>
      <c r="D1" s="1"/>
      <c r="E1" s="1"/>
    </row>
    <row r="2" spans="1:5" x14ac:dyDescent="0.45">
      <c r="A2" s="1"/>
      <c r="B2" s="1"/>
      <c r="C2" s="1"/>
      <c r="D2" s="1"/>
      <c r="E2" s="1"/>
    </row>
    <row r="3" spans="1:5" ht="15" customHeight="1" x14ac:dyDescent="0.45">
      <c r="A3" s="1"/>
      <c r="B3" s="85" t="s">
        <v>198</v>
      </c>
      <c r="C3" s="85"/>
      <c r="D3" s="85"/>
      <c r="E3" s="1"/>
    </row>
    <row r="4" spans="1:5" ht="15" customHeight="1" x14ac:dyDescent="0.45">
      <c r="A4" s="1"/>
      <c r="B4" s="85"/>
      <c r="C4" s="85"/>
      <c r="D4" s="85"/>
      <c r="E4" s="1"/>
    </row>
    <row r="5" spans="1:5" x14ac:dyDescent="0.45">
      <c r="A5" s="1"/>
      <c r="B5" s="86" t="s">
        <v>23</v>
      </c>
      <c r="C5" s="86"/>
      <c r="D5" s="86"/>
      <c r="E5" s="1"/>
    </row>
    <row r="6" spans="1:5" x14ac:dyDescent="0.45">
      <c r="A6" s="1"/>
      <c r="B6" s="50"/>
      <c r="C6" s="50"/>
      <c r="D6" s="50"/>
      <c r="E6" s="1"/>
    </row>
    <row r="7" spans="1:5" x14ac:dyDescent="0.45">
      <c r="A7" s="1"/>
      <c r="B7" s="1"/>
      <c r="C7" s="1"/>
      <c r="D7" s="1"/>
      <c r="E7" s="1"/>
    </row>
    <row r="8" spans="1:5" x14ac:dyDescent="0.45">
      <c r="A8" s="1"/>
      <c r="B8" s="38" t="s">
        <v>14</v>
      </c>
      <c r="C8" s="32"/>
      <c r="D8" s="20"/>
      <c r="E8" s="1"/>
    </row>
    <row r="9" spans="1:5" ht="15" customHeight="1" x14ac:dyDescent="0.45">
      <c r="A9" s="1"/>
      <c r="B9" s="33" t="s">
        <v>199</v>
      </c>
      <c r="C9" s="7">
        <f>'Fane 2.3. Økonomisk ramme 2024'!C16</f>
        <v>58474300.010157414</v>
      </c>
      <c r="D9" s="8" t="s">
        <v>3</v>
      </c>
      <c r="E9" s="1"/>
    </row>
    <row r="10" spans="1:5" ht="15" customHeight="1" x14ac:dyDescent="0.45">
      <c r="A10" s="1"/>
      <c r="B10" s="33" t="s">
        <v>29</v>
      </c>
      <c r="C10" s="7">
        <f>-'Fane 13. Bortfald'!C30</f>
        <v>0</v>
      </c>
      <c r="D10" s="8" t="s">
        <v>3</v>
      </c>
      <c r="E10" s="1"/>
    </row>
    <row r="11" spans="1:5" ht="15" customHeight="1" x14ac:dyDescent="0.45">
      <c r="A11" s="1"/>
      <c r="B11" s="33" t="s">
        <v>28</v>
      </c>
      <c r="C11" s="7">
        <f>-'Fane 13. Bortfald'!E30</f>
        <v>0</v>
      </c>
      <c r="D11" s="8" t="s">
        <v>3</v>
      </c>
      <c r="E11" s="1"/>
    </row>
    <row r="12" spans="1:5" ht="15" customHeight="1" x14ac:dyDescent="0.45">
      <c r="A12" s="1"/>
      <c r="B12" s="30" t="s">
        <v>20</v>
      </c>
      <c r="C12" s="9">
        <f>SUM(C9:C11)*'Fane 14. Nøgletal'!C14</f>
        <v>192965.19003351947</v>
      </c>
      <c r="D12" s="8" t="s">
        <v>3</v>
      </c>
      <c r="E12" s="1"/>
    </row>
    <row r="13" spans="1:5" ht="15" customHeight="1" x14ac:dyDescent="0.45">
      <c r="A13" s="1"/>
      <c r="B13" s="30" t="s">
        <v>10</v>
      </c>
      <c r="C13" s="9">
        <f>-SUM(C9:C12)*'Fane 5. Individuelt eff. krav'!G12</f>
        <v>0</v>
      </c>
      <c r="D13" s="8" t="s">
        <v>3</v>
      </c>
      <c r="E13" s="1"/>
    </row>
    <row r="14" spans="1:5" ht="15" customHeight="1" x14ac:dyDescent="0.45">
      <c r="A14" s="1"/>
      <c r="B14" s="30" t="s">
        <v>26</v>
      </c>
      <c r="C14" s="9">
        <f>-'Fane 4.1. Gen. krav - drift'!G60</f>
        <v>-462652.72982607968</v>
      </c>
      <c r="D14" s="8" t="s">
        <v>3</v>
      </c>
      <c r="E14" s="1"/>
    </row>
    <row r="15" spans="1:5" ht="15" customHeight="1" x14ac:dyDescent="0.45">
      <c r="A15" s="1"/>
      <c r="B15" s="30" t="s">
        <v>27</v>
      </c>
      <c r="C15" s="9">
        <f>-'Fane 4.2. Gen. krav - anlæg'!G61</f>
        <v>-512973.63466023939</v>
      </c>
      <c r="D15" s="8" t="s">
        <v>3</v>
      </c>
      <c r="E15" s="1"/>
    </row>
    <row r="16" spans="1:5" x14ac:dyDescent="0.45">
      <c r="A16" s="1"/>
      <c r="B16" s="31" t="s">
        <v>22</v>
      </c>
      <c r="C16" s="10">
        <f>SUM(C9:C15)</f>
        <v>57691638.835704617</v>
      </c>
      <c r="D16" s="11" t="s">
        <v>3</v>
      </c>
      <c r="E16" s="1"/>
    </row>
    <row r="17" spans="1:5" x14ac:dyDescent="0.45">
      <c r="A17" s="1"/>
      <c r="B17" s="38" t="s">
        <v>13</v>
      </c>
      <c r="C17" s="32"/>
      <c r="D17" s="20"/>
      <c r="E17" s="1"/>
    </row>
    <row r="18" spans="1:5" ht="15" customHeight="1" x14ac:dyDescent="0.45">
      <c r="A18" s="1"/>
      <c r="B18" s="36" t="s">
        <v>13</v>
      </c>
      <c r="C18" s="10">
        <f>'Fane 6. Ikke-påvirkelige omk.'!C16*(1+'Fane 14. Nøgletal'!C14)^3+'Fane 6. Ikke-påvirkelige omk.'!C23+'Fane 6. Ikke-påvirkelige omk.'!C31</f>
        <v>4991422.357044044</v>
      </c>
      <c r="D18" s="11" t="s">
        <v>3</v>
      </c>
      <c r="E18" s="1"/>
    </row>
    <row r="19" spans="1:5" ht="15" customHeight="1" x14ac:dyDescent="0.45">
      <c r="A19" s="1"/>
      <c r="B19" s="38" t="s">
        <v>94</v>
      </c>
      <c r="C19" s="32"/>
      <c r="D19" s="20"/>
      <c r="E19" s="1"/>
    </row>
    <row r="20" spans="1:5" ht="15" customHeight="1" x14ac:dyDescent="0.45">
      <c r="A20" s="1"/>
      <c r="B20" s="58" t="s">
        <v>94</v>
      </c>
      <c r="C20" s="10">
        <f>'Fane 11. Periodevise driftsomk.'!E30</f>
        <v>1612561.2316633165</v>
      </c>
      <c r="D20" s="11" t="s">
        <v>3</v>
      </c>
      <c r="E20" s="1"/>
    </row>
    <row r="21" spans="1:5" ht="15" customHeight="1" x14ac:dyDescent="0.45">
      <c r="A21" s="1"/>
      <c r="B21" s="38" t="s">
        <v>93</v>
      </c>
      <c r="C21" s="32"/>
      <c r="D21" s="20"/>
      <c r="E21" s="1"/>
    </row>
    <row r="22" spans="1:5" ht="15" customHeight="1" x14ac:dyDescent="0.45">
      <c r="A22" s="1"/>
      <c r="B22" s="52" t="s">
        <v>89</v>
      </c>
      <c r="C22" s="9">
        <f>'Fane 10.2. Engangstillæg'!C38</f>
        <v>0</v>
      </c>
      <c r="D22" s="8" t="s">
        <v>3</v>
      </c>
      <c r="E22" s="1"/>
    </row>
    <row r="23" spans="1:5" ht="15" customHeight="1" x14ac:dyDescent="0.45">
      <c r="A23" s="1"/>
      <c r="B23" s="52" t="s">
        <v>90</v>
      </c>
      <c r="C23" s="9">
        <f>'Fane 10.2. Engangstillæg'!E38</f>
        <v>0</v>
      </c>
      <c r="D23" s="8" t="s">
        <v>3</v>
      </c>
      <c r="E23" s="1"/>
    </row>
    <row r="24" spans="1:5" ht="15" customHeight="1" x14ac:dyDescent="0.45">
      <c r="A24" s="1"/>
      <c r="B24" s="58" t="s">
        <v>95</v>
      </c>
      <c r="C24" s="10">
        <f>SUM(C22:C23)</f>
        <v>0</v>
      </c>
      <c r="D24" s="11" t="s">
        <v>3</v>
      </c>
      <c r="E24" s="1"/>
    </row>
    <row r="25" spans="1:5" x14ac:dyDescent="0.45">
      <c r="A25" s="1"/>
      <c r="B25" s="35" t="s">
        <v>258</v>
      </c>
      <c r="C25" s="32"/>
      <c r="D25" s="20"/>
      <c r="E25" s="1"/>
    </row>
    <row r="26" spans="1:5" x14ac:dyDescent="0.45">
      <c r="A26" s="1"/>
      <c r="B26" s="64" t="s">
        <v>259</v>
      </c>
      <c r="C26" s="10">
        <v>0</v>
      </c>
      <c r="D26" s="11" t="s">
        <v>3</v>
      </c>
      <c r="E26" s="1"/>
    </row>
    <row r="27" spans="1:5" x14ac:dyDescent="0.45">
      <c r="A27" s="1"/>
      <c r="B27" s="38" t="s">
        <v>200</v>
      </c>
      <c r="C27" s="12">
        <f>SUM(C16,C18,C20,C24,C26)</f>
        <v>64295622.424411975</v>
      </c>
      <c r="D27" s="13" t="s">
        <v>3</v>
      </c>
      <c r="E27" s="1"/>
    </row>
    <row r="28" spans="1:5" x14ac:dyDescent="0.45">
      <c r="A28" s="1"/>
      <c r="B28" s="1"/>
      <c r="C28" s="1"/>
      <c r="D28" s="1"/>
      <c r="E28" s="1"/>
    </row>
    <row r="29" spans="1:5" x14ac:dyDescent="0.45">
      <c r="A29" s="1"/>
      <c r="B29" s="1"/>
      <c r="C29" s="1"/>
      <c r="D29" s="1"/>
      <c r="E29" s="1"/>
    </row>
    <row r="30" spans="1:5" x14ac:dyDescent="0.45">
      <c r="A30" s="1"/>
      <c r="B30" s="1"/>
      <c r="C30" s="1"/>
      <c r="D30" s="1"/>
      <c r="E30" s="1"/>
    </row>
    <row r="31" spans="1:5" x14ac:dyDescent="0.45">
      <c r="A31" s="1"/>
      <c r="B31" s="1"/>
      <c r="C31" s="1"/>
      <c r="D31" s="1"/>
      <c r="E31" s="1"/>
    </row>
    <row r="32" spans="1:5" x14ac:dyDescent="0.45">
      <c r="A32" s="1"/>
      <c r="B32" s="1"/>
      <c r="C32" s="1"/>
      <c r="D32" s="1"/>
      <c r="E32" s="1"/>
    </row>
    <row r="33" spans="1:5" x14ac:dyDescent="0.45">
      <c r="A33" s="1"/>
      <c r="B33" s="1"/>
      <c r="C33" s="1"/>
      <c r="D33" s="1"/>
      <c r="E33" s="1"/>
    </row>
    <row r="34" spans="1:5" x14ac:dyDescent="0.45">
      <c r="A34" s="1"/>
      <c r="B34" s="1"/>
      <c r="C34" s="1"/>
      <c r="D34" s="1"/>
      <c r="E34" s="1"/>
    </row>
    <row r="35" spans="1:5" x14ac:dyDescent="0.45">
      <c r="A35" s="1"/>
      <c r="B35" s="1"/>
      <c r="C35" s="1"/>
      <c r="D35" s="1"/>
      <c r="E35" s="1"/>
    </row>
    <row r="36" spans="1:5" x14ac:dyDescent="0.45">
      <c r="A36" s="1"/>
      <c r="B36" s="1"/>
      <c r="C36" s="1"/>
      <c r="D36" s="1"/>
      <c r="E36" s="1"/>
    </row>
    <row r="37" spans="1:5" x14ac:dyDescent="0.45">
      <c r="A37" s="1"/>
      <c r="B37" s="1"/>
      <c r="C37" s="1"/>
      <c r="D37" s="1"/>
      <c r="E37" s="1"/>
    </row>
    <row r="38" spans="1:5" x14ac:dyDescent="0.45">
      <c r="A38" s="1"/>
      <c r="B38" s="1"/>
      <c r="C38" s="1"/>
      <c r="D38" s="1"/>
      <c r="E38" s="1"/>
    </row>
    <row r="39" spans="1:5" x14ac:dyDescent="0.45">
      <c r="A39" s="1"/>
      <c r="B39" s="1"/>
      <c r="C39" s="1"/>
      <c r="D39" s="1"/>
      <c r="E39" s="1"/>
    </row>
    <row r="40" spans="1:5" x14ac:dyDescent="0.45">
      <c r="A40" s="1"/>
      <c r="B40" s="1"/>
      <c r="C40" s="1"/>
      <c r="D40" s="1"/>
      <c r="E40" s="1"/>
    </row>
    <row r="41" spans="1:5" x14ac:dyDescent="0.45">
      <c r="A41" s="1"/>
      <c r="B41" s="1"/>
      <c r="C41" s="1"/>
      <c r="D41" s="1"/>
      <c r="E41" s="1"/>
    </row>
    <row r="42" spans="1:5" x14ac:dyDescent="0.45">
      <c r="A42" s="1"/>
      <c r="B42" s="1"/>
      <c r="C42" s="1"/>
      <c r="D42" s="1"/>
      <c r="E42" s="1"/>
    </row>
    <row r="43" spans="1:5" x14ac:dyDescent="0.45">
      <c r="A43" s="1"/>
      <c r="B43" s="1"/>
      <c r="C43" s="1"/>
      <c r="D43" s="1"/>
      <c r="E43" s="1"/>
    </row>
    <row r="44" spans="1:5" x14ac:dyDescent="0.45">
      <c r="A44" s="1"/>
      <c r="B44" s="1"/>
      <c r="C44" s="1"/>
      <c r="D44" s="1"/>
      <c r="E44" s="1"/>
    </row>
    <row r="45" spans="1:5" x14ac:dyDescent="0.45">
      <c r="A45" s="1"/>
      <c r="B45" s="1"/>
      <c r="C45" s="1"/>
      <c r="D45" s="1"/>
      <c r="E45" s="1"/>
    </row>
    <row r="46" spans="1:5" x14ac:dyDescent="0.45">
      <c r="A46" s="1"/>
      <c r="B46" s="1"/>
      <c r="C46" s="1"/>
      <c r="D46" s="1"/>
      <c r="E46" s="1"/>
    </row>
    <row r="47" spans="1:5" x14ac:dyDescent="0.45">
      <c r="A47" s="1"/>
      <c r="B47" s="1"/>
      <c r="C47" s="1"/>
      <c r="D47" s="1"/>
      <c r="E47" s="1"/>
    </row>
    <row r="48" spans="1:5" x14ac:dyDescent="0.45">
      <c r="A48" s="1"/>
      <c r="B48" s="1"/>
      <c r="C48" s="1"/>
      <c r="D48" s="1"/>
      <c r="E48" s="1"/>
    </row>
    <row r="49" spans="1:5" x14ac:dyDescent="0.45">
      <c r="A49" s="1"/>
      <c r="B49" s="1"/>
      <c r="C49" s="1"/>
      <c r="D49" s="1"/>
      <c r="E49" s="1"/>
    </row>
    <row r="50" spans="1:5" x14ac:dyDescent="0.45">
      <c r="A50" s="1"/>
      <c r="B50" s="1"/>
      <c r="C50" s="1"/>
      <c r="D50" s="1"/>
      <c r="E50" s="1"/>
    </row>
    <row r="51" spans="1:5" x14ac:dyDescent="0.45">
      <c r="A51" s="1"/>
      <c r="B51" s="1"/>
      <c r="C51" s="1"/>
      <c r="D51" s="1"/>
      <c r="E51" s="1"/>
    </row>
  </sheetData>
  <sheetProtection algorithmName="SHA-512" hashValue="fdnO8zksddl6idc8/jKizUj1tqrTlmNep6Pbx77b7QVyRTGGABmuX6v57hx0nUGtpB9kzDVkN8ErXDFGpl4s5w==" saltValue="xStKzO2trJ3sGHyCHTArzA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0"/>
  <sheetViews>
    <sheetView showGridLines="0" view="pageLayout" zoomScaleNormal="100" workbookViewId="0"/>
  </sheetViews>
  <sheetFormatPr defaultColWidth="9.1328125" defaultRowHeight="14.25" x14ac:dyDescent="0.45"/>
  <cols>
    <col min="1" max="1" width="7.86328125" style="2" customWidth="1"/>
    <col min="2" max="2" width="12.265625" style="2" customWidth="1"/>
    <col min="3" max="3" width="12" style="2" customWidth="1"/>
    <col min="4" max="4" width="31.73046875" style="2" customWidth="1"/>
    <col min="5" max="5" width="10.86328125" style="2" customWidth="1"/>
    <col min="6" max="6" width="3.59765625" style="2" bestFit="1" customWidth="1"/>
    <col min="7" max="7" width="7.86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101" t="s">
        <v>250</v>
      </c>
      <c r="C3" s="101"/>
      <c r="D3" s="101"/>
      <c r="E3" s="101"/>
      <c r="F3" s="101"/>
      <c r="G3" s="1"/>
    </row>
    <row r="4" spans="1:7" ht="29.25" customHeight="1" x14ac:dyDescent="0.45">
      <c r="A4" s="1"/>
      <c r="B4" s="101"/>
      <c r="C4" s="101"/>
      <c r="D4" s="101"/>
      <c r="E4" s="101"/>
      <c r="F4" s="101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38" t="s">
        <v>279</v>
      </c>
      <c r="C8" s="32"/>
      <c r="D8" s="32"/>
      <c r="E8" s="32"/>
      <c r="F8" s="20"/>
      <c r="G8" s="1"/>
    </row>
    <row r="9" spans="1:7" ht="15" customHeight="1" x14ac:dyDescent="0.45">
      <c r="A9" s="1"/>
      <c r="B9" s="96" t="s">
        <v>25</v>
      </c>
      <c r="C9" s="97"/>
      <c r="D9" s="98"/>
      <c r="E9" s="7">
        <v>60548243.513269819</v>
      </c>
      <c r="F9" s="8" t="s">
        <v>3</v>
      </c>
      <c r="G9" s="1"/>
    </row>
    <row r="10" spans="1:7" ht="15" customHeight="1" x14ac:dyDescent="0.45">
      <c r="A10" s="1"/>
      <c r="B10" s="87" t="s">
        <v>43</v>
      </c>
      <c r="C10" s="88"/>
      <c r="D10" s="89"/>
      <c r="E10" s="7">
        <v>245849.20919999998</v>
      </c>
      <c r="F10" s="8" t="s">
        <v>3</v>
      </c>
      <c r="G10" s="1"/>
    </row>
    <row r="11" spans="1:7" ht="15" customHeight="1" x14ac:dyDescent="0.45">
      <c r="A11" s="1"/>
      <c r="B11" s="87" t="s">
        <v>44</v>
      </c>
      <c r="C11" s="88"/>
      <c r="D11" s="89"/>
      <c r="E11" s="9">
        <v>18360.2958</v>
      </c>
      <c r="F11" s="8" t="s">
        <v>3</v>
      </c>
      <c r="G11" s="1"/>
    </row>
    <row r="12" spans="1:7" ht="15" customHeight="1" x14ac:dyDescent="0.45">
      <c r="A12" s="1"/>
      <c r="B12" s="87" t="s">
        <v>29</v>
      </c>
      <c r="C12" s="88"/>
      <c r="D12" s="89"/>
      <c r="E12" s="9">
        <v>0</v>
      </c>
      <c r="F12" s="8" t="s">
        <v>3</v>
      </c>
      <c r="G12" s="1"/>
    </row>
    <row r="13" spans="1:7" ht="15" customHeight="1" x14ac:dyDescent="0.45">
      <c r="A13" s="1"/>
      <c r="B13" s="96" t="s">
        <v>28</v>
      </c>
      <c r="C13" s="97"/>
      <c r="D13" s="98"/>
      <c r="E13" s="9">
        <v>0</v>
      </c>
      <c r="F13" s="8" t="s">
        <v>3</v>
      </c>
      <c r="G13" s="1"/>
    </row>
    <row r="14" spans="1:7" ht="15" customHeight="1" x14ac:dyDescent="0.45">
      <c r="A14" s="1"/>
      <c r="B14" s="96" t="s">
        <v>31</v>
      </c>
      <c r="C14" s="97"/>
      <c r="D14" s="98"/>
      <c r="E14" s="9">
        <v>0</v>
      </c>
      <c r="F14" s="8" t="s">
        <v>3</v>
      </c>
      <c r="G14" s="1"/>
    </row>
    <row r="15" spans="1:7" ht="15" customHeight="1" x14ac:dyDescent="0.45">
      <c r="A15" s="1"/>
      <c r="B15" s="96" t="s">
        <v>30</v>
      </c>
      <c r="C15" s="97"/>
      <c r="D15" s="98"/>
      <c r="E15" s="9">
        <v>0</v>
      </c>
      <c r="F15" s="8" t="s">
        <v>3</v>
      </c>
      <c r="G15" s="1"/>
    </row>
    <row r="16" spans="1:7" ht="15" customHeight="1" x14ac:dyDescent="0.45">
      <c r="A16" s="1"/>
      <c r="B16" s="96" t="s">
        <v>20</v>
      </c>
      <c r="C16" s="97"/>
      <c r="D16" s="98"/>
      <c r="E16" s="9">
        <v>1196023.7531724155</v>
      </c>
      <c r="F16" s="8" t="s">
        <v>3</v>
      </c>
      <c r="G16" s="1"/>
    </row>
    <row r="17" spans="1:7" ht="15" customHeight="1" x14ac:dyDescent="0.45">
      <c r="A17" s="1"/>
      <c r="B17" s="96" t="s">
        <v>10</v>
      </c>
      <c r="C17" s="97"/>
      <c r="D17" s="98"/>
      <c r="E17" s="9">
        <v>-37058.534041717801</v>
      </c>
      <c r="F17" s="8" t="s">
        <v>3</v>
      </c>
      <c r="G17" s="1"/>
    </row>
    <row r="18" spans="1:7" ht="15" customHeight="1" x14ac:dyDescent="0.45">
      <c r="A18" s="1"/>
      <c r="B18" s="96" t="s">
        <v>26</v>
      </c>
      <c r="C18" s="97"/>
      <c r="D18" s="98"/>
      <c r="E18" s="9">
        <f>-'Fane 4.1. Gen. krav - drift'!G32</f>
        <v>-485831.02010821807</v>
      </c>
      <c r="F18" s="8" t="s">
        <v>3</v>
      </c>
      <c r="G18" s="1"/>
    </row>
    <row r="19" spans="1:7" ht="15" customHeight="1" x14ac:dyDescent="0.45">
      <c r="A19" s="1"/>
      <c r="B19" s="96" t="s">
        <v>27</v>
      </c>
      <c r="C19" s="97"/>
      <c r="D19" s="98"/>
      <c r="E19" s="9">
        <f>-'Fane 4.2. Gen. krav - anlæg'!G31</f>
        <v>-1045587.9126395627</v>
      </c>
      <c r="F19" s="8" t="s">
        <v>3</v>
      </c>
      <c r="G19" s="1"/>
    </row>
    <row r="20" spans="1:7" ht="15" customHeight="1" x14ac:dyDescent="0.45">
      <c r="A20" s="1"/>
      <c r="B20" s="58" t="s">
        <v>22</v>
      </c>
      <c r="C20" s="59"/>
      <c r="D20" s="65"/>
      <c r="E20" s="10">
        <f>SUM(E9:E19)</f>
        <v>60439999.304652736</v>
      </c>
      <c r="F20" s="11" t="s">
        <v>3</v>
      </c>
      <c r="G20" s="1"/>
    </row>
    <row r="21" spans="1:7" ht="15" customHeight="1" x14ac:dyDescent="0.45">
      <c r="A21" s="1"/>
      <c r="B21" s="38" t="s">
        <v>13</v>
      </c>
      <c r="C21" s="32"/>
      <c r="D21" s="32"/>
      <c r="E21" s="32"/>
      <c r="F21" s="20"/>
      <c r="G21" s="1"/>
    </row>
    <row r="22" spans="1:7" ht="15" customHeight="1" x14ac:dyDescent="0.45">
      <c r="A22" s="1"/>
      <c r="B22" s="90" t="s">
        <v>13</v>
      </c>
      <c r="C22" s="91"/>
      <c r="D22" s="92"/>
      <c r="E22" s="10">
        <v>3749442.0085105202</v>
      </c>
      <c r="F22" s="11" t="s">
        <v>3</v>
      </c>
      <c r="G22" s="1"/>
    </row>
    <row r="23" spans="1:7" ht="15" customHeight="1" x14ac:dyDescent="0.45">
      <c r="A23" s="1"/>
      <c r="B23" s="93" t="s">
        <v>94</v>
      </c>
      <c r="C23" s="94"/>
      <c r="D23" s="95"/>
      <c r="E23" s="32"/>
      <c r="F23" s="32"/>
      <c r="G23" s="1"/>
    </row>
    <row r="24" spans="1:7" ht="15" customHeight="1" x14ac:dyDescent="0.45">
      <c r="A24" s="1"/>
      <c r="B24" s="58" t="s">
        <v>94</v>
      </c>
      <c r="C24" s="42"/>
      <c r="D24" s="43"/>
      <c r="E24" s="10">
        <v>1671560.1291074632</v>
      </c>
      <c r="F24" s="11" t="s">
        <v>3</v>
      </c>
      <c r="G24" s="1"/>
    </row>
    <row r="25" spans="1:7" x14ac:dyDescent="0.45">
      <c r="A25" s="1"/>
      <c r="B25" s="38" t="s">
        <v>93</v>
      </c>
      <c r="C25" s="32"/>
      <c r="D25" s="32"/>
      <c r="E25" s="32"/>
      <c r="F25" s="20"/>
      <c r="G25" s="1"/>
    </row>
    <row r="26" spans="1:7" ht="15" customHeight="1" x14ac:dyDescent="0.45">
      <c r="A26" s="1"/>
      <c r="B26" s="87" t="s">
        <v>89</v>
      </c>
      <c r="C26" s="88"/>
      <c r="D26" s="89"/>
      <c r="E26" s="9">
        <v>0</v>
      </c>
      <c r="F26" s="8" t="s">
        <v>3</v>
      </c>
      <c r="G26" s="1"/>
    </row>
    <row r="27" spans="1:7" ht="15" customHeight="1" x14ac:dyDescent="0.45">
      <c r="A27" s="1"/>
      <c r="B27" s="87" t="s">
        <v>90</v>
      </c>
      <c r="C27" s="88"/>
      <c r="D27" s="88"/>
      <c r="E27" s="9">
        <v>0</v>
      </c>
      <c r="F27" s="8" t="s">
        <v>3</v>
      </c>
      <c r="G27" s="1"/>
    </row>
    <row r="28" spans="1:7" ht="15" customHeight="1" x14ac:dyDescent="0.45">
      <c r="A28" s="1"/>
      <c r="B28" s="99" t="s">
        <v>95</v>
      </c>
      <c r="C28" s="100"/>
      <c r="D28" s="100"/>
      <c r="E28" s="44">
        <v>0</v>
      </c>
      <c r="F28" s="11" t="s">
        <v>3</v>
      </c>
      <c r="G28" s="1"/>
    </row>
    <row r="29" spans="1:7" ht="15" customHeight="1" x14ac:dyDescent="0.45">
      <c r="A29" s="1"/>
      <c r="B29" s="38" t="s">
        <v>187</v>
      </c>
      <c r="C29" s="38"/>
      <c r="D29" s="38"/>
      <c r="E29" s="32"/>
      <c r="F29" s="32"/>
      <c r="G29" s="1"/>
    </row>
    <row r="30" spans="1:7" ht="15" customHeight="1" x14ac:dyDescent="0.45">
      <c r="A30" s="1"/>
      <c r="B30" s="90" t="s">
        <v>185</v>
      </c>
      <c r="C30" s="91"/>
      <c r="D30" s="91"/>
      <c r="E30" s="44">
        <v>0</v>
      </c>
      <c r="F30" s="11" t="s">
        <v>3</v>
      </c>
      <c r="G30" s="1"/>
    </row>
    <row r="31" spans="1:7" x14ac:dyDescent="0.45">
      <c r="A31" s="1"/>
      <c r="B31" s="38" t="s">
        <v>148</v>
      </c>
      <c r="C31" s="32"/>
      <c r="D31" s="32"/>
      <c r="E31" s="32"/>
      <c r="F31" s="32"/>
      <c r="G31" s="1"/>
    </row>
    <row r="32" spans="1:7" ht="15.4" customHeight="1" x14ac:dyDescent="0.45">
      <c r="A32" s="1"/>
      <c r="B32" s="90" t="s">
        <v>148</v>
      </c>
      <c r="C32" s="91"/>
      <c r="D32" s="92"/>
      <c r="E32" s="10">
        <v>233285</v>
      </c>
      <c r="F32" s="11" t="s">
        <v>3</v>
      </c>
      <c r="G32" s="1"/>
    </row>
    <row r="33" spans="1:7" x14ac:dyDescent="0.45">
      <c r="A33" s="1"/>
      <c r="B33" s="38" t="s">
        <v>251</v>
      </c>
      <c r="C33" s="32"/>
      <c r="D33" s="20"/>
      <c r="E33" s="12">
        <f>SUM(E32,E30,E28,E24,E22,E20)</f>
        <v>66094286.442270719</v>
      </c>
      <c r="F33" s="13" t="s">
        <v>3</v>
      </c>
      <c r="G33" s="1"/>
    </row>
    <row r="34" spans="1:7" ht="27" customHeight="1" x14ac:dyDescent="0.45">
      <c r="A34" s="1"/>
      <c r="B34" s="96" t="s">
        <v>252</v>
      </c>
      <c r="C34" s="97"/>
      <c r="D34" s="97"/>
      <c r="E34" s="97"/>
      <c r="F34" s="98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  <row r="50" spans="1:7" x14ac:dyDescent="0.45">
      <c r="A50" s="1"/>
      <c r="B50" s="1"/>
      <c r="C50" s="1"/>
      <c r="D50" s="1"/>
      <c r="E50" s="1"/>
      <c r="F50" s="1"/>
      <c r="G50" s="1"/>
    </row>
  </sheetData>
  <sheetProtection algorithmName="SHA-512" hashValue="2Xhzxc0km9wGkFhtx7ZzShkNeHjdYLbbpLxM1QrM12N+7zUxiIwE3j7BTZO9nbtCY/AjusCJQvXdHnWGNgNd8A==" saltValue="ZzXSIaI8jNYrJCMqMjg0YQ==" spinCount="100000" sheet="1" objects="1" scenarios="1"/>
  <mergeCells count="20">
    <mergeCell ref="B18:D18"/>
    <mergeCell ref="B19:D19"/>
    <mergeCell ref="B13:D13"/>
    <mergeCell ref="B14:D14"/>
    <mergeCell ref="B15:D15"/>
    <mergeCell ref="B16:D16"/>
    <mergeCell ref="B17:D17"/>
    <mergeCell ref="B3:F4"/>
    <mergeCell ref="B9:D9"/>
    <mergeCell ref="B10:D10"/>
    <mergeCell ref="B11:D11"/>
    <mergeCell ref="B12:D12"/>
    <mergeCell ref="B26:D26"/>
    <mergeCell ref="B32:D32"/>
    <mergeCell ref="B22:D22"/>
    <mergeCell ref="B23:D23"/>
    <mergeCell ref="B34:F34"/>
    <mergeCell ref="B27:D27"/>
    <mergeCell ref="B28:D28"/>
    <mergeCell ref="B30:D30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63"/>
  <sheetViews>
    <sheetView showGridLines="0" view="pageLayout" zoomScaleNormal="100" workbookViewId="0"/>
  </sheetViews>
  <sheetFormatPr defaultColWidth="9.1328125" defaultRowHeight="14.25" x14ac:dyDescent="0.45"/>
  <cols>
    <col min="1" max="1" width="6.1328125" style="2" customWidth="1"/>
    <col min="2" max="5" width="9.1328125" style="2"/>
    <col min="6" max="6" width="23.265625" style="2" customWidth="1"/>
    <col min="7" max="7" width="10.265625" style="2" customWidth="1"/>
    <col min="8" max="8" width="4.265625" style="2" customWidth="1"/>
    <col min="9" max="9" width="6.73046875" style="2" customWidth="1"/>
    <col min="10" max="16384" width="9.1328125" style="2"/>
  </cols>
  <sheetData>
    <row r="1" spans="1:9" ht="15" customHeight="1" x14ac:dyDescent="0.45">
      <c r="A1" s="1"/>
      <c r="B1" s="101" t="s">
        <v>130</v>
      </c>
      <c r="C1" s="101"/>
      <c r="D1" s="101"/>
      <c r="E1" s="101"/>
      <c r="F1" s="101"/>
      <c r="G1" s="101"/>
      <c r="H1" s="101"/>
      <c r="I1" s="1"/>
    </row>
    <row r="2" spans="1:9" ht="28.5" customHeight="1" x14ac:dyDescent="0.45">
      <c r="A2" s="1"/>
      <c r="B2" s="101"/>
      <c r="C2" s="101"/>
      <c r="D2" s="101"/>
      <c r="E2" s="101"/>
      <c r="F2" s="101"/>
      <c r="G2" s="101"/>
      <c r="H2" s="101"/>
      <c r="I2" s="1"/>
    </row>
    <row r="3" spans="1:9" x14ac:dyDescent="0.45">
      <c r="A3" s="1"/>
      <c r="B3" s="93" t="s">
        <v>56</v>
      </c>
      <c r="C3" s="94"/>
      <c r="D3" s="94"/>
      <c r="E3" s="94"/>
      <c r="F3" s="94"/>
      <c r="G3" s="94"/>
      <c r="H3" s="95"/>
      <c r="I3" s="1"/>
    </row>
    <row r="4" spans="1:9" x14ac:dyDescent="0.45">
      <c r="A4" s="1"/>
      <c r="B4" s="102" t="s">
        <v>45</v>
      </c>
      <c r="C4" s="103"/>
      <c r="D4" s="103"/>
      <c r="E4" s="103"/>
      <c r="F4" s="104"/>
      <c r="G4" s="24">
        <v>24090389.363550268</v>
      </c>
      <c r="H4" s="14" t="s">
        <v>3</v>
      </c>
      <c r="I4" s="1"/>
    </row>
    <row r="5" spans="1:9" x14ac:dyDescent="0.45">
      <c r="A5" s="1"/>
      <c r="B5" s="96" t="s">
        <v>145</v>
      </c>
      <c r="C5" s="97"/>
      <c r="D5" s="97"/>
      <c r="E5" s="97"/>
      <c r="F5" s="98"/>
      <c r="G5" s="24">
        <v>1180823</v>
      </c>
      <c r="H5" s="14" t="s">
        <v>3</v>
      </c>
      <c r="I5" s="1"/>
    </row>
    <row r="6" spans="1:9" x14ac:dyDescent="0.45">
      <c r="A6" s="1"/>
      <c r="B6" s="102" t="s">
        <v>46</v>
      </c>
      <c r="C6" s="103"/>
      <c r="D6" s="103"/>
      <c r="E6" s="103"/>
      <c r="F6" s="104"/>
      <c r="G6" s="24">
        <f>SUM(G4:G5)*'Fane 14. Nøgletal'!C29</f>
        <v>505424.24727100536</v>
      </c>
      <c r="H6" s="14" t="s">
        <v>3</v>
      </c>
      <c r="I6" s="1"/>
    </row>
    <row r="7" spans="1:9" x14ac:dyDescent="0.45">
      <c r="A7" s="1"/>
      <c r="B7" s="38"/>
      <c r="C7" s="32"/>
      <c r="D7" s="32"/>
      <c r="E7" s="32"/>
      <c r="F7" s="32"/>
      <c r="G7" s="32"/>
      <c r="H7" s="20"/>
      <c r="I7" s="1"/>
    </row>
    <row r="8" spans="1:9" x14ac:dyDescent="0.45">
      <c r="A8" s="1"/>
      <c r="B8" s="1"/>
      <c r="C8" s="1"/>
      <c r="D8" s="1"/>
      <c r="E8" s="1"/>
      <c r="F8" s="1"/>
      <c r="G8" s="1"/>
      <c r="H8" s="1"/>
      <c r="I8" s="1"/>
    </row>
    <row r="9" spans="1:9" x14ac:dyDescent="0.45">
      <c r="A9" s="1"/>
      <c r="B9" s="93" t="s">
        <v>57</v>
      </c>
      <c r="C9" s="94"/>
      <c r="D9" s="94"/>
      <c r="E9" s="94"/>
      <c r="F9" s="94"/>
      <c r="G9" s="94"/>
      <c r="H9" s="95"/>
      <c r="I9" s="1"/>
    </row>
    <row r="10" spans="1:9" x14ac:dyDescent="0.45">
      <c r="A10" s="1"/>
      <c r="B10" s="102" t="s">
        <v>47</v>
      </c>
      <c r="C10" s="103"/>
      <c r="D10" s="103"/>
      <c r="E10" s="103"/>
      <c r="F10" s="104"/>
      <c r="G10" s="24">
        <f>(G4-G6)*(1+'Fane 14. Nøgletal'!C10)</f>
        <v>23997702.00581415</v>
      </c>
      <c r="H10" s="14" t="s">
        <v>3</v>
      </c>
      <c r="I10" s="1"/>
    </row>
    <row r="11" spans="1:9" ht="15" customHeight="1" x14ac:dyDescent="0.45">
      <c r="A11" s="1"/>
      <c r="B11" s="102" t="s">
        <v>146</v>
      </c>
      <c r="C11" s="103"/>
      <c r="D11" s="103"/>
      <c r="E11" s="103"/>
      <c r="F11" s="104"/>
      <c r="G11" s="24">
        <v>539.27251202559103</v>
      </c>
      <c r="H11" s="14" t="s">
        <v>3</v>
      </c>
      <c r="I11" s="1"/>
    </row>
    <row r="12" spans="1:9" x14ac:dyDescent="0.45">
      <c r="A12" s="1"/>
      <c r="B12" s="96" t="s">
        <v>143</v>
      </c>
      <c r="C12" s="97"/>
      <c r="D12" s="97"/>
      <c r="E12" s="97"/>
      <c r="F12" s="98"/>
      <c r="G12" s="24">
        <v>1525017.8075000001</v>
      </c>
      <c r="H12" s="14" t="s">
        <v>3</v>
      </c>
      <c r="I12" s="1"/>
    </row>
    <row r="13" spans="1:9" x14ac:dyDescent="0.45">
      <c r="A13" s="1"/>
      <c r="B13" s="105" t="s">
        <v>48</v>
      </c>
      <c r="C13" s="106"/>
      <c r="D13" s="106"/>
      <c r="E13" s="106"/>
      <c r="F13" s="107"/>
      <c r="G13" s="24">
        <v>23564.605556250001</v>
      </c>
      <c r="H13" s="14" t="s">
        <v>3</v>
      </c>
      <c r="I13" s="1"/>
    </row>
    <row r="14" spans="1:9" x14ac:dyDescent="0.45">
      <c r="A14" s="1"/>
      <c r="B14" s="102" t="s">
        <v>49</v>
      </c>
      <c r="C14" s="103"/>
      <c r="D14" s="103"/>
      <c r="E14" s="103"/>
      <c r="F14" s="104"/>
      <c r="G14" s="24">
        <f>SUM(G10:G13)*'Fane 14. Nøgletal'!C29</f>
        <v>510936.47382764856</v>
      </c>
      <c r="H14" s="14" t="s">
        <v>3</v>
      </c>
      <c r="I14" s="1"/>
    </row>
    <row r="15" spans="1:9" x14ac:dyDescent="0.45">
      <c r="A15" s="1"/>
      <c r="B15" s="38"/>
      <c r="C15" s="32"/>
      <c r="D15" s="32"/>
      <c r="E15" s="32"/>
      <c r="F15" s="32"/>
      <c r="G15" s="32"/>
      <c r="H15" s="20"/>
      <c r="I15" s="1"/>
    </row>
    <row r="16" spans="1:9" x14ac:dyDescent="0.4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45">
      <c r="A17" s="1"/>
      <c r="B17" s="93" t="s">
        <v>58</v>
      </c>
      <c r="C17" s="94"/>
      <c r="D17" s="94"/>
      <c r="E17" s="94"/>
      <c r="F17" s="94"/>
      <c r="G17" s="94"/>
      <c r="H17" s="95"/>
      <c r="I17" s="1"/>
    </row>
    <row r="18" spans="1:9" x14ac:dyDescent="0.45">
      <c r="A18" s="1"/>
      <c r="B18" s="102" t="s">
        <v>50</v>
      </c>
      <c r="C18" s="103"/>
      <c r="D18" s="103"/>
      <c r="E18" s="103"/>
      <c r="F18" s="104"/>
      <c r="G18" s="24">
        <f>(SUM(G10:G11,G13)-(G14))*(1+'Fane 14. Nøgletal'!C10)</f>
        <v>23922309.624730736</v>
      </c>
      <c r="H18" s="14" t="s">
        <v>3</v>
      </c>
      <c r="I18" s="1"/>
    </row>
    <row r="19" spans="1:9" x14ac:dyDescent="0.45">
      <c r="A19" s="1"/>
      <c r="B19" s="105" t="s">
        <v>51</v>
      </c>
      <c r="C19" s="106"/>
      <c r="D19" s="106"/>
      <c r="E19" s="106"/>
      <c r="F19" s="107"/>
      <c r="G19" s="9">
        <v>0</v>
      </c>
      <c r="H19" s="14" t="s">
        <v>3</v>
      </c>
      <c r="I19" s="1"/>
    </row>
    <row r="20" spans="1:9" x14ac:dyDescent="0.45">
      <c r="A20" s="1"/>
      <c r="B20" s="102" t="s">
        <v>52</v>
      </c>
      <c r="C20" s="103"/>
      <c r="D20" s="103"/>
      <c r="E20" s="103"/>
      <c r="F20" s="104"/>
      <c r="G20" s="24">
        <f>SUM(G18:G19)*'Fane 14. Nøgletal'!C29</f>
        <v>478446.19249461475</v>
      </c>
      <c r="H20" s="14" t="s">
        <v>3</v>
      </c>
      <c r="I20" s="1"/>
    </row>
    <row r="21" spans="1:9" x14ac:dyDescent="0.45">
      <c r="A21" s="1"/>
      <c r="B21" s="38"/>
      <c r="C21" s="32"/>
      <c r="D21" s="32"/>
      <c r="E21" s="32"/>
      <c r="F21" s="32"/>
      <c r="G21" s="32"/>
      <c r="H21" s="20"/>
      <c r="I21" s="1"/>
    </row>
    <row r="22" spans="1:9" x14ac:dyDescent="0.4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45">
      <c r="A23" s="1"/>
      <c r="B23" s="93" t="s">
        <v>59</v>
      </c>
      <c r="C23" s="94"/>
      <c r="D23" s="94"/>
      <c r="E23" s="94"/>
      <c r="F23" s="94"/>
      <c r="G23" s="94"/>
      <c r="H23" s="95"/>
      <c r="I23" s="1"/>
    </row>
    <row r="24" spans="1:9" x14ac:dyDescent="0.45">
      <c r="A24" s="1"/>
      <c r="B24" s="102" t="s">
        <v>53</v>
      </c>
      <c r="C24" s="103"/>
      <c r="D24" s="103"/>
      <c r="E24" s="103"/>
      <c r="F24" s="104"/>
      <c r="G24" s="24">
        <f>(G18+G19-G20)*(1+'Fane 14. Nøgletal'!C12)</f>
        <v>23905707.541851174</v>
      </c>
      <c r="H24" s="14" t="s">
        <v>3</v>
      </c>
      <c r="I24" s="1"/>
    </row>
    <row r="25" spans="1:9" x14ac:dyDescent="0.45">
      <c r="A25" s="1"/>
      <c r="B25" s="105" t="s">
        <v>54</v>
      </c>
      <c r="C25" s="106"/>
      <c r="D25" s="106"/>
      <c r="E25" s="106"/>
      <c r="F25" s="107"/>
      <c r="G25" s="24">
        <v>153692.11737098999</v>
      </c>
      <c r="H25" s="14" t="s">
        <v>3</v>
      </c>
      <c r="I25" s="1"/>
    </row>
    <row r="26" spans="1:9" x14ac:dyDescent="0.45">
      <c r="A26" s="1"/>
      <c r="B26" s="102" t="s">
        <v>55</v>
      </c>
      <c r="C26" s="103"/>
      <c r="D26" s="103"/>
      <c r="E26" s="103"/>
      <c r="F26" s="104"/>
      <c r="G26" s="24">
        <f>(G24+G25)*'Fane 14. Nøgletal'!C29</f>
        <v>481187.99318444327</v>
      </c>
      <c r="H26" s="14" t="s">
        <v>3</v>
      </c>
      <c r="I26" s="1"/>
    </row>
    <row r="27" spans="1:9" x14ac:dyDescent="0.45">
      <c r="A27" s="1"/>
      <c r="B27" s="38"/>
      <c r="C27" s="32"/>
      <c r="D27" s="32"/>
      <c r="E27" s="32"/>
      <c r="F27" s="32"/>
      <c r="G27" s="32"/>
      <c r="H27" s="20"/>
      <c r="I27" s="1"/>
    </row>
    <row r="28" spans="1:9" x14ac:dyDescent="0.4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45">
      <c r="A29" s="1"/>
      <c r="B29" s="93" t="s">
        <v>62</v>
      </c>
      <c r="C29" s="94"/>
      <c r="D29" s="94"/>
      <c r="E29" s="94"/>
      <c r="F29" s="94"/>
      <c r="G29" s="94"/>
      <c r="H29" s="95"/>
      <c r="I29" s="1"/>
    </row>
    <row r="30" spans="1:9" x14ac:dyDescent="0.45">
      <c r="A30" s="1"/>
      <c r="B30" s="102" t="s">
        <v>63</v>
      </c>
      <c r="C30" s="103"/>
      <c r="D30" s="103"/>
      <c r="E30" s="103"/>
      <c r="F30" s="104"/>
      <c r="G30" s="24">
        <f>(G24+G25-G26)*(1+'Fane 14. Nøgletal'!C12)</f>
        <v>24042702.435858663</v>
      </c>
      <c r="H30" s="14" t="s">
        <v>3</v>
      </c>
      <c r="I30" s="1"/>
    </row>
    <row r="31" spans="1:9" x14ac:dyDescent="0.45">
      <c r="A31" s="1"/>
      <c r="B31" s="102" t="s">
        <v>171</v>
      </c>
      <c r="C31" s="103"/>
      <c r="D31" s="103"/>
      <c r="E31" s="103"/>
      <c r="F31" s="104"/>
      <c r="G31" s="24">
        <v>248848.56955223999</v>
      </c>
      <c r="H31" s="14" t="s">
        <v>3</v>
      </c>
      <c r="I31" s="1"/>
    </row>
    <row r="32" spans="1:9" x14ac:dyDescent="0.45">
      <c r="A32" s="1"/>
      <c r="B32" s="102" t="s">
        <v>64</v>
      </c>
      <c r="C32" s="103"/>
      <c r="D32" s="103"/>
      <c r="E32" s="103"/>
      <c r="F32" s="104"/>
      <c r="G32" s="24">
        <f>(G30+G31)*'Fane 14. Nøgletal'!C29</f>
        <v>485831.02010821807</v>
      </c>
      <c r="H32" s="14" t="s">
        <v>3</v>
      </c>
      <c r="I32" s="1"/>
    </row>
    <row r="33" spans="1:9" x14ac:dyDescent="0.45">
      <c r="A33" s="1"/>
      <c r="B33" s="38"/>
      <c r="C33" s="32"/>
      <c r="D33" s="32"/>
      <c r="E33" s="32"/>
      <c r="F33" s="32"/>
      <c r="G33" s="32"/>
      <c r="H33" s="20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93" t="s">
        <v>232</v>
      </c>
      <c r="C35" s="94"/>
      <c r="D35" s="94"/>
      <c r="E35" s="94"/>
      <c r="F35" s="94"/>
      <c r="G35" s="94"/>
      <c r="H35" s="95"/>
      <c r="I35" s="1"/>
    </row>
    <row r="36" spans="1:9" x14ac:dyDescent="0.45">
      <c r="A36" s="1"/>
      <c r="B36" s="102" t="s">
        <v>84</v>
      </c>
      <c r="C36" s="103"/>
      <c r="D36" s="103"/>
      <c r="E36" s="103"/>
      <c r="F36" s="104"/>
      <c r="G36" s="24">
        <f>(G30+G31-G32)*(1+'Fane 14. Nøgletal'!C14)</f>
        <v>23884278.861254185</v>
      </c>
      <c r="H36" s="14" t="s">
        <v>3</v>
      </c>
      <c r="I36" s="1"/>
    </row>
    <row r="37" spans="1:9" x14ac:dyDescent="0.45">
      <c r="A37" s="1"/>
      <c r="B37" s="102" t="s">
        <v>236</v>
      </c>
      <c r="C37" s="103"/>
      <c r="D37" s="103"/>
      <c r="E37" s="103"/>
      <c r="F37" s="104"/>
      <c r="G37" s="24">
        <f>SUM('Fane 2.1. Økonomisk ramme 2022'!C10,'Fane 2.1. Økonomisk ramme 2022'!C12,'Fane 2.1. Økonomisk ramme 2022'!C14)*(1+'Fane 14. Nøgletal'!C14)</f>
        <v>452016.60693272005</v>
      </c>
      <c r="H37" s="14" t="s">
        <v>3</v>
      </c>
      <c r="I37" s="1"/>
    </row>
    <row r="38" spans="1:9" x14ac:dyDescent="0.45">
      <c r="A38" s="1"/>
      <c r="B38" s="102" t="s">
        <v>234</v>
      </c>
      <c r="C38" s="103"/>
      <c r="D38" s="103"/>
      <c r="E38" s="103"/>
      <c r="F38" s="104"/>
      <c r="G38" s="24">
        <f>(G36+G37)*'Fane 14. Nøgletal'!C29</f>
        <v>486725.90936373809</v>
      </c>
      <c r="H38" s="14" t="s">
        <v>3</v>
      </c>
      <c r="I38" s="1"/>
    </row>
    <row r="39" spans="1:9" x14ac:dyDescent="0.45">
      <c r="A39" s="1"/>
      <c r="B39" s="38"/>
      <c r="C39" s="32"/>
      <c r="D39" s="32"/>
      <c r="E39" s="32"/>
      <c r="F39" s="32"/>
      <c r="G39" s="32"/>
      <c r="H39" s="20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93" t="s">
        <v>233</v>
      </c>
      <c r="C41" s="94"/>
      <c r="D41" s="94"/>
      <c r="E41" s="94"/>
      <c r="F41" s="94"/>
      <c r="G41" s="94"/>
      <c r="H41" s="95"/>
      <c r="I41" s="1"/>
    </row>
    <row r="42" spans="1:9" x14ac:dyDescent="0.45">
      <c r="A42" s="1"/>
      <c r="B42" s="102" t="s">
        <v>83</v>
      </c>
      <c r="C42" s="103"/>
      <c r="D42" s="103"/>
      <c r="E42" s="103"/>
      <c r="F42" s="104"/>
      <c r="G42" s="24">
        <f>(G36+G37-G38)*(1+'Fane 14. Nøgletal'!C14)</f>
        <v>23928273.138367284</v>
      </c>
      <c r="H42" s="14" t="s">
        <v>3</v>
      </c>
      <c r="I42" s="1"/>
    </row>
    <row r="43" spans="1:9" x14ac:dyDescent="0.45">
      <c r="A43" s="1"/>
      <c r="B43" s="108" t="s">
        <v>237</v>
      </c>
      <c r="C43" s="109"/>
      <c r="D43" s="109"/>
      <c r="E43" s="109"/>
      <c r="F43" s="110"/>
      <c r="G43" s="24">
        <f>G37*(1+'Fane 14. Nøgletal'!C14)</f>
        <v>453508.26173559809</v>
      </c>
      <c r="H43" s="14" t="s">
        <v>3</v>
      </c>
      <c r="I43" s="1"/>
    </row>
    <row r="44" spans="1:9" x14ac:dyDescent="0.45">
      <c r="A44" s="1"/>
      <c r="B44" s="102" t="s">
        <v>97</v>
      </c>
      <c r="C44" s="103"/>
      <c r="D44" s="103"/>
      <c r="E44" s="103"/>
      <c r="F44" s="104"/>
      <c r="G44" s="9">
        <f>-'Fane 13. Bortfald'!C18*(1+'Fane 14. Nøgletal'!C14)</f>
        <v>0</v>
      </c>
      <c r="H44" s="14" t="s">
        <v>3</v>
      </c>
      <c r="I44" s="1"/>
    </row>
    <row r="45" spans="1:9" x14ac:dyDescent="0.45">
      <c r="A45" s="1"/>
      <c r="B45" s="102" t="s">
        <v>235</v>
      </c>
      <c r="C45" s="103"/>
      <c r="D45" s="103"/>
      <c r="E45" s="103"/>
      <c r="F45" s="104"/>
      <c r="G45" s="24">
        <f>(G42+G44)*'Fane 14. Nøgletal'!C29</f>
        <v>478565.46276734571</v>
      </c>
      <c r="H45" s="14" t="s">
        <v>3</v>
      </c>
      <c r="I45" s="1"/>
    </row>
    <row r="46" spans="1:9" x14ac:dyDescent="0.45">
      <c r="A46" s="1"/>
      <c r="B46" s="38"/>
      <c r="C46" s="32"/>
      <c r="D46" s="32"/>
      <c r="E46" s="32"/>
      <c r="F46" s="32"/>
      <c r="G46" s="32"/>
      <c r="H46" s="20"/>
      <c r="I46" s="1"/>
    </row>
    <row r="47" spans="1:9" x14ac:dyDescent="0.4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4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4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4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45">
      <c r="A51" s="1"/>
      <c r="B51" s="93" t="s">
        <v>172</v>
      </c>
      <c r="C51" s="94"/>
      <c r="D51" s="94"/>
      <c r="E51" s="94"/>
      <c r="F51" s="94"/>
      <c r="G51" s="94"/>
      <c r="H51" s="95"/>
      <c r="I51" s="1"/>
    </row>
    <row r="52" spans="1:9" x14ac:dyDescent="0.45">
      <c r="A52" s="1"/>
      <c r="B52" s="102" t="s">
        <v>173</v>
      </c>
      <c r="C52" s="103"/>
      <c r="D52" s="103"/>
      <c r="E52" s="103"/>
      <c r="F52" s="104"/>
      <c r="G52" s="24">
        <f>(G42+G44-G45)*(1+'Fane 14. Nøgletal'!C14)</f>
        <v>23527091.710929424</v>
      </c>
      <c r="H52" s="14" t="s">
        <v>3</v>
      </c>
      <c r="I52" s="1"/>
    </row>
    <row r="53" spans="1:9" x14ac:dyDescent="0.45">
      <c r="A53" s="1"/>
      <c r="B53" s="102" t="s">
        <v>174</v>
      </c>
      <c r="C53" s="103"/>
      <c r="D53" s="103"/>
      <c r="E53" s="103"/>
      <c r="F53" s="104"/>
      <c r="G53" s="9">
        <f>-'Fane 13. Bortfald'!C24*(1+'Fane 14. Nøgletal'!C14)</f>
        <v>0</v>
      </c>
      <c r="H53" s="14" t="s">
        <v>3</v>
      </c>
      <c r="I53" s="1"/>
    </row>
    <row r="54" spans="1:9" x14ac:dyDescent="0.45">
      <c r="A54" s="1"/>
      <c r="B54" s="102" t="s">
        <v>175</v>
      </c>
      <c r="C54" s="103"/>
      <c r="D54" s="103"/>
      <c r="E54" s="103"/>
      <c r="F54" s="104"/>
      <c r="G54" s="24">
        <f>(G52+G53)*'Fane 14. Nøgletal'!C29</f>
        <v>470541.83421858848</v>
      </c>
      <c r="H54" s="14" t="s">
        <v>3</v>
      </c>
      <c r="I54" s="1"/>
    </row>
    <row r="55" spans="1:9" x14ac:dyDescent="0.45">
      <c r="A55" s="1"/>
      <c r="B55" s="38"/>
      <c r="C55" s="32"/>
      <c r="D55" s="32"/>
      <c r="E55" s="32"/>
      <c r="F55" s="32"/>
      <c r="G55" s="32"/>
      <c r="H55" s="20"/>
      <c r="I55" s="1"/>
    </row>
    <row r="56" spans="1:9" x14ac:dyDescent="0.45">
      <c r="A56" s="1"/>
      <c r="B56" s="1"/>
      <c r="C56" s="1"/>
      <c r="D56" s="1"/>
      <c r="E56" s="1"/>
      <c r="F56" s="1"/>
      <c r="G56" s="1"/>
      <c r="H56" s="1"/>
      <c r="I56" s="1"/>
    </row>
    <row r="57" spans="1:9" x14ac:dyDescent="0.45">
      <c r="A57" s="1"/>
      <c r="B57" s="93" t="s">
        <v>201</v>
      </c>
      <c r="C57" s="94"/>
      <c r="D57" s="94"/>
      <c r="E57" s="94"/>
      <c r="F57" s="94"/>
      <c r="G57" s="94"/>
      <c r="H57" s="95"/>
      <c r="I57" s="1"/>
    </row>
    <row r="58" spans="1:9" x14ac:dyDescent="0.45">
      <c r="A58" s="1"/>
      <c r="B58" s="60" t="s">
        <v>202</v>
      </c>
      <c r="C58" s="61"/>
      <c r="D58" s="61"/>
      <c r="E58" s="61"/>
      <c r="F58" s="62"/>
      <c r="G58" s="24">
        <f>(G52+G53-G54)*(1+'Fane 14. Nøgletal'!C14)</f>
        <v>23132636.491303984</v>
      </c>
      <c r="H58" s="14" t="s">
        <v>3</v>
      </c>
      <c r="I58" s="1"/>
    </row>
    <row r="59" spans="1:9" x14ac:dyDescent="0.45">
      <c r="A59" s="1"/>
      <c r="B59" s="60" t="s">
        <v>203</v>
      </c>
      <c r="C59" s="61"/>
      <c r="D59" s="61"/>
      <c r="E59" s="61"/>
      <c r="F59" s="62"/>
      <c r="G59" s="9">
        <f>-'Fane 13. Bortfald'!C30*(1+'Fane 14. Nøgletal'!C14)</f>
        <v>0</v>
      </c>
      <c r="H59" s="14" t="s">
        <v>3</v>
      </c>
      <c r="I59" s="1"/>
    </row>
    <row r="60" spans="1:9" x14ac:dyDescent="0.45">
      <c r="A60" s="1"/>
      <c r="B60" s="60" t="s">
        <v>204</v>
      </c>
      <c r="C60" s="61"/>
      <c r="D60" s="61"/>
      <c r="E60" s="61"/>
      <c r="F60" s="62"/>
      <c r="G60" s="24">
        <f>(G58+G59)*'Fane 14. Nøgletal'!C29</f>
        <v>462652.72982607968</v>
      </c>
      <c r="H60" s="14" t="s">
        <v>3</v>
      </c>
      <c r="I60" s="1"/>
    </row>
    <row r="61" spans="1:9" x14ac:dyDescent="0.45">
      <c r="A61" s="1"/>
      <c r="B61" s="38"/>
      <c r="C61" s="32"/>
      <c r="D61" s="32"/>
      <c r="E61" s="32"/>
      <c r="F61" s="32"/>
      <c r="G61" s="32"/>
      <c r="H61" s="20"/>
      <c r="I61" s="1"/>
    </row>
    <row r="62" spans="1:9" x14ac:dyDescent="0.45">
      <c r="A62" s="1"/>
      <c r="B62" s="1"/>
      <c r="C62" s="1"/>
      <c r="D62" s="1"/>
      <c r="E62" s="1"/>
      <c r="F62" s="1"/>
      <c r="G62" s="1"/>
      <c r="H62" s="1"/>
      <c r="I62" s="1"/>
    </row>
    <row r="63" spans="1:9" x14ac:dyDescent="0.45">
      <c r="A63" s="1"/>
      <c r="B63" s="1"/>
      <c r="C63" s="1"/>
      <c r="D63" s="1"/>
      <c r="E63" s="1"/>
      <c r="F63" s="1"/>
      <c r="G63" s="1"/>
      <c r="H63" s="1"/>
      <c r="I63" s="1"/>
    </row>
  </sheetData>
  <sheetProtection algorithmName="SHA-512" hashValue="DlB0BLFUnwFH05codkk/Y2jjr987irmp+Gnf9V3T2CeMAcpQyNpyi/FiUqpDQ7ru++o8tmG+0Yat8sg8nBdbWg==" saltValue="NyIEZQsvaRF2tEjqIClVaQ==" spinCount="100000" sheet="1" objects="1" scenarios="1"/>
  <mergeCells count="37">
    <mergeCell ref="B52:F52"/>
    <mergeCell ref="B53:F53"/>
    <mergeCell ref="B31:F31"/>
    <mergeCell ref="B32:F32"/>
    <mergeCell ref="B41:H41"/>
    <mergeCell ref="B42:F42"/>
    <mergeCell ref="B45:F45"/>
    <mergeCell ref="B37:F37"/>
    <mergeCell ref="B44:F44"/>
    <mergeCell ref="B38:F38"/>
    <mergeCell ref="B43:F43"/>
    <mergeCell ref="B24:F24"/>
    <mergeCell ref="B25:F25"/>
    <mergeCell ref="B26:F26"/>
    <mergeCell ref="B36:F36"/>
    <mergeCell ref="B51:H51"/>
    <mergeCell ref="B13:F13"/>
    <mergeCell ref="B14:F14"/>
    <mergeCell ref="B18:F18"/>
    <mergeCell ref="B19:F19"/>
    <mergeCell ref="B20:F20"/>
    <mergeCell ref="B57:H57"/>
    <mergeCell ref="B10:F10"/>
    <mergeCell ref="B9:H9"/>
    <mergeCell ref="B5:F5"/>
    <mergeCell ref="B1:H2"/>
    <mergeCell ref="B23:H23"/>
    <mergeCell ref="B3:H3"/>
    <mergeCell ref="B4:F4"/>
    <mergeCell ref="B6:F6"/>
    <mergeCell ref="B54:F54"/>
    <mergeCell ref="B11:F11"/>
    <mergeCell ref="B12:F12"/>
    <mergeCell ref="B29:H29"/>
    <mergeCell ref="B30:F30"/>
    <mergeCell ref="B35:H35"/>
    <mergeCell ref="B17:H17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63"/>
  <sheetViews>
    <sheetView showGridLines="0" view="pageLayout" zoomScaleNormal="100" workbookViewId="0"/>
  </sheetViews>
  <sheetFormatPr defaultColWidth="9.1328125" defaultRowHeight="14.25" x14ac:dyDescent="0.45"/>
  <cols>
    <col min="1" max="1" width="6.1328125" style="2" customWidth="1"/>
    <col min="2" max="5" width="9.1328125" style="2"/>
    <col min="6" max="6" width="23.265625" style="2" customWidth="1"/>
    <col min="7" max="7" width="10.265625" style="2" customWidth="1"/>
    <col min="8" max="8" width="4.265625" style="2" customWidth="1"/>
    <col min="9" max="9" width="6.73046875" style="2" customWidth="1"/>
    <col min="10" max="16384" width="9.1328125" style="2"/>
  </cols>
  <sheetData>
    <row r="1" spans="1:9" ht="14.25" customHeight="1" x14ac:dyDescent="0.45">
      <c r="A1" s="1"/>
      <c r="B1" s="111" t="s">
        <v>131</v>
      </c>
      <c r="C1" s="111"/>
      <c r="D1" s="111"/>
      <c r="E1" s="111"/>
      <c r="F1" s="111"/>
      <c r="G1" s="111"/>
      <c r="H1" s="111"/>
      <c r="I1" s="1"/>
    </row>
    <row r="2" spans="1:9" ht="15" customHeight="1" x14ac:dyDescent="0.45">
      <c r="A2" s="1"/>
      <c r="B2" s="111"/>
      <c r="C2" s="111"/>
      <c r="D2" s="111"/>
      <c r="E2" s="111"/>
      <c r="F2" s="111"/>
      <c r="G2" s="111"/>
      <c r="H2" s="111"/>
      <c r="I2" s="1"/>
    </row>
    <row r="3" spans="1:9" ht="15" customHeight="1" x14ac:dyDescent="0.45">
      <c r="A3" s="1"/>
      <c r="B3" s="112"/>
      <c r="C3" s="112"/>
      <c r="D3" s="112"/>
      <c r="E3" s="112"/>
      <c r="F3" s="112"/>
      <c r="G3" s="112"/>
      <c r="H3" s="112"/>
      <c r="I3" s="1"/>
    </row>
    <row r="4" spans="1:9" x14ac:dyDescent="0.45">
      <c r="A4" s="1"/>
      <c r="B4" s="93" t="s">
        <v>60</v>
      </c>
      <c r="C4" s="94"/>
      <c r="D4" s="94"/>
      <c r="E4" s="94"/>
      <c r="F4" s="94"/>
      <c r="G4" s="94"/>
      <c r="H4" s="95"/>
      <c r="I4" s="1"/>
    </row>
    <row r="5" spans="1:9" x14ac:dyDescent="0.45">
      <c r="A5" s="1"/>
      <c r="B5" s="102" t="s">
        <v>65</v>
      </c>
      <c r="C5" s="103"/>
      <c r="D5" s="103"/>
      <c r="E5" s="103"/>
      <c r="F5" s="104"/>
      <c r="G5" s="24">
        <v>36268191.61457736</v>
      </c>
      <c r="H5" s="14" t="s">
        <v>3</v>
      </c>
      <c r="I5" s="1"/>
    </row>
    <row r="6" spans="1:9" x14ac:dyDescent="0.45">
      <c r="A6" s="1"/>
      <c r="B6" s="102" t="s">
        <v>61</v>
      </c>
      <c r="C6" s="103"/>
      <c r="D6" s="103"/>
      <c r="E6" s="103"/>
      <c r="F6" s="104"/>
      <c r="G6" s="24">
        <f>G5*'Fane 14. Nøgletal'!C19</f>
        <v>330040.543692654</v>
      </c>
      <c r="H6" s="14" t="s">
        <v>3</v>
      </c>
      <c r="I6" s="1"/>
    </row>
    <row r="7" spans="1:9" x14ac:dyDescent="0.45">
      <c r="A7" s="1"/>
      <c r="B7" s="38"/>
      <c r="C7" s="32"/>
      <c r="D7" s="32"/>
      <c r="E7" s="32"/>
      <c r="F7" s="32"/>
      <c r="G7" s="32"/>
      <c r="H7" s="20"/>
      <c r="I7" s="1"/>
    </row>
    <row r="8" spans="1:9" x14ac:dyDescent="0.45">
      <c r="A8" s="1"/>
      <c r="B8" s="1"/>
      <c r="C8" s="1"/>
      <c r="D8" s="1"/>
      <c r="E8" s="1"/>
      <c r="F8" s="1"/>
      <c r="G8" s="1"/>
      <c r="H8" s="1"/>
      <c r="I8" s="1"/>
    </row>
    <row r="9" spans="1:9" x14ac:dyDescent="0.45">
      <c r="A9" s="1"/>
      <c r="B9" s="93" t="s">
        <v>66</v>
      </c>
      <c r="C9" s="94"/>
      <c r="D9" s="94"/>
      <c r="E9" s="94"/>
      <c r="F9" s="94"/>
      <c r="G9" s="94"/>
      <c r="H9" s="95"/>
      <c r="I9" s="1"/>
    </row>
    <row r="10" spans="1:9" x14ac:dyDescent="0.45">
      <c r="A10" s="1"/>
      <c r="B10" s="102" t="s">
        <v>67</v>
      </c>
      <c r="C10" s="103"/>
      <c r="D10" s="103"/>
      <c r="E10" s="103"/>
      <c r="F10" s="104"/>
      <c r="G10" s="24">
        <f>(G5-G6)*(1+'Fane 14. Nøgletal'!C10)</f>
        <v>36567068.714625187</v>
      </c>
      <c r="H10" s="14" t="s">
        <v>3</v>
      </c>
      <c r="I10" s="1"/>
    </row>
    <row r="11" spans="1:9" x14ac:dyDescent="0.45">
      <c r="A11" s="1"/>
      <c r="B11" s="102" t="s">
        <v>147</v>
      </c>
      <c r="C11" s="103"/>
      <c r="D11" s="103"/>
      <c r="E11" s="103"/>
      <c r="F11" s="104"/>
      <c r="G11" s="24">
        <v>308921.30720866914</v>
      </c>
      <c r="H11" s="14" t="s">
        <v>3</v>
      </c>
      <c r="I11" s="1"/>
    </row>
    <row r="12" spans="1:9" x14ac:dyDescent="0.45">
      <c r="A12" s="1"/>
      <c r="B12" s="105" t="s">
        <v>68</v>
      </c>
      <c r="C12" s="106"/>
      <c r="D12" s="106"/>
      <c r="E12" s="106"/>
      <c r="F12" s="107"/>
      <c r="G12" s="9">
        <v>0</v>
      </c>
      <c r="H12" s="14" t="s">
        <v>3</v>
      </c>
      <c r="I12" s="1"/>
    </row>
    <row r="13" spans="1:9" x14ac:dyDescent="0.45">
      <c r="A13" s="1"/>
      <c r="B13" s="102" t="s">
        <v>69</v>
      </c>
      <c r="C13" s="103"/>
      <c r="D13" s="103"/>
      <c r="E13" s="103"/>
      <c r="F13" s="104"/>
      <c r="G13" s="24">
        <f>SUM(G10:G12)*'Fane 14. Nøgletal'!C20</f>
        <v>652705.02338645933</v>
      </c>
      <c r="H13" s="14" t="s">
        <v>3</v>
      </c>
      <c r="I13" s="1"/>
    </row>
    <row r="14" spans="1:9" x14ac:dyDescent="0.45">
      <c r="A14" s="1"/>
      <c r="B14" s="38"/>
      <c r="C14" s="32"/>
      <c r="D14" s="32"/>
      <c r="E14" s="32"/>
      <c r="F14" s="32"/>
      <c r="G14" s="32"/>
      <c r="H14" s="20"/>
      <c r="I14" s="1"/>
    </row>
    <row r="15" spans="1:9" x14ac:dyDescent="0.4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45">
      <c r="A16" s="1"/>
      <c r="B16" s="93" t="s">
        <v>70</v>
      </c>
      <c r="C16" s="94"/>
      <c r="D16" s="94"/>
      <c r="E16" s="94"/>
      <c r="F16" s="94"/>
      <c r="G16" s="94"/>
      <c r="H16" s="95"/>
      <c r="I16" s="1"/>
    </row>
    <row r="17" spans="1:9" x14ac:dyDescent="0.45">
      <c r="A17" s="1"/>
      <c r="B17" s="102" t="s">
        <v>71</v>
      </c>
      <c r="C17" s="103"/>
      <c r="D17" s="103"/>
      <c r="E17" s="103"/>
      <c r="F17" s="104"/>
      <c r="G17" s="24">
        <f>(SUM(G10:G12)-G13)*(1+'Fane 14. Nøgletal'!C10)</f>
        <v>36857192.485920236</v>
      </c>
      <c r="H17" s="14" t="s">
        <v>3</v>
      </c>
      <c r="I17" s="1"/>
    </row>
    <row r="18" spans="1:9" x14ac:dyDescent="0.45">
      <c r="A18" s="1"/>
      <c r="B18" s="105" t="s">
        <v>72</v>
      </c>
      <c r="C18" s="106"/>
      <c r="D18" s="106"/>
      <c r="E18" s="106"/>
      <c r="F18" s="107"/>
      <c r="G18" s="24">
        <v>56739.243335089988</v>
      </c>
      <c r="H18" s="14" t="s">
        <v>3</v>
      </c>
      <c r="I18" s="1"/>
    </row>
    <row r="19" spans="1:9" x14ac:dyDescent="0.45">
      <c r="A19" s="1"/>
      <c r="B19" s="102" t="s">
        <v>73</v>
      </c>
      <c r="C19" s="103"/>
      <c r="D19" s="103"/>
      <c r="E19" s="103"/>
      <c r="F19" s="104"/>
      <c r="G19" s="24">
        <f>G17*'Fane 14. Nøgletal'!C20+G18*'Fane 14. Nøgletal'!C21</f>
        <v>652865.9384178035</v>
      </c>
      <c r="H19" s="14" t="s">
        <v>3</v>
      </c>
      <c r="I19" s="1"/>
    </row>
    <row r="20" spans="1:9" x14ac:dyDescent="0.45">
      <c r="A20" s="1"/>
      <c r="B20" s="38"/>
      <c r="C20" s="32"/>
      <c r="D20" s="32"/>
      <c r="E20" s="32"/>
      <c r="F20" s="32"/>
      <c r="G20" s="32"/>
      <c r="H20" s="20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93" t="s">
        <v>74</v>
      </c>
      <c r="C22" s="94"/>
      <c r="D22" s="94"/>
      <c r="E22" s="94"/>
      <c r="F22" s="94"/>
      <c r="G22" s="94"/>
      <c r="H22" s="95"/>
      <c r="I22" s="1"/>
    </row>
    <row r="23" spans="1:9" x14ac:dyDescent="0.45">
      <c r="A23" s="1"/>
      <c r="B23" s="102" t="s">
        <v>75</v>
      </c>
      <c r="C23" s="103"/>
      <c r="D23" s="103"/>
      <c r="E23" s="103"/>
      <c r="F23" s="104"/>
      <c r="G23" s="24">
        <f>(G17+G18-G19)*(1+'Fane 14. Nøgletal'!C12)</f>
        <v>36975408.786917031</v>
      </c>
      <c r="H23" s="14" t="s">
        <v>3</v>
      </c>
      <c r="I23" s="1"/>
    </row>
    <row r="24" spans="1:9" x14ac:dyDescent="0.45">
      <c r="A24" s="1"/>
      <c r="B24" s="105" t="s">
        <v>76</v>
      </c>
      <c r="C24" s="106"/>
      <c r="D24" s="106"/>
      <c r="E24" s="106"/>
      <c r="F24" s="107"/>
      <c r="G24" s="24">
        <v>166990.96531192798</v>
      </c>
      <c r="H24" s="14" t="s">
        <v>3</v>
      </c>
      <c r="I24" s="1"/>
    </row>
    <row r="25" spans="1:9" x14ac:dyDescent="0.45">
      <c r="A25" s="1"/>
      <c r="B25" s="102" t="s">
        <v>77</v>
      </c>
      <c r="C25" s="103"/>
      <c r="D25" s="103"/>
      <c r="E25" s="103"/>
      <c r="F25" s="104"/>
      <c r="G25" s="24">
        <f>(G23+G24)*'Fane 14. Nøgletal'!C22</f>
        <v>1054844.1529633026</v>
      </c>
      <c r="H25" s="14" t="s">
        <v>3</v>
      </c>
      <c r="I25" s="1"/>
    </row>
    <row r="26" spans="1:9" x14ac:dyDescent="0.45">
      <c r="A26" s="1"/>
      <c r="B26" s="38"/>
      <c r="C26" s="32"/>
      <c r="D26" s="32"/>
      <c r="E26" s="32"/>
      <c r="F26" s="32"/>
      <c r="G26" s="32"/>
      <c r="H26" s="20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93" t="s">
        <v>78</v>
      </c>
      <c r="C28" s="94"/>
      <c r="D28" s="94"/>
      <c r="E28" s="94"/>
      <c r="F28" s="94"/>
      <c r="G28" s="94"/>
      <c r="H28" s="95"/>
      <c r="I28" s="1"/>
    </row>
    <row r="29" spans="1:9" x14ac:dyDescent="0.45">
      <c r="A29" s="1"/>
      <c r="B29" s="102" t="s">
        <v>79</v>
      </c>
      <c r="C29" s="103"/>
      <c r="D29" s="103"/>
      <c r="E29" s="103"/>
      <c r="F29" s="104"/>
      <c r="G29" s="24">
        <f>(G23+G24-G25)*(1+'Fane 14. Nøgletal'!C12)</f>
        <v>36798480.44457119</v>
      </c>
      <c r="H29" s="14" t="s">
        <v>3</v>
      </c>
      <c r="I29" s="1"/>
    </row>
    <row r="30" spans="1:9" x14ac:dyDescent="0.45">
      <c r="A30" s="1"/>
      <c r="B30" s="102" t="s">
        <v>176</v>
      </c>
      <c r="C30" s="103"/>
      <c r="D30" s="103"/>
      <c r="E30" s="103"/>
      <c r="F30" s="104"/>
      <c r="G30" s="24">
        <v>18584.29140876</v>
      </c>
      <c r="H30" s="14" t="s">
        <v>3</v>
      </c>
      <c r="I30" s="1"/>
    </row>
    <row r="31" spans="1:9" x14ac:dyDescent="0.45">
      <c r="A31" s="1"/>
      <c r="B31" s="102" t="s">
        <v>80</v>
      </c>
      <c r="C31" s="103"/>
      <c r="D31" s="103"/>
      <c r="E31" s="103"/>
      <c r="F31" s="104"/>
      <c r="G31" s="24">
        <f>G29*'Fane 14. Nøgletal'!C22+G30*'Fane 14. Nøgletal'!C23</f>
        <v>1045587.9126395627</v>
      </c>
      <c r="H31" s="14" t="s">
        <v>3</v>
      </c>
      <c r="I31" s="1"/>
    </row>
    <row r="32" spans="1:9" x14ac:dyDescent="0.45">
      <c r="A32" s="1"/>
      <c r="B32" s="38"/>
      <c r="C32" s="32"/>
      <c r="D32" s="32"/>
      <c r="E32" s="32"/>
      <c r="F32" s="32"/>
      <c r="G32" s="32"/>
      <c r="H32" s="20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93" t="s">
        <v>238</v>
      </c>
      <c r="C34" s="94"/>
      <c r="D34" s="94"/>
      <c r="E34" s="94"/>
      <c r="F34" s="94"/>
      <c r="G34" s="94"/>
      <c r="H34" s="95"/>
      <c r="I34" s="1"/>
    </row>
    <row r="35" spans="1:9" x14ac:dyDescent="0.45">
      <c r="A35" s="1"/>
      <c r="B35" s="102" t="s">
        <v>82</v>
      </c>
      <c r="C35" s="103"/>
      <c r="D35" s="103"/>
      <c r="E35" s="103"/>
      <c r="F35" s="104"/>
      <c r="G35" s="24">
        <f>(G29+G30-G31)*(1+'Fane 14. Nøgletal'!C14)</f>
        <v>35889522.696857415</v>
      </c>
      <c r="H35" s="14" t="s">
        <v>3</v>
      </c>
      <c r="I35" s="1"/>
    </row>
    <row r="36" spans="1:9" x14ac:dyDescent="0.45">
      <c r="A36" s="1"/>
      <c r="B36" s="102" t="s">
        <v>240</v>
      </c>
      <c r="C36" s="103"/>
      <c r="D36" s="103"/>
      <c r="E36" s="103"/>
      <c r="F36" s="104"/>
      <c r="G36" s="9">
        <f>SUM('Fane 2.1. Økonomisk ramme 2022'!C11,'Fane 2.1. Økonomisk ramme 2022'!C13,'Fane 2.1. Økonomisk ramme 2022'!C15)*(1+'Fane 14. Nøgletal'!C14)</f>
        <v>0</v>
      </c>
      <c r="H36" s="14" t="s">
        <v>3</v>
      </c>
      <c r="I36" s="1"/>
    </row>
    <row r="37" spans="1:9" x14ac:dyDescent="0.45">
      <c r="A37" s="1"/>
      <c r="B37" s="102" t="s">
        <v>239</v>
      </c>
      <c r="C37" s="103"/>
      <c r="D37" s="103"/>
      <c r="E37" s="103"/>
      <c r="F37" s="104"/>
      <c r="G37" s="24">
        <f>(G35+G36)*'Fane 14. Nøgletal'!C24</f>
        <v>531164.93591348978</v>
      </c>
      <c r="H37" s="14" t="s">
        <v>3</v>
      </c>
      <c r="I37" s="1"/>
    </row>
    <row r="38" spans="1:9" x14ac:dyDescent="0.45">
      <c r="A38" s="1"/>
      <c r="B38" s="38"/>
      <c r="C38" s="32"/>
      <c r="D38" s="32"/>
      <c r="E38" s="32"/>
      <c r="F38" s="32"/>
      <c r="G38" s="32"/>
      <c r="H38" s="20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93" t="s">
        <v>85</v>
      </c>
      <c r="C40" s="94"/>
      <c r="D40" s="94"/>
      <c r="E40" s="94"/>
      <c r="F40" s="94"/>
      <c r="G40" s="94"/>
      <c r="H40" s="95"/>
      <c r="I40" s="1"/>
    </row>
    <row r="41" spans="1:9" x14ac:dyDescent="0.45">
      <c r="A41" s="1"/>
      <c r="B41" s="102" t="s">
        <v>81</v>
      </c>
      <c r="C41" s="103"/>
      <c r="D41" s="103"/>
      <c r="E41" s="103"/>
      <c r="F41" s="104"/>
      <c r="G41" s="24">
        <f>(G35+G36-G37)*(1+'Fane 14. Nøgletal'!C14)</f>
        <v>35475040.341555044</v>
      </c>
      <c r="H41" s="14" t="s">
        <v>3</v>
      </c>
      <c r="I41" s="1"/>
    </row>
    <row r="42" spans="1:9" x14ac:dyDescent="0.45">
      <c r="A42" s="1"/>
      <c r="B42" s="46" t="s">
        <v>242</v>
      </c>
      <c r="C42" s="61"/>
      <c r="D42" s="61"/>
      <c r="E42" s="61"/>
      <c r="F42" s="62"/>
      <c r="G42" s="9">
        <f>G36*(1+'Fane 14. Nøgletal'!C14)</f>
        <v>0</v>
      </c>
      <c r="H42" s="14" t="s">
        <v>3</v>
      </c>
      <c r="I42" s="1"/>
    </row>
    <row r="43" spans="1:9" x14ac:dyDescent="0.45">
      <c r="A43" s="1"/>
      <c r="B43" s="102" t="s">
        <v>101</v>
      </c>
      <c r="C43" s="103"/>
      <c r="D43" s="103"/>
      <c r="E43" s="103"/>
      <c r="F43" s="104"/>
      <c r="G43" s="9">
        <f>-'Fane 13. Bortfald'!E18*(1+'Fane 14. Nøgletal'!C14)</f>
        <v>0</v>
      </c>
      <c r="H43" s="14" t="s">
        <v>3</v>
      </c>
      <c r="I43" s="1"/>
    </row>
    <row r="44" spans="1:9" x14ac:dyDescent="0.45">
      <c r="A44" s="1"/>
      <c r="B44" s="102" t="s">
        <v>241</v>
      </c>
      <c r="C44" s="103"/>
      <c r="D44" s="103"/>
      <c r="E44" s="103"/>
      <c r="F44" s="104"/>
      <c r="G44" s="24">
        <f>(G41+G43)*'Fane 14. Nøgletal'!C24</f>
        <v>525030.59705501469</v>
      </c>
      <c r="H44" s="14" t="s">
        <v>3</v>
      </c>
      <c r="I44" s="1"/>
    </row>
    <row r="45" spans="1:9" x14ac:dyDescent="0.45">
      <c r="A45" s="1"/>
      <c r="B45" s="38"/>
      <c r="C45" s="32"/>
      <c r="D45" s="32"/>
      <c r="E45" s="32"/>
      <c r="F45" s="32"/>
      <c r="G45" s="32"/>
      <c r="H45" s="20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4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4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4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4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45">
      <c r="A51" s="1"/>
      <c r="B51" s="1"/>
      <c r="C51" s="1"/>
      <c r="D51" s="1"/>
      <c r="E51" s="1"/>
      <c r="F51" s="1"/>
      <c r="G51" s="1"/>
      <c r="H51" s="1"/>
      <c r="I51" s="1"/>
    </row>
    <row r="52" spans="1:9" x14ac:dyDescent="0.45">
      <c r="A52" s="1"/>
      <c r="B52" s="93" t="s">
        <v>181</v>
      </c>
      <c r="C52" s="94"/>
      <c r="D52" s="94"/>
      <c r="E52" s="94"/>
      <c r="F52" s="94"/>
      <c r="G52" s="94"/>
      <c r="H52" s="95"/>
      <c r="I52" s="1"/>
    </row>
    <row r="53" spans="1:9" x14ac:dyDescent="0.45">
      <c r="A53" s="1"/>
      <c r="B53" s="102" t="s">
        <v>182</v>
      </c>
      <c r="C53" s="103"/>
      <c r="D53" s="103"/>
      <c r="E53" s="103"/>
      <c r="F53" s="104"/>
      <c r="G53" s="24">
        <f>(G41+G43-G44)*(1+'Fane 14. Nøgletal'!C14)</f>
        <v>35065344.776656881</v>
      </c>
      <c r="H53" s="14" t="s">
        <v>3</v>
      </c>
      <c r="I53" s="1"/>
    </row>
    <row r="54" spans="1:9" x14ac:dyDescent="0.45">
      <c r="A54" s="1"/>
      <c r="B54" s="102" t="s">
        <v>183</v>
      </c>
      <c r="C54" s="103"/>
      <c r="D54" s="103"/>
      <c r="E54" s="103"/>
      <c r="F54" s="104"/>
      <c r="G54" s="9">
        <f>-'Fane 13. Bortfald'!E24*(1+'Fane 14. Nøgletal'!C13)</f>
        <v>0</v>
      </c>
      <c r="H54" s="14" t="s">
        <v>3</v>
      </c>
      <c r="I54" s="1"/>
    </row>
    <row r="55" spans="1:9" x14ac:dyDescent="0.45">
      <c r="A55" s="1"/>
      <c r="B55" s="102" t="s">
        <v>184</v>
      </c>
      <c r="C55" s="103"/>
      <c r="D55" s="103"/>
      <c r="E55" s="103"/>
      <c r="F55" s="104"/>
      <c r="G55" s="24">
        <f>(G53+G54)*'Fane 14. Nøgletal'!C24</f>
        <v>518967.10269452183</v>
      </c>
      <c r="H55" s="14" t="s">
        <v>3</v>
      </c>
      <c r="I55" s="1"/>
    </row>
    <row r="56" spans="1:9" x14ac:dyDescent="0.45">
      <c r="A56" s="1"/>
      <c r="B56" s="38"/>
      <c r="C56" s="32"/>
      <c r="D56" s="32"/>
      <c r="E56" s="32"/>
      <c r="F56" s="32"/>
      <c r="G56" s="32"/>
      <c r="H56" s="20"/>
      <c r="I56" s="1"/>
    </row>
    <row r="57" spans="1:9" x14ac:dyDescent="0.45">
      <c r="A57" s="1"/>
      <c r="B57" s="1"/>
      <c r="C57" s="1"/>
      <c r="D57" s="1"/>
      <c r="E57" s="1"/>
      <c r="F57" s="1"/>
      <c r="G57" s="1"/>
      <c r="H57" s="1"/>
      <c r="I57" s="1"/>
    </row>
    <row r="58" spans="1:9" x14ac:dyDescent="0.45">
      <c r="A58" s="1"/>
      <c r="B58" s="93" t="s">
        <v>205</v>
      </c>
      <c r="C58" s="94"/>
      <c r="D58" s="94"/>
      <c r="E58" s="94"/>
      <c r="F58" s="94"/>
      <c r="G58" s="94"/>
      <c r="H58" s="95"/>
      <c r="I58" s="1"/>
    </row>
    <row r="59" spans="1:9" x14ac:dyDescent="0.45">
      <c r="A59" s="1"/>
      <c r="B59" s="102" t="s">
        <v>255</v>
      </c>
      <c r="C59" s="103"/>
      <c r="D59" s="103"/>
      <c r="E59" s="103"/>
      <c r="F59" s="104"/>
      <c r="G59" s="24">
        <f>(G53+G54-G55)*(1+'Fane 14. Nøgletal'!C14)</f>
        <v>34660380.720286444</v>
      </c>
      <c r="H59" s="14" t="s">
        <v>3</v>
      </c>
      <c r="I59" s="1"/>
    </row>
    <row r="60" spans="1:9" x14ac:dyDescent="0.45">
      <c r="A60" s="1"/>
      <c r="B60" s="102" t="s">
        <v>256</v>
      </c>
      <c r="C60" s="103"/>
      <c r="D60" s="103"/>
      <c r="E60" s="103"/>
      <c r="F60" s="104"/>
      <c r="G60" s="9">
        <f>-'Fane 13. Bortfald'!E30*(1+'Fane 14. Nøgletal'!C14)</f>
        <v>0</v>
      </c>
      <c r="H60" s="14" t="s">
        <v>3</v>
      </c>
      <c r="I60" s="1"/>
    </row>
    <row r="61" spans="1:9" x14ac:dyDescent="0.45">
      <c r="A61" s="1"/>
      <c r="B61" s="102" t="s">
        <v>257</v>
      </c>
      <c r="C61" s="103"/>
      <c r="D61" s="103"/>
      <c r="E61" s="103"/>
      <c r="F61" s="104"/>
      <c r="G61" s="24">
        <f>(G59+G60)*'Fane 14. Nøgletal'!C24</f>
        <v>512973.63466023939</v>
      </c>
      <c r="H61" s="14" t="s">
        <v>3</v>
      </c>
      <c r="I61" s="1"/>
    </row>
    <row r="62" spans="1:9" x14ac:dyDescent="0.45">
      <c r="A62" s="1"/>
      <c r="B62" s="38"/>
      <c r="C62" s="32"/>
      <c r="D62" s="32"/>
      <c r="E62" s="32"/>
      <c r="F62" s="32"/>
      <c r="G62" s="32"/>
      <c r="H62" s="20"/>
      <c r="I62" s="1"/>
    </row>
    <row r="63" spans="1:9" x14ac:dyDescent="0.45">
      <c r="A63" s="1"/>
      <c r="B63" s="1"/>
      <c r="C63" s="1"/>
      <c r="D63" s="1"/>
      <c r="E63" s="1"/>
      <c r="F63" s="1"/>
      <c r="G63" s="1"/>
      <c r="H63" s="1"/>
      <c r="I63" s="1"/>
    </row>
  </sheetData>
  <sheetProtection algorithmName="SHA-512" hashValue="3wGdT/tuctV4/rMOT7wpgPRLCurel/DQnK2dDnJADX/R2JlGu2bKDoXdk93dLMEsa04yeIvRFfJyxTa2YMk1Pw==" saltValue="3WAobQHwjcKe9kyo22xVmQ==" spinCount="100000" sheet="1" objects="1" scenarios="1"/>
  <mergeCells count="37">
    <mergeCell ref="B58:H58"/>
    <mergeCell ref="B59:F59"/>
    <mergeCell ref="B60:F60"/>
    <mergeCell ref="B61:F61"/>
    <mergeCell ref="B43:F43"/>
    <mergeCell ref="B41:F41"/>
    <mergeCell ref="B28:H28"/>
    <mergeCell ref="B29:F29"/>
    <mergeCell ref="B31:F31"/>
    <mergeCell ref="B34:H34"/>
    <mergeCell ref="B36:F36"/>
    <mergeCell ref="B37:F37"/>
    <mergeCell ref="B40:H40"/>
    <mergeCell ref="B17:F17"/>
    <mergeCell ref="B18:F18"/>
    <mergeCell ref="B30:F30"/>
    <mergeCell ref="B22:H22"/>
    <mergeCell ref="B11:F11"/>
    <mergeCell ref="B23:F23"/>
    <mergeCell ref="B24:F24"/>
    <mergeCell ref="B25:F25"/>
    <mergeCell ref="B1:H3"/>
    <mergeCell ref="B52:H52"/>
    <mergeCell ref="B53:F53"/>
    <mergeCell ref="B54:F54"/>
    <mergeCell ref="B55:F55"/>
    <mergeCell ref="B35:F35"/>
    <mergeCell ref="B44:F44"/>
    <mergeCell ref="B19:F19"/>
    <mergeCell ref="B4:H4"/>
    <mergeCell ref="B5:F5"/>
    <mergeCell ref="B6:F6"/>
    <mergeCell ref="B9:H9"/>
    <mergeCell ref="B10:F10"/>
    <mergeCell ref="B12:F12"/>
    <mergeCell ref="B13:F13"/>
    <mergeCell ref="B16:H1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9"/>
  <sheetViews>
    <sheetView showGridLines="0" view="pageLayout" zoomScaleNormal="100" workbookViewId="0"/>
  </sheetViews>
  <sheetFormatPr defaultColWidth="9.1328125" defaultRowHeight="14.25" x14ac:dyDescent="0.45"/>
  <cols>
    <col min="1" max="1" width="7.86328125" style="2" customWidth="1"/>
    <col min="2" max="5" width="9.1328125" style="2"/>
    <col min="6" max="6" width="19.86328125" style="2" customWidth="1"/>
    <col min="7" max="7" width="10.265625" style="2" customWidth="1"/>
    <col min="8" max="8" width="3.265625" style="2" customWidth="1"/>
    <col min="9" max="9" width="7.86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85" t="s">
        <v>96</v>
      </c>
      <c r="C3" s="85"/>
      <c r="D3" s="85"/>
      <c r="E3" s="85"/>
      <c r="F3" s="85"/>
      <c r="G3" s="85"/>
      <c r="H3" s="85"/>
      <c r="I3" s="1"/>
    </row>
    <row r="4" spans="1:9" ht="15" customHeight="1" x14ac:dyDescent="0.45">
      <c r="A4" s="1"/>
      <c r="B4" s="85"/>
      <c r="C4" s="85"/>
      <c r="D4" s="85"/>
      <c r="E4" s="85"/>
      <c r="F4" s="85"/>
      <c r="G4" s="85"/>
      <c r="H4" s="85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x14ac:dyDescent="0.45">
      <c r="A6" s="1"/>
      <c r="B6" s="1"/>
      <c r="C6" s="1"/>
      <c r="D6" s="1"/>
      <c r="E6" s="1"/>
      <c r="F6" s="1"/>
      <c r="G6" s="1"/>
      <c r="H6" s="1"/>
      <c r="I6" s="1"/>
    </row>
    <row r="7" spans="1:9" x14ac:dyDescent="0.45">
      <c r="A7" s="1"/>
      <c r="B7" s="1"/>
      <c r="C7" s="1"/>
      <c r="D7" s="1"/>
      <c r="E7" s="1"/>
      <c r="F7" s="1"/>
      <c r="G7" s="1"/>
      <c r="H7" s="1"/>
      <c r="I7" s="1"/>
    </row>
    <row r="8" spans="1:9" x14ac:dyDescent="0.45">
      <c r="A8" s="1"/>
      <c r="B8" s="93" t="s">
        <v>10</v>
      </c>
      <c r="C8" s="94"/>
      <c r="D8" s="94"/>
      <c r="E8" s="94"/>
      <c r="F8" s="94"/>
      <c r="G8" s="94"/>
      <c r="H8" s="95"/>
      <c r="I8" s="1"/>
    </row>
    <row r="9" spans="1:9" x14ac:dyDescent="0.45">
      <c r="A9" s="1"/>
      <c r="B9" s="102" t="s">
        <v>243</v>
      </c>
      <c r="C9" s="103"/>
      <c r="D9" s="103"/>
      <c r="E9" s="103"/>
      <c r="F9" s="104"/>
      <c r="G9" s="23">
        <v>1.8394143574048609E-3</v>
      </c>
      <c r="H9" s="14"/>
      <c r="I9" s="1"/>
    </row>
    <row r="10" spans="1:9" x14ac:dyDescent="0.45">
      <c r="A10" s="1"/>
      <c r="B10" s="102" t="s">
        <v>86</v>
      </c>
      <c r="C10" s="103"/>
      <c r="D10" s="103"/>
      <c r="E10" s="103"/>
      <c r="F10" s="104"/>
      <c r="G10" s="23">
        <v>2.2719709581394175E-3</v>
      </c>
      <c r="H10" s="14"/>
      <c r="I10" s="1"/>
    </row>
    <row r="11" spans="1:9" x14ac:dyDescent="0.45">
      <c r="A11" s="1"/>
      <c r="B11" s="102" t="s">
        <v>87</v>
      </c>
      <c r="C11" s="103"/>
      <c r="D11" s="103"/>
      <c r="E11" s="103"/>
      <c r="F11" s="104"/>
      <c r="G11" s="41">
        <v>5.9763658085510275E-4</v>
      </c>
      <c r="H11" s="14"/>
      <c r="I11" s="1"/>
    </row>
    <row r="12" spans="1:9" x14ac:dyDescent="0.45">
      <c r="A12" s="1"/>
      <c r="B12" s="102" t="s">
        <v>206</v>
      </c>
      <c r="C12" s="103"/>
      <c r="D12" s="103"/>
      <c r="E12" s="103"/>
      <c r="F12" s="104"/>
      <c r="G12" s="41">
        <v>0</v>
      </c>
      <c r="H12" s="45"/>
      <c r="I12" s="1"/>
    </row>
    <row r="13" spans="1:9" x14ac:dyDescent="0.45">
      <c r="A13" s="1"/>
      <c r="B13" s="38"/>
      <c r="C13" s="32"/>
      <c r="D13" s="32"/>
      <c r="E13" s="32"/>
      <c r="F13" s="32"/>
      <c r="G13" s="32"/>
      <c r="H13" s="20"/>
      <c r="I13" s="1"/>
    </row>
    <row r="14" spans="1:9" ht="40.5" customHeight="1" x14ac:dyDescent="0.45">
      <c r="A14" s="1"/>
      <c r="B14" s="113" t="s">
        <v>207</v>
      </c>
      <c r="C14" s="113"/>
      <c r="D14" s="113"/>
      <c r="E14" s="113"/>
      <c r="F14" s="113"/>
      <c r="G14" s="113"/>
      <c r="H14" s="113"/>
      <c r="I14" s="1"/>
    </row>
    <row r="15" spans="1:9" ht="14.25" customHeight="1" x14ac:dyDescent="0.45">
      <c r="A15" s="18"/>
      <c r="B15" s="113"/>
      <c r="C15" s="113"/>
      <c r="D15" s="113"/>
      <c r="E15" s="113"/>
      <c r="F15" s="113"/>
      <c r="G15" s="113"/>
      <c r="H15" s="113"/>
      <c r="I15" s="18"/>
    </row>
    <row r="16" spans="1:9" x14ac:dyDescent="0.4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4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4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4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4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4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4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4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4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4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4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45">
      <c r="A49" s="1"/>
      <c r="B49" s="1"/>
      <c r="C49" s="1"/>
      <c r="D49" s="1"/>
      <c r="E49" s="1"/>
      <c r="F49" s="1"/>
      <c r="G49" s="1"/>
      <c r="H49" s="1"/>
      <c r="I49" s="1"/>
    </row>
  </sheetData>
  <sheetProtection algorithmName="SHA-512" hashValue="JITBeUVf0ukTev5Hd+LVXE+l081KqSMB1U4dAKp0xJLJs9I382OPwmdlX1uFdWj6R8zF3EQQ+88Zfps9diZgTA==" saltValue="WVlRX3JFGJDG+iZrmfZPbw==" spinCount="100000" sheet="1" objects="1" scenarios="1"/>
  <mergeCells count="8">
    <mergeCell ref="B3:H4"/>
    <mergeCell ref="B15:H15"/>
    <mergeCell ref="B8:H8"/>
    <mergeCell ref="B10:F10"/>
    <mergeCell ref="B11:F11"/>
    <mergeCell ref="B14:H14"/>
    <mergeCell ref="B12:F12"/>
    <mergeCell ref="B9:F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19</vt:i4>
      </vt:variant>
    </vt:vector>
  </HeadingPairs>
  <TitlesOfParts>
    <vt:vector size="19" baseType="lpstr">
      <vt:lpstr>1. Forside</vt:lpstr>
      <vt:lpstr>Fane 2.1. Økonomisk ramme 2022</vt:lpstr>
      <vt:lpstr>Fane 2.2. Økonomisk ramme 2023</vt:lpstr>
      <vt:lpstr>Fane 2.3. Økonomisk ramme 2024</vt:lpstr>
      <vt:lpstr>Fane 2.4. Økonomisk ramme 2025</vt:lpstr>
      <vt:lpstr>Fane 3. Omkostninger i ØR2021</vt:lpstr>
      <vt:lpstr>Fane 4.1. Gen. krav - drift</vt:lpstr>
      <vt:lpstr>Fane 4.2. Gen. krav - anlæg</vt:lpstr>
      <vt:lpstr>Fane 5. Individuelt eff. krav</vt:lpstr>
      <vt:lpstr>Fane 6. Ikke-påvirkelige omk.</vt:lpstr>
      <vt:lpstr>Fane 7. Kontrol af ØR2020</vt:lpstr>
      <vt:lpstr>Fane 8. Korrektion af ØR2020</vt:lpstr>
      <vt:lpstr>Fane 9. Anlægsprojekter</vt:lpstr>
      <vt:lpstr>Fane 10.1. Varige tillæg</vt:lpstr>
      <vt:lpstr>Fane 10.2. Engangstillæg</vt:lpstr>
      <vt:lpstr>Fane 11. Periodevise driftsomk.</vt:lpstr>
      <vt:lpstr>Fane 12. Tilknyttet virksomhed</vt:lpstr>
      <vt:lpstr>Fane 13. Bortfald</vt:lpstr>
      <vt:lpstr>Fane 14.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Katrine Stagaard</cp:lastModifiedBy>
  <cp:lastPrinted>2016-06-14T12:57:30Z</cp:lastPrinted>
  <dcterms:created xsi:type="dcterms:W3CDTF">2016-06-02T08:51:18Z</dcterms:created>
  <dcterms:modified xsi:type="dcterms:W3CDTF">2021-09-13T00:54:55Z</dcterms:modified>
</cp:coreProperties>
</file>