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Thisted Spildevand Transport AS (S09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E13" i="37"/>
  <c r="E12" i="37"/>
  <c r="C13" i="19"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<sst xmlns="http://schemas.openxmlformats.org/spreadsheetml/2006/main" count="611" uniqueCount="290">
  <si>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</si>
  <si>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</si>
  <si>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</si>
  <si>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</si>
  <si>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</si>
  <si>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</si>
  <si>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</si>
  <si>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</si>
  <si>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</si>
  <si>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</si>
  <si>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</si>
  <si>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</si>
  <si>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</si>
  <si>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</si>
  <si>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</si>
  <si>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</si>
  <si>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</si>
  <si>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</si>
  <si>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</si>
  <si>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</si>
  <si>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</si>
  <si>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</si>
  <si>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</si>
  <si>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</si>
  <si>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</si>
  <si>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</si>
  <si>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</si>
  <si>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</si>
  <si>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</si>
  <si>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</si>
  <si>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</si>
  <si>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</si>
  <si>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</si>
  <si>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</si>
  <si>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</si>
  <si>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</si>
  <si>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</si>
  <si>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</si>
  <si>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</si>
  <si>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</si>
  <si>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</si>
  <si>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</si>
  <si>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</si>
  <si>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</si>
  <si>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</si>
  <si>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</si>
  <si>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</si>
  <si>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</si>
  <si>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</si>
  <si>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</si>
  <si>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</si>
  <si>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</si>
  <si>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</si>
  <si>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</si>
  <si>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</si>
  <si>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</si>
  <si>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</si>
  <si>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</si>
  <si>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</si>
  <si>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</si>
  <si>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</si>
  <si>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</si>
  <si>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</si>
  <si>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</si>
  <si>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</si>
  <si>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</si>
  <si>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</si>
  <si>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</si>
  <si>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</si>
  <si>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</si>
  <si>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</si>
  <si>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</si>
  <si>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</si>
  <si>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</si>
  <si>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</si>
  <si>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</si>
  <si>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</si>
  <si>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</si>
  <si>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</si>
  <si>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</si>
  <si>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</si>
  <si>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</si>
  <si>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</si>
  <si>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</si>
  <si>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</si>
  <si>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</si>
  <si>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</si>
  <si>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</si>
  <si>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</si>
  <si>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</si>
  <si>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</si>
  <si>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</si>
  <si>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</si>
  <si>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</si>
  <si>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</si>
  <si>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</si>
  <si>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</si>
  <si>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</si>
  <si>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</si>
  <si>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</si>
  <si>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</si>
  <si>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</si>
  <si>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</si>
  <si>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</si>
  <si>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</si>
  <si>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</si>
  <si>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</si>
  <si>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</si>
  <si>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</si>
  <si>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</si>
  <si>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</si>
  <si>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</si>
  <si>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</si>
  <si>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</si>
  <si>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</si>
  <si>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</si>
  <si>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</si>
  <si>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</si>
  <si>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</si>
  <si>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</si>
  <si>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</si>
  <si>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</si>
  <si>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</si>
  <si>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</si>
  <si>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</si>
  <si>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</si>
  <si>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</si>
  <si>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</si>
  <si>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</si>
  <si>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</si>
  <si>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</si>
  <si>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</si>
  <si>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</si>
  <si>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</si>
  <si>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</si>
  <si>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</si>
  <si>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</si>
  <si>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</si>
  <si>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</si>
  <si>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</si>
  <si>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</si>
  <si>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</si>
  <si>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</si>
  <si>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</si>
  <si>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</si>
  <si>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</si>
  <si>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</si>
  <si>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</si>
  <si>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</si>
  <si>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</si>
  <si>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</si>
  <si>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</si>
  <si>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</si>
  <si>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</si>
  <si>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</si>
  <si>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</si>
  <si>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</si>
  <si>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</si>
  <si>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</si>
  <si>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</si>
  <si>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</si>
  <si>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</si>
  <si>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</si>
  <si>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</si>
  <si>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</si>
  <si>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</si>
  <si>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</si>
  <si>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</si>
  <si>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</si>
  <si>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</si>
  <si>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</si>
  <si>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</si>
  <si>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</si>
  <si>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</si>
  <si>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</si>
  <si>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</si>
  <si>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</si>
  <si>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</si>
  <si>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</si>
  <si>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</si>
  <si>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</si>
  <si>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</si>
  <si>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</si>
  <si>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</si>
  <si>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</si>
  <si>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</si>
  <si>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</si>
  <si>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</si>
  <si>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</si>
  <si>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</si>
  <si>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</si>
  <si>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</si>
  <si>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</si>
  <si>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</si>
  <si>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</si>
  <si>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</si>
  <si>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</si>
  <si>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</si>
  <si>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</si>
  <si>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</si>
  <si>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</si>
  <si>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</si>
  <si>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</si>
  <si>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</si>
  <si>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</si>
  <si>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</si>
  <si>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</si>
  <si>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</si>
  <si>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</si>
  <si>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</si>
  <si>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</si>
  <si>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</si>
  <si>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</si>
  <si>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</si>
  <si>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</si>
  <si>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</si>
  <si>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</si>
  <si>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</si>
  <si>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</si>
  <si>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</si>
  <si>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</si>
  <si>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</si>
  <si>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</si>
  <si>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</si>
  <si>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</si>
  <si>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</si>
  <si>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</si>
  <si>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</si>
  <si>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</si>
  <si>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</si>
  <si>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</si>
  <si>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</si>
  <si>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</si>
  <si>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</si>
  <si>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</si>
  <si>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</si>
  <si>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</si>
  <si>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</si>
  <si>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</si>
  <si>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</si>
  <si>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</si>
  <si>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</si>
  <si>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</si>
  <si>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</si>
  <si>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</si>
  <si>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</si>
  <si>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</si>
  <si>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</si>
  <si>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</si>
  <si>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</si>
  <si>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</si>
  <si>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</si>
  <si>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</si>
  <si>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</si>
  <si>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</si>
  <si>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</si>
  <si>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</si>
  <si>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</si>
  <si>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</si>
  <si>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</si>
  <si>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</si>
  <si>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</si>
  <si>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</si>
  <si>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</si>
  <si>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</si>
  <si>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</si>
  <si>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</si>
  <si>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Erstatninger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</si>
  <si>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</si>
  <si>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</si>
  <si>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</si>
  <si>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</si>
  <si>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</si>
  <si>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</si>
  <si>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</si>
  <si>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</si>
  <si>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</si>
  <si>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</si>
  <si>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</si>
  <si>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Flytning af ledninger</t>
  </si>
  <si>
    <t>Udvidelse af forsyningsområdet</t>
  </si>
  <si>
    <t>Indregnet fradrag i økonomisk ramme for 2022</t>
  </si>
  <si>
    <t>Indregnet fradrag i økonomisk ramme for 2023</t>
  </si>
  <si>
    <t>Korrektion af fradrag i den økonomiske ramme for 2023</t>
  </si>
  <si>
    <t>Tillæg/fradrag i den økonnomiske ramme for 2023</t>
  </si>
  <si>
    <t>Separatkloakeringer</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</si>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</sst>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4" t="s">
        <v>4</v>
      </c>
      <c r="E6" s="114"/>
      <c r="F6" s="114"/>
      <c r="G6" s="114"/>
      <c r="H6" s="3"/>
      <c r="I6" s="1"/>
    </row>
    <row r="7" spans="1:9" ht="15" customHeight="1" x14ac:dyDescent="0.25">
      <c r="A7" s="1"/>
      <c r="B7" s="1"/>
      <c r="C7" s="3"/>
      <c r="D7" s="114"/>
      <c r="E7" s="114"/>
      <c r="F7" s="114"/>
      <c r="G7" s="114"/>
      <c r="H7" s="3"/>
      <c r="I7" s="1"/>
    </row>
    <row r="8" spans="1:9" ht="15.75" x14ac:dyDescent="0.25">
      <c r="A8" s="1"/>
      <c r="B8" s="1"/>
      <c r="C8" s="4"/>
      <c r="D8" s="119" t="s">
        <v>225</v>
      </c>
      <c r="E8" s="119"/>
      <c r="F8" s="119"/>
      <c r="G8" s="11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8" t="s">
        <v>5</v>
      </c>
      <c r="E11" s="118"/>
      <c r="F11" s="118"/>
      <c r="G11" s="118"/>
      <c r="H11" s="5"/>
      <c r="I11" s="1"/>
    </row>
    <row r="12" spans="1:9" x14ac:dyDescent="0.25">
      <c r="A12" s="1"/>
      <c r="B12" s="1"/>
      <c r="C12" s="1"/>
      <c r="D12" s="1"/>
      <c r="E12" s="1"/>
      <c r="F12" s="1"/>
      <c r="G12" s="1"/>
      <c r="H12" s="5"/>
      <c r="I12" s="1"/>
    </row>
    <row r="13" spans="1:9" x14ac:dyDescent="0.25">
      <c r="A13" s="1"/>
      <c r="B13" s="1"/>
      <c r="C13" s="6" t="s">
        <v>6</v>
      </c>
      <c r="D13" s="120" t="s">
        <v>169</v>
      </c>
      <c r="E13" s="121"/>
      <c r="F13" s="121"/>
      <c r="G13" s="122"/>
      <c r="H13" s="5"/>
      <c r="I13" s="1"/>
    </row>
    <row r="14" spans="1:9" x14ac:dyDescent="0.25">
      <c r="A14" s="1"/>
      <c r="B14" s="1"/>
      <c r="C14" s="6" t="s">
        <v>16</v>
      </c>
      <c r="D14" s="111" t="s">
        <v>235</v>
      </c>
      <c r="E14" s="112"/>
      <c r="F14" s="112"/>
      <c r="G14" s="113"/>
      <c r="H14" s="5"/>
      <c r="I14" s="1"/>
    </row>
    <row r="15" spans="1:9" x14ac:dyDescent="0.25">
      <c r="A15" s="1"/>
      <c r="B15" s="1"/>
      <c r="C15" s="6" t="s">
        <v>34</v>
      </c>
      <c r="D15" s="111" t="s">
        <v>170</v>
      </c>
      <c r="E15" s="112"/>
      <c r="F15" s="112"/>
      <c r="G15" s="113"/>
      <c r="H15" s="5"/>
      <c r="I15" s="1"/>
    </row>
    <row r="16" spans="1:9" x14ac:dyDescent="0.25">
      <c r="A16" s="1"/>
      <c r="B16" s="1"/>
      <c r="C16" s="6" t="s">
        <v>35</v>
      </c>
      <c r="D16" s="111" t="s">
        <v>182</v>
      </c>
      <c r="E16" s="112"/>
      <c r="F16" s="112"/>
      <c r="G16" s="113"/>
      <c r="H16" s="5"/>
      <c r="I16" s="1"/>
    </row>
    <row r="17" spans="1:9" x14ac:dyDescent="0.25">
      <c r="A17" s="1"/>
      <c r="B17" s="1"/>
      <c r="C17" s="6" t="s">
        <v>119</v>
      </c>
      <c r="D17" s="111" t="s">
        <v>183</v>
      </c>
      <c r="E17" s="112"/>
      <c r="F17" s="112"/>
      <c r="G17" s="113"/>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15" t="s">
        <v>12</v>
      </c>
      <c r="E21" s="116"/>
      <c r="F21" s="116"/>
      <c r="G21" s="117"/>
      <c r="H21" s="5"/>
      <c r="I21" s="1"/>
    </row>
    <row r="22" spans="1:9" x14ac:dyDescent="0.25">
      <c r="A22" s="1"/>
      <c r="B22" s="1"/>
      <c r="C22" s="6" t="s">
        <v>83</v>
      </c>
      <c r="D22" s="102" t="s">
        <v>184</v>
      </c>
      <c r="E22" s="103"/>
      <c r="F22" s="103"/>
      <c r="G22" s="104"/>
      <c r="H22" s="5"/>
      <c r="I22" s="1"/>
    </row>
    <row r="23" spans="1:9" x14ac:dyDescent="0.25">
      <c r="A23" s="1"/>
      <c r="B23" s="1"/>
      <c r="C23" s="6" t="s">
        <v>8</v>
      </c>
      <c r="D23" s="102" t="s">
        <v>253</v>
      </c>
      <c r="E23" s="103"/>
      <c r="F23" s="103"/>
      <c r="G23" s="104"/>
      <c r="H23" s="5"/>
      <c r="I23" s="1"/>
    </row>
    <row r="24" spans="1:9" x14ac:dyDescent="0.25">
      <c r="A24" s="1"/>
      <c r="B24" s="1"/>
      <c r="C24" s="6" t="s">
        <v>9</v>
      </c>
      <c r="D24" s="102" t="s">
        <v>185</v>
      </c>
      <c r="E24" s="103"/>
      <c r="F24" s="103"/>
      <c r="G24" s="104"/>
      <c r="H24" s="5"/>
      <c r="I24" s="1"/>
    </row>
    <row r="25" spans="1:9" x14ac:dyDescent="0.25">
      <c r="A25" s="1"/>
      <c r="B25" s="1"/>
      <c r="C25" s="6" t="s">
        <v>246</v>
      </c>
      <c r="D25" s="102" t="s">
        <v>237</v>
      </c>
      <c r="E25" s="103"/>
      <c r="F25" s="103"/>
      <c r="G25" s="104"/>
      <c r="H25" s="1"/>
      <c r="I25" s="1"/>
    </row>
    <row r="26" spans="1:9" x14ac:dyDescent="0.25">
      <c r="A26" s="1"/>
      <c r="B26" s="1"/>
      <c r="C26" s="6" t="s">
        <v>247</v>
      </c>
      <c r="D26" s="102" t="s">
        <v>84</v>
      </c>
      <c r="E26" s="103"/>
      <c r="F26" s="103"/>
      <c r="G26" s="104"/>
      <c r="H26" s="1"/>
      <c r="I26" s="1"/>
    </row>
    <row r="27" spans="1:9" x14ac:dyDescent="0.25">
      <c r="A27" s="1"/>
      <c r="B27" s="1"/>
      <c r="C27" s="6" t="s">
        <v>248</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249</v>
      </c>
      <c r="D31" s="105" t="s">
        <v>105</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yGLPHM+Zj9CHtI7R1kRh4AibC9/QFw3LRTIGbjvnsuIZi5EQxzDonkDbOzRpH8lc0beRfNAWwRoB1kbiwplGfA==" saltValue="rYI6Z90CRzKWazX/6rorq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199</v>
      </c>
      <c r="C8" s="136"/>
      <c r="D8" s="137"/>
      <c r="E8" s="1"/>
      <c r="F8" s="1"/>
    </row>
    <row r="9" spans="1:6" ht="15" customHeight="1" x14ac:dyDescent="0.25">
      <c r="A9" s="1"/>
      <c r="B9" s="26" t="s">
        <v>32</v>
      </c>
      <c r="C9" s="58" t="s">
        <v>240</v>
      </c>
      <c r="D9" s="11"/>
      <c r="E9" s="1"/>
      <c r="F9" s="1"/>
    </row>
    <row r="10" spans="1:6" x14ac:dyDescent="0.25">
      <c r="A10" s="1"/>
      <c r="B10" s="94" t="s">
        <v>265</v>
      </c>
      <c r="C10" s="9">
        <v>103504</v>
      </c>
      <c r="D10" s="14" t="s">
        <v>3</v>
      </c>
      <c r="E10" s="1"/>
      <c r="F10" s="1"/>
    </row>
    <row r="11" spans="1:6" x14ac:dyDescent="0.25">
      <c r="A11" s="1"/>
      <c r="B11" s="94" t="s">
        <v>266</v>
      </c>
      <c r="C11" s="9">
        <v>21021841</v>
      </c>
      <c r="D11" s="14" t="s">
        <v>3</v>
      </c>
      <c r="E11" s="1"/>
      <c r="F11" s="1"/>
    </row>
    <row r="12" spans="1:6" x14ac:dyDescent="0.25">
      <c r="A12" s="1"/>
      <c r="B12" s="94" t="s">
        <v>267</v>
      </c>
      <c r="C12" s="9">
        <v>147224</v>
      </c>
      <c r="D12" s="14" t="s">
        <v>3</v>
      </c>
      <c r="E12" s="1"/>
      <c r="F12" s="1"/>
    </row>
    <row r="13" spans="1:6" x14ac:dyDescent="0.25">
      <c r="A13" s="1"/>
      <c r="B13" s="32" t="s">
        <v>200</v>
      </c>
      <c r="C13" s="12">
        <f>SUM(C10:C12)</f>
        <v>21272569</v>
      </c>
      <c r="D13" s="13" t="s">
        <v>3</v>
      </c>
      <c r="E13" s="1"/>
      <c r="F13" s="1"/>
    </row>
    <row r="14" spans="1:6" x14ac:dyDescent="0.25">
      <c r="A14" s="1"/>
      <c r="B14" s="32" t="s">
        <v>201</v>
      </c>
      <c r="C14" s="12">
        <f>C13*(1+'Fane 15. Nøgletal'!C15)^2</f>
        <v>22814135.915847842</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5" t="s">
        <v>117</v>
      </c>
      <c r="C17" s="136"/>
      <c r="D17" s="137"/>
      <c r="E17" s="1"/>
      <c r="F17" s="1"/>
    </row>
    <row r="18" spans="1:6" x14ac:dyDescent="0.25">
      <c r="A18" s="1"/>
      <c r="B18" s="94" t="s">
        <v>99</v>
      </c>
      <c r="C18" s="9">
        <v>0</v>
      </c>
      <c r="D18" s="14" t="s">
        <v>3</v>
      </c>
      <c r="E18" s="1"/>
      <c r="F18" s="1"/>
    </row>
    <row r="19" spans="1:6" x14ac:dyDescent="0.25">
      <c r="A19" s="1"/>
      <c r="B19" s="94" t="s">
        <v>129</v>
      </c>
      <c r="C19" s="9">
        <v>0</v>
      </c>
      <c r="D19" s="14" t="s">
        <v>3</v>
      </c>
      <c r="E19" s="1"/>
      <c r="F19" s="1"/>
    </row>
    <row r="20" spans="1:6" x14ac:dyDescent="0.25">
      <c r="A20" s="1"/>
      <c r="B20" s="94" t="s">
        <v>155</v>
      </c>
      <c r="C20" s="9">
        <v>0</v>
      </c>
      <c r="D20" s="14" t="s">
        <v>3</v>
      </c>
      <c r="E20" s="1"/>
      <c r="F20" s="1"/>
    </row>
    <row r="21" spans="1:6" x14ac:dyDescent="0.25">
      <c r="A21" s="1"/>
      <c r="B21" s="33" t="s">
        <v>202</v>
      </c>
      <c r="C21" s="9">
        <v>0</v>
      </c>
      <c r="D21" s="40" t="s">
        <v>3</v>
      </c>
      <c r="E21" s="1"/>
      <c r="F21" s="1"/>
    </row>
    <row r="22" spans="1:6" x14ac:dyDescent="0.25">
      <c r="A22" s="1"/>
      <c r="B22" s="135"/>
      <c r="C22" s="136"/>
      <c r="D22" s="137"/>
      <c r="E22" s="1"/>
      <c r="F22" s="1"/>
    </row>
    <row r="23" spans="1:6" x14ac:dyDescent="0.25">
      <c r="A23" s="1"/>
      <c r="B23" s="1"/>
      <c r="C23" s="1"/>
      <c r="D23" s="1"/>
      <c r="E23" s="1"/>
      <c r="F23" s="1"/>
    </row>
    <row r="24" spans="1:6" x14ac:dyDescent="0.25">
      <c r="A24" s="1"/>
      <c r="B24" s="1"/>
      <c r="C24" s="1"/>
      <c r="D24" s="1"/>
      <c r="E24" s="1"/>
      <c r="F24" s="1"/>
    </row>
    <row r="25" spans="1:6" x14ac:dyDescent="0.25">
      <c r="A25" s="1"/>
      <c r="B25" s="135" t="s">
        <v>98</v>
      </c>
      <c r="C25" s="136"/>
      <c r="D25" s="137"/>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35"/>
      <c r="C30" s="136"/>
      <c r="D30" s="137"/>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UH/3FRuD6AP0f+bJ1exMwwLltvRc8dBFXl9g5inh0NxXcKS93xlMM1xRQu87oe/PXU+6ScRueUJl3Ly/YiYvLg==" saltValue="wSg9mYF/xRRTxxb/RIGqRw=="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203</v>
      </c>
      <c r="C3" s="128"/>
      <c r="D3" s="128"/>
      <c r="E3" s="128"/>
      <c r="F3" s="128"/>
      <c r="G3" s="1"/>
    </row>
    <row r="4" spans="1:7" ht="15" customHeight="1" x14ac:dyDescent="0.25">
      <c r="A4" s="1"/>
      <c r="B4" s="128"/>
      <c r="C4" s="128"/>
      <c r="D4" s="128"/>
      <c r="E4" s="128"/>
      <c r="F4" s="128"/>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5" t="s">
        <v>178</v>
      </c>
      <c r="C8" s="136"/>
      <c r="D8" s="136"/>
      <c r="E8" s="136"/>
      <c r="F8" s="137"/>
      <c r="G8" s="1"/>
    </row>
    <row r="9" spans="1:7" x14ac:dyDescent="0.25">
      <c r="A9" s="1"/>
      <c r="B9" s="140" t="s">
        <v>204</v>
      </c>
      <c r="C9" s="141"/>
      <c r="D9" s="142"/>
      <c r="E9" s="9">
        <v>16773765.156012297</v>
      </c>
      <c r="F9" s="14" t="s">
        <v>3</v>
      </c>
      <c r="G9" s="1"/>
    </row>
    <row r="10" spans="1:7" x14ac:dyDescent="0.25">
      <c r="A10" s="1"/>
      <c r="B10" s="140" t="s">
        <v>263</v>
      </c>
      <c r="C10" s="141"/>
      <c r="D10" s="142"/>
      <c r="E10" s="9">
        <v>16773765.156012297</v>
      </c>
      <c r="F10" s="14" t="s">
        <v>3</v>
      </c>
      <c r="G10" s="1"/>
    </row>
    <row r="11" spans="1:7" x14ac:dyDescent="0.25">
      <c r="A11" s="1"/>
      <c r="B11" s="32"/>
      <c r="C11" s="27"/>
      <c r="D11" s="27"/>
      <c r="E11" s="27"/>
      <c r="F11" s="19"/>
      <c r="G11" s="1"/>
    </row>
    <row r="12" spans="1:7" ht="80.25" customHeight="1" x14ac:dyDescent="0.25">
      <c r="A12" s="1"/>
      <c r="B12" s="125" t="s">
        <v>288</v>
      </c>
      <c r="C12" s="126"/>
      <c r="D12" s="126"/>
      <c r="E12" s="126"/>
      <c r="F12" s="127"/>
      <c r="G12" s="1"/>
    </row>
    <row r="13" spans="1:7" ht="27" customHeight="1" x14ac:dyDescent="0.25">
      <c r="A13" s="1"/>
      <c r="B13" s="1"/>
      <c r="C13" s="1"/>
      <c r="D13" s="1"/>
      <c r="E13" s="1"/>
      <c r="F13" s="1"/>
      <c r="G13" s="1"/>
    </row>
    <row r="14" spans="1:7" ht="28.5" customHeight="1" x14ac:dyDescent="0.25">
      <c r="A14" s="1"/>
      <c r="B14" s="135" t="s">
        <v>179</v>
      </c>
      <c r="C14" s="136"/>
      <c r="D14" s="136"/>
      <c r="E14" s="136"/>
      <c r="F14" s="137"/>
      <c r="G14" s="1"/>
    </row>
    <row r="15" spans="1:7" x14ac:dyDescent="0.25">
      <c r="A15" s="1"/>
      <c r="B15" s="140" t="s">
        <v>281</v>
      </c>
      <c r="C15" s="141"/>
      <c r="D15" s="142"/>
      <c r="E15" s="9">
        <v>0</v>
      </c>
      <c r="F15" s="14" t="s">
        <v>3</v>
      </c>
      <c r="G15" s="1"/>
    </row>
    <row r="16" spans="1:7" x14ac:dyDescent="0.25">
      <c r="A16" s="1"/>
      <c r="B16" s="140" t="s">
        <v>282</v>
      </c>
      <c r="C16" s="141"/>
      <c r="D16" s="142"/>
      <c r="E16" s="9">
        <v>0</v>
      </c>
      <c r="F16" s="14" t="s">
        <v>3</v>
      </c>
      <c r="G16" s="1"/>
    </row>
    <row r="17" spans="1:7" x14ac:dyDescent="0.25">
      <c r="A17" s="1"/>
      <c r="B17" s="32"/>
      <c r="C17" s="27"/>
      <c r="D17" s="27"/>
      <c r="E17" s="27"/>
      <c r="F17" s="19"/>
      <c r="G17" s="1"/>
    </row>
    <row r="18" spans="1:7" ht="31.5" customHeight="1" x14ac:dyDescent="0.25">
      <c r="A18" s="1"/>
      <c r="B18" s="125" t="s">
        <v>289</v>
      </c>
      <c r="C18" s="126"/>
      <c r="D18" s="126"/>
      <c r="E18" s="126"/>
      <c r="F18" s="127"/>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81036164.288334042</v>
      </c>
      <c r="F21" s="14" t="s">
        <v>3</v>
      </c>
      <c r="G21" s="1"/>
    </row>
    <row r="22" spans="1:7" x14ac:dyDescent="0.25">
      <c r="A22" s="1"/>
      <c r="B22" s="91" t="s">
        <v>207</v>
      </c>
      <c r="C22" s="92"/>
      <c r="D22" s="93"/>
      <c r="E22" s="9">
        <v>80157145</v>
      </c>
      <c r="F22" s="14" t="s">
        <v>3</v>
      </c>
      <c r="G22" s="1"/>
    </row>
    <row r="23" spans="1:7" x14ac:dyDescent="0.25">
      <c r="A23" s="1"/>
      <c r="B23" s="91" t="s">
        <v>33</v>
      </c>
      <c r="C23" s="92"/>
      <c r="D23" s="93"/>
      <c r="E23" s="9">
        <v>0</v>
      </c>
      <c r="F23" s="14" t="s">
        <v>3</v>
      </c>
      <c r="G23" s="1"/>
    </row>
    <row r="24" spans="1:7" x14ac:dyDescent="0.25">
      <c r="A24" s="1"/>
      <c r="B24" s="89" t="s">
        <v>268</v>
      </c>
      <c r="C24" s="90"/>
      <c r="D24" s="96"/>
      <c r="E24" s="72">
        <f>E21-(E22-E23)</f>
        <v>879019.28833404183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5" t="s">
        <v>283</v>
      </c>
      <c r="C27" s="136"/>
      <c r="D27" s="136"/>
      <c r="E27" s="136"/>
      <c r="F27" s="137"/>
      <c r="G27" s="1"/>
    </row>
    <row r="28" spans="1:7" x14ac:dyDescent="0.25">
      <c r="A28" s="1"/>
      <c r="B28" s="138" t="s">
        <v>284</v>
      </c>
      <c r="C28" s="139"/>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5"/>
      <c r="C29" s="136"/>
      <c r="D29" s="136"/>
      <c r="E29" s="136"/>
      <c r="F29" s="137"/>
      <c r="G29" s="1"/>
    </row>
    <row r="30" spans="1:7" x14ac:dyDescent="0.25">
      <c r="A30" s="1"/>
      <c r="B30" s="1"/>
      <c r="C30" s="1"/>
      <c r="D30" s="1"/>
      <c r="E30" s="1"/>
      <c r="F30" s="1"/>
      <c r="G30" s="1"/>
    </row>
    <row r="31" spans="1:7" ht="28.5" customHeight="1" x14ac:dyDescent="0.25">
      <c r="A31" s="1"/>
      <c r="B31" s="135" t="s">
        <v>264</v>
      </c>
      <c r="C31" s="136"/>
      <c r="D31" s="136"/>
      <c r="E31" s="136"/>
      <c r="F31" s="137"/>
      <c r="G31" s="1"/>
    </row>
    <row r="32" spans="1:7" x14ac:dyDescent="0.25">
      <c r="A32" s="1"/>
      <c r="B32" s="155" t="s">
        <v>143</v>
      </c>
      <c r="C32" s="156"/>
      <c r="D32" s="157"/>
      <c r="E32" s="74">
        <f>IF(AND(E9&gt;0,(E9+E24)&gt;0),0,IF(AND(E9&gt;0,(E9+E24)&lt;0),(E9+E24),IF(AND(E9&lt;0,E24&lt;0),E24,0)))</f>
        <v>0</v>
      </c>
      <c r="F32" s="14" t="s">
        <v>3</v>
      </c>
      <c r="G32" s="1"/>
    </row>
    <row r="33" spans="1:7" x14ac:dyDescent="0.25">
      <c r="A33" s="1"/>
      <c r="B33" s="155" t="s">
        <v>102</v>
      </c>
      <c r="C33" s="156"/>
      <c r="D33" s="157"/>
      <c r="E33" s="9">
        <v>4</v>
      </c>
      <c r="F33" s="14" t="s">
        <v>20</v>
      </c>
      <c r="G33" s="1"/>
    </row>
    <row r="34" spans="1:7" x14ac:dyDescent="0.25">
      <c r="A34" s="1"/>
      <c r="B34" s="158" t="s">
        <v>144</v>
      </c>
      <c r="C34" s="158"/>
      <c r="D34" s="158"/>
      <c r="E34" s="73">
        <f>E32/E33</f>
        <v>0</v>
      </c>
      <c r="F34" s="17" t="s">
        <v>3</v>
      </c>
      <c r="G34" s="1"/>
    </row>
    <row r="35" spans="1:7" x14ac:dyDescent="0.25">
      <c r="A35" s="1"/>
      <c r="B35" s="159"/>
      <c r="C35" s="160"/>
      <c r="D35" s="160"/>
      <c r="E35" s="160"/>
      <c r="F35" s="1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TGpksjvjHHxLaM7vXsEtJJfJZ7oe38PqUSA5W3X8f3AxHD0hlgo9I4z+xqNWbtzhc5QFohtRde4XFTBVV0IWAA==" saltValue="kM1ZvgSyH6ubUm7WQtJAW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262</v>
      </c>
      <c r="C8" s="136"/>
      <c r="D8" s="136"/>
      <c r="E8" s="136"/>
      <c r="F8" s="136"/>
      <c r="G8" s="136"/>
      <c r="H8" s="137"/>
      <c r="I8" s="1"/>
    </row>
    <row r="9" spans="1:9" ht="15" customHeight="1" x14ac:dyDescent="0.25">
      <c r="A9" s="1"/>
      <c r="B9" s="132" t="s">
        <v>251</v>
      </c>
      <c r="C9" s="133"/>
      <c r="D9" s="133"/>
      <c r="E9" s="133"/>
      <c r="F9" s="133"/>
      <c r="G9" s="133"/>
      <c r="H9" s="134"/>
      <c r="I9" s="1"/>
    </row>
    <row r="10" spans="1:9" x14ac:dyDescent="0.25">
      <c r="A10" s="1"/>
      <c r="B10" s="163" t="s">
        <v>270</v>
      </c>
      <c r="C10" s="164"/>
      <c r="D10" s="164"/>
      <c r="E10" s="164"/>
      <c r="F10" s="165"/>
      <c r="G10" s="9">
        <v>0</v>
      </c>
      <c r="H10" s="9" t="s">
        <v>3</v>
      </c>
      <c r="I10" s="1"/>
    </row>
    <row r="11" spans="1:9" x14ac:dyDescent="0.25">
      <c r="A11" s="1"/>
      <c r="B11" s="163" t="s">
        <v>271</v>
      </c>
      <c r="C11" s="164"/>
      <c r="D11" s="164"/>
      <c r="E11" s="164"/>
      <c r="F11" s="165"/>
      <c r="G11" s="9">
        <v>0</v>
      </c>
      <c r="H11" s="9" t="s">
        <v>3</v>
      </c>
      <c r="I11" s="1"/>
    </row>
    <row r="12" spans="1:9" x14ac:dyDescent="0.25">
      <c r="A12" s="1"/>
      <c r="B12" s="163" t="s">
        <v>272</v>
      </c>
      <c r="C12" s="164"/>
      <c r="D12" s="164"/>
      <c r="E12" s="164"/>
      <c r="F12" s="165"/>
      <c r="G12" s="9">
        <v>0</v>
      </c>
      <c r="H12" s="9" t="s">
        <v>3</v>
      </c>
      <c r="I12" s="1"/>
    </row>
    <row r="13" spans="1:9" x14ac:dyDescent="0.25">
      <c r="A13" s="1"/>
      <c r="B13" s="163" t="s">
        <v>273</v>
      </c>
      <c r="C13" s="164"/>
      <c r="D13" s="164"/>
      <c r="E13" s="164"/>
      <c r="F13" s="165"/>
      <c r="G13" s="9">
        <v>0</v>
      </c>
      <c r="H13" s="9" t="s">
        <v>3</v>
      </c>
      <c r="I13" s="1"/>
    </row>
    <row r="14" spans="1:9" x14ac:dyDescent="0.25">
      <c r="A14" s="1"/>
      <c r="B14" s="163" t="s">
        <v>274</v>
      </c>
      <c r="C14" s="164"/>
      <c r="D14" s="164"/>
      <c r="E14" s="164"/>
      <c r="F14" s="165"/>
      <c r="G14" s="9">
        <v>0</v>
      </c>
      <c r="H14" s="9" t="s">
        <v>3</v>
      </c>
      <c r="I14" s="1"/>
    </row>
    <row r="15" spans="1:9" x14ac:dyDescent="0.25">
      <c r="A15" s="1"/>
      <c r="B15" s="163" t="s">
        <v>275</v>
      </c>
      <c r="C15" s="164"/>
      <c r="D15" s="164"/>
      <c r="E15" s="164"/>
      <c r="F15" s="165"/>
      <c r="G15" s="9">
        <v>0</v>
      </c>
      <c r="H15" s="9" t="s">
        <v>3</v>
      </c>
      <c r="I15" s="1"/>
    </row>
    <row r="16" spans="1:9" x14ac:dyDescent="0.25">
      <c r="A16" s="1"/>
      <c r="B16" s="163" t="s">
        <v>276</v>
      </c>
      <c r="C16" s="164"/>
      <c r="D16" s="164"/>
      <c r="E16" s="164"/>
      <c r="F16" s="165"/>
      <c r="G16" s="9">
        <v>0</v>
      </c>
      <c r="H16" s="9" t="s">
        <v>3</v>
      </c>
      <c r="I16" s="1"/>
    </row>
    <row r="17" spans="1:9" x14ac:dyDescent="0.25">
      <c r="A17" s="1"/>
      <c r="B17" s="163" t="s">
        <v>277</v>
      </c>
      <c r="C17" s="164"/>
      <c r="D17" s="164"/>
      <c r="E17" s="164"/>
      <c r="F17" s="165"/>
      <c r="G17" s="9">
        <v>0</v>
      </c>
      <c r="H17" s="9" t="s">
        <v>3</v>
      </c>
      <c r="I17" s="1"/>
    </row>
    <row r="18" spans="1:9" x14ac:dyDescent="0.25">
      <c r="A18" s="1"/>
      <c r="B18" s="135" t="s">
        <v>252</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jetDhsrIxNbj2Lw6gPXpPShL1tXxghoslzyr6E0CkdCQwfYT9AJneJyOkXuNQRr/FJJ9rv7khgI1Qz7zZFtipQ==" saltValue="LwuOmbR7B5oXRrRb5D6MdA=="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254</v>
      </c>
      <c r="C3" s="128"/>
      <c r="D3" s="128"/>
      <c r="E3" s="128"/>
      <c r="F3" s="128"/>
      <c r="G3" s="1"/>
    </row>
    <row r="4" spans="1:7" ht="1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208</v>
      </c>
      <c r="C9" s="136"/>
      <c r="D9" s="136"/>
      <c r="E9" s="136"/>
      <c r="F9" s="137"/>
      <c r="G9" s="1"/>
    </row>
    <row r="10" spans="1:7" x14ac:dyDescent="0.25">
      <c r="A10" s="1"/>
      <c r="B10" s="125" t="s">
        <v>100</v>
      </c>
      <c r="C10" s="126"/>
      <c r="D10" s="127"/>
      <c r="E10" s="7">
        <v>0</v>
      </c>
      <c r="F10" s="8" t="s">
        <v>3</v>
      </c>
      <c r="G10" s="1"/>
    </row>
    <row r="11" spans="1:7" x14ac:dyDescent="0.25">
      <c r="A11" s="1"/>
      <c r="B11" s="140" t="s">
        <v>209</v>
      </c>
      <c r="C11" s="141"/>
      <c r="D11" s="142"/>
      <c r="E11" s="7">
        <v>0</v>
      </c>
      <c r="F11" s="8" t="s">
        <v>3</v>
      </c>
      <c r="G11" s="1"/>
    </row>
    <row r="12" spans="1:7" x14ac:dyDescent="0.25">
      <c r="A12" s="1"/>
      <c r="B12" s="138" t="s">
        <v>101</v>
      </c>
      <c r="C12" s="139"/>
      <c r="D12" s="162"/>
      <c r="E12" s="10">
        <f>E11-E10</f>
        <v>0</v>
      </c>
      <c r="F12" s="11" t="s">
        <v>3</v>
      </c>
      <c r="G12" s="1"/>
    </row>
    <row r="13" spans="1:7" x14ac:dyDescent="0.25">
      <c r="A13" s="1"/>
      <c r="B13" s="135" t="s">
        <v>94</v>
      </c>
      <c r="C13" s="136"/>
      <c r="D13" s="136"/>
      <c r="E13" s="136"/>
      <c r="F13" s="137"/>
      <c r="G13" s="1"/>
    </row>
    <row r="14" spans="1:7" x14ac:dyDescent="0.25">
      <c r="A14" s="1"/>
      <c r="B14" s="140" t="s">
        <v>210</v>
      </c>
      <c r="C14" s="141"/>
      <c r="D14" s="142"/>
      <c r="E14" s="9"/>
      <c r="F14" s="8" t="s">
        <v>3</v>
      </c>
      <c r="G14" s="1"/>
    </row>
    <row r="15" spans="1:7" x14ac:dyDescent="0.25">
      <c r="A15" s="1"/>
      <c r="B15" s="125" t="s">
        <v>211</v>
      </c>
      <c r="C15" s="126"/>
      <c r="D15" s="127"/>
      <c r="E15" s="9"/>
      <c r="F15" s="8" t="s">
        <v>3</v>
      </c>
      <c r="G15" s="1"/>
    </row>
    <row r="16" spans="1:7" x14ac:dyDescent="0.25">
      <c r="A16" s="1"/>
      <c r="B16" s="138" t="s">
        <v>101</v>
      </c>
      <c r="C16" s="139"/>
      <c r="D16" s="162"/>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6AhIdwy2oLzgsjN3E8lR1M5ctqF025uTP5ESYdUahgDAwiDhoHwKJRALZBq6QF6he9NhLdN+TLflJGq65km4A==" saltValue="KDLcFfnqQg+TxLEMS1a7z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219</v>
      </c>
      <c r="C8" s="136"/>
      <c r="D8" s="136"/>
      <c r="E8" s="136"/>
      <c r="F8" s="136"/>
      <c r="G8" s="136"/>
      <c r="H8" s="136"/>
      <c r="I8" s="136"/>
      <c r="J8" s="136"/>
      <c r="K8" s="137"/>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278</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g9EUHWH6SJwJMvhw+jcH2d+uiPeg4B4yrCtpZqyg3RpL7sMAq7PmFrQP5L8YxAhPqKFqqxKtK0XT2cjpXCtZnw==" saltValue="rlQW4OwnadFK6qqRv9h1M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285</v>
      </c>
      <c r="C11" s="21">
        <v>0</v>
      </c>
      <c r="D11" s="14" t="s">
        <v>3</v>
      </c>
      <c r="E11" s="9">
        <v>1468507</v>
      </c>
      <c r="F11" s="14" t="s">
        <v>3</v>
      </c>
      <c r="G11" s="1"/>
    </row>
    <row r="12" spans="1:7" x14ac:dyDescent="0.25">
      <c r="A12" s="1"/>
      <c r="B12" s="23" t="s">
        <v>279</v>
      </c>
      <c r="C12" s="21">
        <v>0</v>
      </c>
      <c r="D12" s="14" t="s">
        <v>3</v>
      </c>
      <c r="E12" s="9">
        <f>177944+161700</f>
        <v>339644</v>
      </c>
      <c r="F12" s="14" t="s">
        <v>3</v>
      </c>
      <c r="G12" s="1"/>
    </row>
    <row r="13" spans="1:7" x14ac:dyDescent="0.25">
      <c r="A13" s="1"/>
      <c r="B13" s="23" t="s">
        <v>280</v>
      </c>
      <c r="C13" s="21">
        <v>737261</v>
      </c>
      <c r="D13" s="14" t="s">
        <v>3</v>
      </c>
      <c r="E13" s="9">
        <f>341423</f>
        <v>341423</v>
      </c>
      <c r="F13" s="14" t="s">
        <v>3</v>
      </c>
      <c r="G13" s="1"/>
    </row>
    <row r="14" spans="1:7" x14ac:dyDescent="0.25">
      <c r="A14" s="1"/>
      <c r="B14" s="32" t="s">
        <v>156</v>
      </c>
      <c r="C14" s="12">
        <f>SUM(C10:C13)</f>
        <v>737261</v>
      </c>
      <c r="D14" s="13" t="s">
        <v>3</v>
      </c>
      <c r="E14" s="12">
        <f>SUM(E10:E13)</f>
        <v>2149574</v>
      </c>
      <c r="F14" s="13" t="s">
        <v>3</v>
      </c>
      <c r="G14" s="1"/>
    </row>
    <row r="15" spans="1:7" x14ac:dyDescent="0.25">
      <c r="A15" s="1"/>
      <c r="B15" s="32" t="s">
        <v>213</v>
      </c>
      <c r="C15" s="12">
        <f>C14*(1+'Fane 15. Nøgletal'!C15)</f>
        <v>763507.49160000007</v>
      </c>
      <c r="D15" s="13" t="s">
        <v>3</v>
      </c>
      <c r="E15" s="12">
        <f>E14*(1+'Fane 15. Nøgletal'!C15)</f>
        <v>2226098.8344000001</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9"/>
      <c r="B51" s="49"/>
      <c r="C51" s="49"/>
      <c r="D51" s="49"/>
      <c r="E51" s="49"/>
      <c r="F51" s="49"/>
      <c r="G51" s="49"/>
    </row>
  </sheetData>
  <sheetProtection algorithmName="SHA-512" hashValue="lg82+t0AmWku7DvCCaJtyGy2PwEvXnhoNRtY18fevSSoaGX9HZsT5jODkx8wfMoYXUVDnB2/ryrZwBmYebS1aw==" saltValue="Ft0+7gcMmQf6X/rU/qD/N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97</v>
      </c>
      <c r="C8" s="136"/>
      <c r="D8" s="136"/>
      <c r="E8" s="136"/>
      <c r="F8" s="137"/>
      <c r="G8" s="1"/>
    </row>
    <row r="9" spans="1:7" x14ac:dyDescent="0.25">
      <c r="A9" s="1"/>
      <c r="B9" s="84" t="s">
        <v>17</v>
      </c>
      <c r="C9" s="84" t="s">
        <v>11</v>
      </c>
      <c r="D9" s="85"/>
      <c r="E9" s="84" t="s">
        <v>31</v>
      </c>
      <c r="F9" s="31"/>
      <c r="G9" s="1"/>
    </row>
    <row r="10" spans="1:7" x14ac:dyDescent="0.25">
      <c r="A10" s="1"/>
      <c r="B10" s="23" t="s">
        <v>286</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wiFnjLqBek6eimfzf4pxizSp52mk0r0y27WZDDLt8QHqUMQJ53K+bBoT7XXEUg7UdXJfv24c+J4QU9wxQBGKjA==" saltValue="J2YXpKf5IlAoAT87Pcnmf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258</v>
      </c>
      <c r="C3" s="128"/>
      <c r="D3" s="128"/>
      <c r="E3" s="128"/>
      <c r="F3" s="128"/>
      <c r="G3" s="1"/>
    </row>
    <row r="4" spans="1:7" ht="15" customHeight="1" x14ac:dyDescent="0.25">
      <c r="A4" s="1"/>
      <c r="B4" s="128"/>
      <c r="C4" s="128"/>
      <c r="D4" s="128"/>
      <c r="E4" s="128"/>
      <c r="F4" s="128"/>
      <c r="G4" s="1"/>
    </row>
    <row r="5" spans="1:7" x14ac:dyDescent="0.25">
      <c r="A5" s="1"/>
      <c r="B5" s="128"/>
      <c r="C5" s="128"/>
      <c r="D5" s="128"/>
      <c r="E5" s="128"/>
      <c r="F5" s="12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91</v>
      </c>
      <c r="C9" s="136"/>
      <c r="D9" s="136"/>
      <c r="E9" s="136"/>
      <c r="F9" s="137"/>
      <c r="G9" s="1"/>
    </row>
    <row r="10" spans="1:7" x14ac:dyDescent="0.25">
      <c r="A10" s="1"/>
      <c r="B10" s="163" t="s">
        <v>224</v>
      </c>
      <c r="C10" s="164"/>
      <c r="D10" s="165"/>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24</v>
      </c>
      <c r="C12" s="130"/>
      <c r="D12" s="131"/>
      <c r="E12" s="9">
        <f>-E10*'Fane 15. Nøgletal'!C31</f>
        <v>0</v>
      </c>
      <c r="F12" s="14" t="s">
        <v>3</v>
      </c>
      <c r="G12" s="1"/>
    </row>
    <row r="13" spans="1:7" x14ac:dyDescent="0.25">
      <c r="A13" s="1"/>
      <c r="B13" s="135" t="s">
        <v>92</v>
      </c>
      <c r="C13" s="136"/>
      <c r="D13" s="137"/>
      <c r="E13" s="12">
        <f>SUM(E10:E12)*(1+'Fane 15. Nøgletal'!C15)^2</f>
        <v>0</v>
      </c>
      <c r="F13" s="13" t="s">
        <v>3</v>
      </c>
      <c r="G13" s="1"/>
    </row>
    <row r="14" spans="1:7" x14ac:dyDescent="0.25">
      <c r="A14" s="1"/>
      <c r="B14" s="1"/>
      <c r="C14" s="1"/>
      <c r="D14" s="1"/>
      <c r="E14" s="1"/>
      <c r="F14" s="1"/>
      <c r="G14" s="1"/>
    </row>
    <row r="15" spans="1:7" ht="15" customHeight="1" x14ac:dyDescent="0.25">
      <c r="A15" s="1"/>
      <c r="B15" s="135" t="s">
        <v>130</v>
      </c>
      <c r="C15" s="136"/>
      <c r="D15" s="136"/>
      <c r="E15" s="136"/>
      <c r="F15" s="137"/>
      <c r="G15" s="1"/>
    </row>
    <row r="16" spans="1:7" x14ac:dyDescent="0.25">
      <c r="A16" s="1"/>
      <c r="B16" s="163" t="s">
        <v>224</v>
      </c>
      <c r="C16" s="164"/>
      <c r="D16" s="165"/>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24</v>
      </c>
      <c r="C18" s="130"/>
      <c r="D18" s="131"/>
      <c r="E18" s="9">
        <f>-E16*'Fane 15. Nøgletal'!C31</f>
        <v>0</v>
      </c>
      <c r="F18" s="14" t="s">
        <v>3</v>
      </c>
      <c r="G18" s="1"/>
    </row>
    <row r="19" spans="1:7" x14ac:dyDescent="0.25">
      <c r="A19" s="1"/>
      <c r="B19" s="135" t="s">
        <v>131</v>
      </c>
      <c r="C19" s="136"/>
      <c r="D19" s="137"/>
      <c r="E19" s="12">
        <f>SUM(E16:E18)*(1+'Fane 15. Nøgletal'!C15)^3</f>
        <v>0</v>
      </c>
      <c r="F19" s="13" t="s">
        <v>3</v>
      </c>
      <c r="G19" s="1"/>
    </row>
    <row r="20" spans="1:7" x14ac:dyDescent="0.25">
      <c r="A20" s="1"/>
      <c r="B20" s="1"/>
      <c r="C20" s="1"/>
      <c r="D20" s="1"/>
      <c r="E20" s="1"/>
      <c r="F20" s="1"/>
      <c r="G20" s="1"/>
    </row>
    <row r="21" spans="1:7" ht="15" customHeight="1" x14ac:dyDescent="0.25">
      <c r="A21" s="1"/>
      <c r="B21" s="135" t="s">
        <v>157</v>
      </c>
      <c r="C21" s="136"/>
      <c r="D21" s="136"/>
      <c r="E21" s="136"/>
      <c r="F21" s="137"/>
      <c r="G21" s="1"/>
    </row>
    <row r="22" spans="1:7" x14ac:dyDescent="0.25">
      <c r="A22" s="1"/>
      <c r="B22" s="163" t="s">
        <v>224</v>
      </c>
      <c r="C22" s="164"/>
      <c r="D22" s="165"/>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24</v>
      </c>
      <c r="C24" s="130"/>
      <c r="D24" s="131"/>
      <c r="E24" s="9">
        <f>-E22*'Fane 15. Nøgletal'!C31</f>
        <v>0</v>
      </c>
      <c r="F24" s="14" t="s">
        <v>3</v>
      </c>
      <c r="G24" s="1"/>
    </row>
    <row r="25" spans="1:7" x14ac:dyDescent="0.25">
      <c r="A25" s="1"/>
      <c r="B25" s="135" t="s">
        <v>158</v>
      </c>
      <c r="C25" s="136"/>
      <c r="D25" s="137"/>
      <c r="E25" s="12">
        <f>SUM(E22:E24)*(1+'Fane 15. Nøgletal'!C15)^4</f>
        <v>0</v>
      </c>
      <c r="F25" s="13" t="s">
        <v>3</v>
      </c>
      <c r="G25" s="1"/>
    </row>
    <row r="26" spans="1:7" x14ac:dyDescent="0.25">
      <c r="A26" s="1"/>
      <c r="B26" s="1"/>
      <c r="C26" s="1"/>
      <c r="D26" s="1"/>
      <c r="E26" s="1"/>
      <c r="F26" s="1"/>
      <c r="G26" s="1"/>
    </row>
    <row r="27" spans="1:7" ht="15" customHeight="1" x14ac:dyDescent="0.25">
      <c r="A27" s="1"/>
      <c r="B27" s="135" t="s">
        <v>214</v>
      </c>
      <c r="C27" s="136"/>
      <c r="D27" s="136"/>
      <c r="E27" s="136"/>
      <c r="F27" s="137"/>
      <c r="G27" s="1"/>
    </row>
    <row r="28" spans="1:7" ht="14.25" customHeight="1" x14ac:dyDescent="0.25">
      <c r="A28" s="1"/>
      <c r="B28" s="163" t="s">
        <v>224</v>
      </c>
      <c r="C28" s="164"/>
      <c r="D28" s="165"/>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24</v>
      </c>
      <c r="C30" s="130"/>
      <c r="D30" s="131"/>
      <c r="E30" s="9">
        <f>-E28*'Fane 15. Nøgletal'!C31</f>
        <v>0</v>
      </c>
      <c r="F30" s="14" t="s">
        <v>3</v>
      </c>
      <c r="G30" s="1"/>
    </row>
    <row r="31" spans="1:7" x14ac:dyDescent="0.25">
      <c r="A31" s="1"/>
      <c r="B31" s="135" t="s">
        <v>215</v>
      </c>
      <c r="C31" s="136"/>
      <c r="D31" s="13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c67SRNt7DoF0ZQOH32/NV7/ueQuzs0uL6g+18V9zvpyEiimAA56BwOirE44dif+xKGzu/pphG3hfcG1XpsiYA==" saltValue="yLbUOv6yTVC+UocOJiX1Q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28515625" style="2" customWidth="1"/>
    <col min="2" max="2" width="41.5703125" style="2" customWidth="1"/>
    <col min="3" max="3" width="15.5703125" style="2" customWidth="1"/>
    <col min="4" max="4" width="3.28515625" style="2" customWidth="1"/>
    <col min="5" max="5" width="17.140625" style="2" customWidth="1"/>
    <col min="6" max="6" width="3.28515625" style="2" customWidth="1"/>
    <col min="7" max="7" width="2.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259</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132</v>
      </c>
      <c r="C8" s="136"/>
      <c r="D8" s="136"/>
      <c r="E8" s="136"/>
      <c r="F8" s="137"/>
      <c r="G8" s="1"/>
    </row>
    <row r="9" spans="1:7" ht="15" customHeight="1" x14ac:dyDescent="0.25">
      <c r="A9" s="1"/>
      <c r="B9" s="30" t="s">
        <v>133</v>
      </c>
      <c r="C9" s="30" t="s">
        <v>11</v>
      </c>
      <c r="D9" s="31"/>
      <c r="E9" s="30" t="s">
        <v>31</v>
      </c>
      <c r="F9" s="31"/>
      <c r="G9" s="1"/>
    </row>
    <row r="10" spans="1:7" x14ac:dyDescent="0.25">
      <c r="A10" s="1"/>
      <c r="B10" s="23" t="s">
        <v>269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GNnOml3ACtq5n52CQPQuLMNYC6UzavbbxcWyEFaRu7HWfYShaFj56Sz1hMA8Mta6+K6s2d11RQjBuH3t/vNPvw==" saltValue="B3RUBwm9cqFk8OU6Jd/Ka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260</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93</v>
      </c>
      <c r="C9" s="136"/>
      <c r="D9" s="136"/>
      <c r="E9" s="136"/>
      <c r="F9" s="13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JEgxjijSRipin72S85lySpQaNkC+edWiTzxELRC9/5R1Zl3fJVJjLhJ3un7I/920PwGH4n5I7fVnzLd+dACAA==" saltValue="yU9UifDIbg1DrICsWQI6B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59420360.156346478</v>
      </c>
      <c r="D9" s="8" t="s">
        <v>3</v>
      </c>
      <c r="E9" s="1"/>
    </row>
    <row r="10" spans="1:5" ht="17.25" customHeight="1" x14ac:dyDescent="0.25">
      <c r="A10" s="1"/>
      <c r="B10" s="83" t="s">
        <v>39</v>
      </c>
      <c r="C10" s="7">
        <f>'Fane 11.1. Varige tillæg'!C15</f>
        <v>763507.49160000007</v>
      </c>
      <c r="D10" s="8" t="s">
        <v>3</v>
      </c>
      <c r="E10" s="1"/>
    </row>
    <row r="11" spans="1:5" ht="17.25" customHeight="1" x14ac:dyDescent="0.25">
      <c r="A11" s="1"/>
      <c r="B11" s="83" t="s">
        <v>40</v>
      </c>
      <c r="C11" s="9">
        <f>'Fane 11.1. Varige tillæg'!E15</f>
        <v>2226098.8344000001</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302517.1737215434</v>
      </c>
      <c r="D16" s="8" t="s">
        <v>3</v>
      </c>
      <c r="E16" s="1"/>
    </row>
    <row r="17" spans="1:5" ht="17.25" customHeight="1" x14ac:dyDescent="0.25">
      <c r="A17" s="1"/>
      <c r="B17" s="83" t="s">
        <v>10</v>
      </c>
      <c r="C17" s="44">
        <f>-SUM(C9,C10:C16)*'Fane 5. Individuelt eff. krav'!G9</f>
        <v>-1164077.265617358</v>
      </c>
      <c r="D17" s="8" t="s">
        <v>3</v>
      </c>
      <c r="E17" s="1"/>
    </row>
    <row r="18" spans="1:5" ht="17.25" customHeight="1" x14ac:dyDescent="0.25">
      <c r="A18" s="1"/>
      <c r="B18" s="83" t="s">
        <v>24</v>
      </c>
      <c r="C18" s="44">
        <f>-'Fane 4.1. Gen. krav - drift'!G45</f>
        <v>-307084.56464614905</v>
      </c>
      <c r="D18" s="8" t="s">
        <v>3</v>
      </c>
      <c r="E18" s="1"/>
    </row>
    <row r="19" spans="1:5" ht="17.25" customHeight="1" x14ac:dyDescent="0.25">
      <c r="A19" s="1"/>
      <c r="B19" s="83" t="s">
        <v>25</v>
      </c>
      <c r="C19" s="44">
        <f>-'Fane 4.2. Gen. krav - anlæg'!G43</f>
        <v>-699971.80816198362</v>
      </c>
      <c r="D19" s="8" t="s">
        <v>3</v>
      </c>
      <c r="E19" s="48"/>
    </row>
    <row r="20" spans="1:5" ht="17.25" customHeight="1" x14ac:dyDescent="0.25">
      <c r="A20" s="1"/>
      <c r="B20" s="89" t="s">
        <v>21</v>
      </c>
      <c r="C20" s="10">
        <f>SUM(C9:C19)</f>
        <v>60541350.017642535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22814135.915847842</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83355485.933490381</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vqDBy0G2slNgsVb2y26jwVhqkRJbQ9X9rXIOc3E4oas0VUJUYgxkjKdmF2u/jz/AfHuwj9I6MotisWu2U78Ftw==" saltValue="juFP8Zqm2poJ7DAnDds3u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8" t="s">
        <v>261</v>
      </c>
      <c r="C3" s="128"/>
      <c r="D3" s="1"/>
    </row>
    <row r="4" spans="1:4" ht="25.5" customHeight="1" x14ac:dyDescent="0.25">
      <c r="A4" s="1"/>
      <c r="B4" s="128"/>
      <c r="C4" s="12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BNuUg2UFshHcFxPAT7Ekg8E3kLDPZ14ewHf2w44UCtAVJbCHFdmUqqN8JOytwlPJrXHqvO7f1X20NSTE5j5q1Q==" saltValue="Aj87cO/YpJPe+zen+zmHy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60541350.017642535</v>
      </c>
      <c r="D9" s="8" t="s">
        <v>3</v>
      </c>
      <c r="E9" s="1"/>
    </row>
    <row r="10" spans="1:5" ht="15" customHeight="1" x14ac:dyDescent="0.25">
      <c r="A10" s="1"/>
      <c r="B10" s="25" t="s">
        <v>19</v>
      </c>
      <c r="C10" s="7">
        <f>SUM(C9:C9)*'Fane 15. Nøgletal'!C15</f>
        <v>2155272.0606280742</v>
      </c>
      <c r="D10" s="8" t="s">
        <v>3</v>
      </c>
      <c r="E10" s="1"/>
    </row>
    <row r="11" spans="1:5" ht="15" customHeight="1" x14ac:dyDescent="0.25">
      <c r="A11" s="1"/>
      <c r="B11" s="25" t="s">
        <v>10</v>
      </c>
      <c r="C11" s="9">
        <f>-SUM(C9:C10)*'Fane 5. Individuelt eff. krav'!G9</f>
        <v>-1163782.8409504599</v>
      </c>
      <c r="D11" s="8" t="s">
        <v>3</v>
      </c>
      <c r="E11" s="1"/>
    </row>
    <row r="12" spans="1:5" ht="15" customHeight="1" x14ac:dyDescent="0.25">
      <c r="A12" s="1"/>
      <c r="B12" s="25" t="s">
        <v>24</v>
      </c>
      <c r="C12" s="9">
        <f>-'Fane 4.1. Gen. krav - drift'!G53</f>
        <v>-311656.43964460096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61221182.79767555</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omk.'!C19+'Fane 6. Ikke-påvirkelige omk.'!C27</f>
        <v>23626319.154452026</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84847501.952127576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1/wjy4eiHE/OdkdtrtLJV+8SWX6TeaWtkFsXxsM+piBaITqiwy4TTh1uKASh80T8TH+kSE4xrU5iEYghOz3wRg==" saltValue="ZO75iskhb07tI5WFteHtf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61221182.79767555</v>
      </c>
      <c r="D9" s="8" t="s">
        <v>3</v>
      </c>
      <c r="E9" s="1"/>
    </row>
    <row r="10" spans="1:5" ht="15" customHeight="1" x14ac:dyDescent="0.25">
      <c r="A10" s="1"/>
      <c r="B10" s="25" t="s">
        <v>19</v>
      </c>
      <c r="C10" s="7">
        <f>SUM(C9:C9)*'Fane 15. Nøgletal'!C15</f>
        <v>2179474.1075972496</v>
      </c>
      <c r="D10" s="8" t="s">
        <v>3</v>
      </c>
      <c r="E10" s="1"/>
    </row>
    <row r="11" spans="1:5" ht="15" customHeight="1" x14ac:dyDescent="0.25">
      <c r="A11" s="1"/>
      <c r="B11" s="25" t="s">
        <v>10</v>
      </c>
      <c r="C11" s="9">
        <f>-SUM(C9:C10)*'Fane 5. Individuelt eff. krav'!G9</f>
        <v>-1176851.2268369244</v>
      </c>
      <c r="D11" s="8" t="s">
        <v>3</v>
      </c>
      <c r="E11" s="1"/>
    </row>
    <row r="12" spans="1:5" ht="15" customHeight="1" x14ac:dyDescent="0.25">
      <c r="A12" s="1"/>
      <c r="B12" s="25" t="s">
        <v>24</v>
      </c>
      <c r="C12" s="9">
        <f>-'Fane 4.1. Gen. krav - drift'!G58</f>
        <v>-316296.3807180298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61907509.297717839</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24467416.11635052</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86374925.414068356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Szzw24vmIxclieDOUx8QDae75CT0xegoMSKw66xWrF5eqz5xD8rLNq3RzlfvDvgsdp6X9ocg4J3FMGN52cP+4w==" saltValue="294igRHU7nN22iMSN2uoR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61907509.297717839</v>
      </c>
      <c r="D9" s="8" t="s">
        <v>3</v>
      </c>
      <c r="E9" s="1"/>
    </row>
    <row r="10" spans="1:5" ht="15" customHeight="1" x14ac:dyDescent="0.25">
      <c r="A10" s="1"/>
      <c r="B10" s="25" t="s">
        <v>19</v>
      </c>
      <c r="C10" s="7">
        <f>SUM(C9:C9)*'Fane 15. Nøgletal'!C15</f>
        <v>2203907.3309987551</v>
      </c>
      <c r="D10" s="8" t="s">
        <v>3</v>
      </c>
      <c r="E10" s="1"/>
    </row>
    <row r="11" spans="1:5" ht="15" customHeight="1" x14ac:dyDescent="0.25">
      <c r="A11" s="1"/>
      <c r="B11" s="25" t="s">
        <v>10</v>
      </c>
      <c r="C11" s="9">
        <f>-SUM(C9:C10)*'Fane 5. Individuelt eff. krav'!G9</f>
        <v>-1190044.4411244493</v>
      </c>
      <c r="D11" s="8" t="s">
        <v>3</v>
      </c>
      <c r="E11" s="1"/>
    </row>
    <row r="12" spans="1:5" ht="15" customHeight="1" x14ac:dyDescent="0.25">
      <c r="A12" s="1"/>
      <c r="B12" s="25" t="s">
        <v>24</v>
      </c>
      <c r="C12" s="9">
        <f>-'Fane 4.1. Gen. krav - drift'!G63</f>
        <v>-321005.40123415983</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62600366.786357991</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25338456.130092598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87938822.91645059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4zRrRCMEnSCrEyb+Kjacr49POEP0rTWd4drkfpUmt7AkwVFAG6Ltuw4pTZwbK774XIFqRUjZ/gyaZssKj8JZCQ==" saltValue="eyNY6UtOfuUjiJM8sjadT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191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25" t="s">
        <v>192</v>
      </c>
      <c r="C9" s="126"/>
      <c r="D9" s="127"/>
      <c r="E9" s="7">
        <v>61365068.353860274</v>
      </c>
      <c r="F9" s="8" t="s">
        <v>3</v>
      </c>
      <c r="G9" s="1"/>
    </row>
    <row r="10" spans="1:7" ht="15" customHeight="1" x14ac:dyDescent="0.25">
      <c r="A10" s="1"/>
      <c r="B10" s="129" t="s">
        <v>39</v>
      </c>
      <c r="C10" s="130"/>
      <c r="D10" s="131"/>
      <c r="E10" s="7">
        <v>0</v>
      </c>
      <c r="F10" s="8" t="s">
        <v>3</v>
      </c>
      <c r="G10" s="1"/>
    </row>
    <row r="11" spans="1:7" ht="15" customHeight="1" x14ac:dyDescent="0.25">
      <c r="A11" s="1"/>
      <c r="B11" s="129" t="s">
        <v>40</v>
      </c>
      <c r="C11" s="130"/>
      <c r="D11" s="131"/>
      <c r="E11" s="9">
        <v>0</v>
      </c>
      <c r="F11" s="8" t="s">
        <v>3</v>
      </c>
      <c r="G11" s="1"/>
    </row>
    <row r="12" spans="1:7" ht="15" customHeight="1" x14ac:dyDescent="0.25">
      <c r="A12" s="1"/>
      <c r="B12" s="129" t="s">
        <v>27</v>
      </c>
      <c r="C12" s="130"/>
      <c r="D12" s="131"/>
      <c r="E12" s="9">
        <v>0</v>
      </c>
      <c r="F12" s="8" t="s">
        <v>3</v>
      </c>
      <c r="G12" s="1"/>
    </row>
    <row r="13" spans="1:7" ht="15" customHeight="1" x14ac:dyDescent="0.25">
      <c r="A13" s="1"/>
      <c r="B13" s="125" t="s">
        <v>26</v>
      </c>
      <c r="C13" s="126"/>
      <c r="D13" s="127"/>
      <c r="E13" s="9">
        <v>0</v>
      </c>
      <c r="F13" s="8" t="s">
        <v>3</v>
      </c>
      <c r="G13" s="1"/>
    </row>
    <row r="14" spans="1:7" ht="15" customHeight="1" x14ac:dyDescent="0.25">
      <c r="A14" s="1"/>
      <c r="B14" s="125" t="s">
        <v>29</v>
      </c>
      <c r="C14" s="126"/>
      <c r="D14" s="127"/>
      <c r="E14" s="9">
        <v>0</v>
      </c>
      <c r="F14" s="8" t="s">
        <v>3</v>
      </c>
      <c r="G14" s="1"/>
    </row>
    <row r="15" spans="1:7" ht="15" customHeight="1" x14ac:dyDescent="0.25">
      <c r="A15" s="1"/>
      <c r="B15" s="125" t="s">
        <v>28</v>
      </c>
      <c r="C15" s="126"/>
      <c r="D15" s="127"/>
      <c r="E15" s="9">
        <v>0</v>
      </c>
      <c r="F15" s="8" t="s">
        <v>3</v>
      </c>
      <c r="G15" s="1"/>
    </row>
    <row r="16" spans="1:7" ht="15" customHeight="1" x14ac:dyDescent="0.25">
      <c r="A16" s="1"/>
      <c r="B16" s="125" t="s">
        <v>19</v>
      </c>
      <c r="C16" s="126"/>
      <c r="D16" s="127"/>
      <c r="E16" s="9">
        <f>SUM(E9:E15)*'Fane 15. Nøgletal'!C14</f>
        <v>202504.7255677389</v>
      </c>
      <c r="F16" s="8" t="s">
        <v>3</v>
      </c>
      <c r="G16" s="1"/>
    </row>
    <row r="17" spans="1:7" ht="15" customHeight="1" x14ac:dyDescent="0.25">
      <c r="A17" s="1"/>
      <c r="B17" s="125" t="s">
        <v>10</v>
      </c>
      <c r="C17" s="126"/>
      <c r="D17" s="127"/>
      <c r="E17" s="9">
        <v>-1142825.2868129348</v>
      </c>
      <c r="F17" s="8" t="s">
        <v>3</v>
      </c>
      <c r="G17" s="1"/>
    </row>
    <row r="18" spans="1:7" ht="15" customHeight="1" x14ac:dyDescent="0.25">
      <c r="A18" s="1"/>
      <c r="B18" s="125" t="s">
        <v>24</v>
      </c>
      <c r="C18" s="126"/>
      <c r="D18" s="127"/>
      <c r="E18" s="9">
        <f>-'Fane 4.1. Gen. krav - drift'!G39</f>
        <v>-296237.51566781645</v>
      </c>
      <c r="F18" s="8" t="s">
        <v>3</v>
      </c>
      <c r="G18" s="1"/>
    </row>
    <row r="19" spans="1:7" ht="15" customHeight="1" x14ac:dyDescent="0.25">
      <c r="A19" s="1"/>
      <c r="B19" s="125" t="s">
        <v>25</v>
      </c>
      <c r="C19" s="126"/>
      <c r="D19" s="127"/>
      <c r="E19" s="9">
        <f>-'Fane 4.2. Gen. krav - anlæg'!G37</f>
        <v>-708150.1206007828</v>
      </c>
      <c r="F19" s="8" t="s">
        <v>3</v>
      </c>
      <c r="G19" s="1"/>
    </row>
    <row r="20" spans="1:7" ht="15" customHeight="1" x14ac:dyDescent="0.25">
      <c r="A20" s="1"/>
      <c r="B20" s="54" t="s">
        <v>21</v>
      </c>
      <c r="C20" s="99"/>
      <c r="D20" s="101"/>
      <c r="E20" s="51">
        <f>SUM(E9:E19)</f>
        <v>59420360.156346478</v>
      </c>
      <c r="F20" s="53" t="s">
        <v>3</v>
      </c>
      <c r="G20" s="1"/>
    </row>
    <row r="21" spans="1:7" ht="15" customHeight="1" x14ac:dyDescent="0.25">
      <c r="A21" s="1"/>
      <c r="B21" s="32" t="s">
        <v>12</v>
      </c>
      <c r="C21" s="27"/>
      <c r="D21" s="27"/>
      <c r="E21" s="27"/>
      <c r="F21" s="19"/>
      <c r="G21" s="1"/>
    </row>
    <row r="22" spans="1:7" ht="15" customHeight="1" x14ac:dyDescent="0.25">
      <c r="A22" s="1"/>
      <c r="B22" s="132" t="s">
        <v>12</v>
      </c>
      <c r="C22" s="133"/>
      <c r="D22" s="134"/>
      <c r="E22" s="10">
        <v>20635328.969098233</v>
      </c>
      <c r="F22" s="11" t="s">
        <v>3</v>
      </c>
      <c r="G22" s="1"/>
    </row>
    <row r="23" spans="1:7" ht="15" customHeight="1" x14ac:dyDescent="0.25">
      <c r="A23" s="1"/>
      <c r="B23" s="135" t="s">
        <v>86</v>
      </c>
      <c r="C23" s="136"/>
      <c r="D23" s="137"/>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9" t="s">
        <v>81</v>
      </c>
      <c r="C26" s="130"/>
      <c r="D26" s="131"/>
      <c r="E26" s="9">
        <v>0</v>
      </c>
      <c r="F26" s="8" t="s">
        <v>3</v>
      </c>
      <c r="G26" s="1"/>
    </row>
    <row r="27" spans="1:7" ht="15" customHeight="1" x14ac:dyDescent="0.25">
      <c r="A27" s="1"/>
      <c r="B27" s="129" t="s">
        <v>82</v>
      </c>
      <c r="C27" s="130"/>
      <c r="D27" s="130"/>
      <c r="E27" s="9">
        <v>0</v>
      </c>
      <c r="F27" s="8" t="s">
        <v>3</v>
      </c>
      <c r="G27" s="1"/>
    </row>
    <row r="28" spans="1:7" ht="15" customHeight="1" x14ac:dyDescent="0.25">
      <c r="A28" s="1"/>
      <c r="B28" s="138" t="s">
        <v>87</v>
      </c>
      <c r="C28" s="139"/>
      <c r="D28" s="139"/>
      <c r="E28" s="39">
        <v>0</v>
      </c>
      <c r="F28" s="11" t="s">
        <v>3</v>
      </c>
      <c r="G28" s="1"/>
    </row>
    <row r="29" spans="1:7" ht="15" customHeight="1" x14ac:dyDescent="0.25">
      <c r="A29" s="1"/>
      <c r="B29" s="32" t="s">
        <v>143</v>
      </c>
      <c r="C29" s="32"/>
      <c r="D29" s="32"/>
      <c r="E29" s="27"/>
      <c r="F29" s="19"/>
      <c r="G29" s="1"/>
    </row>
    <row r="30" spans="1:7" ht="15" customHeight="1" x14ac:dyDescent="0.25">
      <c r="A30" s="1"/>
      <c r="B30" s="132" t="s">
        <v>142</v>
      </c>
      <c r="C30" s="133"/>
      <c r="D30" s="133"/>
      <c r="E30" s="39">
        <v>0</v>
      </c>
      <c r="F30" s="11" t="s">
        <v>3</v>
      </c>
      <c r="G30" s="1"/>
    </row>
    <row r="31" spans="1:7" x14ac:dyDescent="0.25">
      <c r="A31" s="1"/>
      <c r="B31" s="32" t="s">
        <v>123</v>
      </c>
      <c r="C31" s="27"/>
      <c r="D31" s="27"/>
      <c r="E31" s="27"/>
      <c r="F31" s="19"/>
      <c r="G31" s="1"/>
    </row>
    <row r="32" spans="1:7" ht="15.4" customHeight="1" x14ac:dyDescent="0.25">
      <c r="A32" s="1"/>
      <c r="B32" s="132" t="s">
        <v>123</v>
      </c>
      <c r="C32" s="133"/>
      <c r="D32" s="134"/>
      <c r="E32" s="10">
        <v>0</v>
      </c>
      <c r="F32" s="11" t="s">
        <v>3</v>
      </c>
      <c r="G32" s="1"/>
    </row>
    <row r="33" spans="1:7" ht="15.4" customHeight="1" x14ac:dyDescent="0.25">
      <c r="A33" s="1"/>
      <c r="B33" s="135" t="s">
        <v>175</v>
      </c>
      <c r="C33" s="136"/>
      <c r="D33" s="136"/>
      <c r="E33" s="136"/>
      <c r="F33" s="137"/>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80055689.12544471</v>
      </c>
      <c r="F35" s="52" t="s">
        <v>3</v>
      </c>
      <c r="G35" s="1"/>
    </row>
    <row r="36" spans="1:7" ht="27" customHeight="1" x14ac:dyDescent="0.25">
      <c r="A36" s="1"/>
      <c r="B36" s="125" t="s">
        <v>222</v>
      </c>
      <c r="C36" s="126"/>
      <c r="D36" s="126"/>
      <c r="E36" s="126"/>
      <c r="F36" s="12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piw/XXjj1RavdfPgXtay+oVxGmps8TmPWZFWY8A6WKFz3VqWRohSBL0qYS0bThrC/KWMCt5iR0Qono/PxESBow==" saltValue="iUwJQ37NsFACMwttEfr7x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1.5703125" style="2" customWidth="1"/>
    <col min="2" max="5" width="9.140625" style="2"/>
    <col min="6" max="6" width="25.85546875" style="2" customWidth="1"/>
    <col min="7" max="7" width="16.28515625" style="2" customWidth="1"/>
    <col min="8" max="8" width="3.42578125" style="2" customWidth="1"/>
    <col min="9" max="9" width="1.42578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8" t="s">
        <v>109</v>
      </c>
      <c r="C2" s="128"/>
      <c r="D2" s="128"/>
      <c r="E2" s="128"/>
      <c r="F2" s="128"/>
      <c r="G2" s="128"/>
      <c r="H2" s="128"/>
      <c r="I2" s="1"/>
    </row>
    <row r="3" spans="1:9" ht="28.5" customHeight="1" x14ac:dyDescent="0.25">
      <c r="A3" s="1"/>
      <c r="B3" s="128"/>
      <c r="C3" s="128"/>
      <c r="D3" s="128"/>
      <c r="E3" s="128"/>
      <c r="F3" s="128"/>
      <c r="G3" s="128"/>
      <c r="H3" s="128"/>
      <c r="I3" s="1"/>
    </row>
    <row r="4" spans="1:9" x14ac:dyDescent="0.25">
      <c r="A4" s="1"/>
      <c r="B4" s="135" t="s">
        <v>52</v>
      </c>
      <c r="C4" s="136"/>
      <c r="D4" s="136"/>
      <c r="E4" s="136"/>
      <c r="F4" s="136"/>
      <c r="G4" s="136"/>
      <c r="H4" s="137"/>
      <c r="I4" s="1"/>
    </row>
    <row r="5" spans="1:9" x14ac:dyDescent="0.25">
      <c r="A5" s="1"/>
      <c r="B5" s="140" t="s">
        <v>41</v>
      </c>
      <c r="C5" s="141"/>
      <c r="D5" s="141"/>
      <c r="E5" s="141"/>
      <c r="F5" s="142"/>
      <c r="G5" s="76">
        <v>14419082.457373746</v>
      </c>
      <c r="H5" s="14" t="s">
        <v>3</v>
      </c>
      <c r="I5" s="1"/>
    </row>
    <row r="6" spans="1:9" x14ac:dyDescent="0.25">
      <c r="A6" s="1"/>
      <c r="B6" s="125" t="s">
        <v>120</v>
      </c>
      <c r="C6" s="126"/>
      <c r="D6" s="126"/>
      <c r="E6" s="126"/>
      <c r="F6" s="127"/>
      <c r="G6" s="77">
        <v>0</v>
      </c>
      <c r="H6" s="14" t="s">
        <v>3</v>
      </c>
      <c r="I6" s="1"/>
    </row>
    <row r="7" spans="1:9" x14ac:dyDescent="0.25">
      <c r="A7" s="1"/>
      <c r="B7" s="140" t="s">
        <v>42</v>
      </c>
      <c r="C7" s="141"/>
      <c r="D7" s="141"/>
      <c r="E7" s="141"/>
      <c r="F7" s="142"/>
      <c r="G7" s="76">
        <f>SUM(G5:G6)*'Fane 15. Nøgletal'!C31</f>
        <v>288381.64914747491</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5" t="s">
        <v>53</v>
      </c>
      <c r="C10" s="136"/>
      <c r="D10" s="136"/>
      <c r="E10" s="136"/>
      <c r="F10" s="136"/>
      <c r="G10" s="143"/>
      <c r="H10" s="137"/>
      <c r="I10" s="1"/>
    </row>
    <row r="11" spans="1:9" x14ac:dyDescent="0.25">
      <c r="A11" s="1"/>
      <c r="B11" s="140" t="s">
        <v>43</v>
      </c>
      <c r="C11" s="141"/>
      <c r="D11" s="141"/>
      <c r="E11" s="141"/>
      <c r="F11" s="142"/>
      <c r="G11" s="76">
        <f>(G5-G7)*(1+'Fane 15. Nøgletal'!C10)</f>
        <v>14377988.072370231</v>
      </c>
      <c r="H11" s="14" t="s">
        <v>3</v>
      </c>
      <c r="I11" s="1"/>
    </row>
    <row r="12" spans="1:9" ht="15" customHeight="1" x14ac:dyDescent="0.25">
      <c r="A12" s="1"/>
      <c r="B12" s="140" t="s">
        <v>121</v>
      </c>
      <c r="C12" s="141"/>
      <c r="D12" s="141"/>
      <c r="E12" s="141"/>
      <c r="F12" s="142"/>
      <c r="G12" s="77">
        <v>0</v>
      </c>
      <c r="H12" s="14" t="s">
        <v>3</v>
      </c>
      <c r="I12" s="1"/>
    </row>
    <row r="13" spans="1:9" x14ac:dyDescent="0.25">
      <c r="A13" s="1"/>
      <c r="B13" s="125" t="s">
        <v>118</v>
      </c>
      <c r="C13" s="126"/>
      <c r="D13" s="126"/>
      <c r="E13" s="126"/>
      <c r="F13" s="127"/>
      <c r="G13" s="77">
        <v>0</v>
      </c>
      <c r="H13" s="14" t="s">
        <v>3</v>
      </c>
      <c r="I13" s="1"/>
    </row>
    <row r="14" spans="1:9" x14ac:dyDescent="0.25">
      <c r="A14" s="1"/>
      <c r="B14" s="147" t="s">
        <v>44</v>
      </c>
      <c r="C14" s="148"/>
      <c r="D14" s="148"/>
      <c r="E14" s="148"/>
      <c r="F14" s="149"/>
      <c r="G14" s="77">
        <v>0</v>
      </c>
      <c r="H14" s="14" t="s">
        <v>3</v>
      </c>
      <c r="I14" s="1"/>
    </row>
    <row r="15" spans="1:9" x14ac:dyDescent="0.25">
      <c r="A15" s="1"/>
      <c r="B15" s="140" t="s">
        <v>45</v>
      </c>
      <c r="C15" s="141"/>
      <c r="D15" s="141"/>
      <c r="E15" s="141"/>
      <c r="F15" s="142"/>
      <c r="G15" s="76">
        <f>SUM(G11:G14)*'Fane 15. Nøgletal'!C31</f>
        <v>287559.76144740463</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5" t="s">
        <v>54</v>
      </c>
      <c r="C18" s="136"/>
      <c r="D18" s="136"/>
      <c r="E18" s="136"/>
      <c r="F18" s="136"/>
      <c r="G18" s="143"/>
      <c r="H18" s="137"/>
      <c r="I18" s="1"/>
    </row>
    <row r="19" spans="1:9" x14ac:dyDescent="0.25">
      <c r="A19" s="1"/>
      <c r="B19" s="140" t="s">
        <v>46</v>
      </c>
      <c r="C19" s="141"/>
      <c r="D19" s="141"/>
      <c r="E19" s="141"/>
      <c r="F19" s="142"/>
      <c r="G19" s="76">
        <f>(SUM(G11:G12,G14)-(G15))*(1+'Fane 15. Nøgletal'!C10)</f>
        <v>14337010.806363976</v>
      </c>
      <c r="H19" s="14" t="s">
        <v>3</v>
      </c>
      <c r="I19" s="1"/>
    </row>
    <row r="20" spans="1:9" x14ac:dyDescent="0.25">
      <c r="A20" s="1"/>
      <c r="B20" s="147" t="s">
        <v>47</v>
      </c>
      <c r="C20" s="148"/>
      <c r="D20" s="148"/>
      <c r="E20" s="148"/>
      <c r="F20" s="149"/>
      <c r="G20" s="77">
        <v>756078.93235076987</v>
      </c>
      <c r="H20" s="14" t="s">
        <v>3</v>
      </c>
      <c r="I20" s="1"/>
    </row>
    <row r="21" spans="1:9" x14ac:dyDescent="0.25">
      <c r="A21" s="1"/>
      <c r="B21" s="140" t="s">
        <v>48</v>
      </c>
      <c r="C21" s="141"/>
      <c r="D21" s="141"/>
      <c r="E21" s="141"/>
      <c r="F21" s="142"/>
      <c r="G21" s="76">
        <f>SUM(G19:G20)*'Fane 15. Nøgletal'!C31</f>
        <v>301861.79477429489</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5" t="s">
        <v>55</v>
      </c>
      <c r="C24" s="136"/>
      <c r="D24" s="136"/>
      <c r="E24" s="136"/>
      <c r="F24" s="136"/>
      <c r="G24" s="143"/>
      <c r="H24" s="137"/>
      <c r="I24" s="1"/>
    </row>
    <row r="25" spans="1:9" x14ac:dyDescent="0.25">
      <c r="A25" s="1"/>
      <c r="B25" s="140" t="s">
        <v>49</v>
      </c>
      <c r="C25" s="141"/>
      <c r="D25" s="141"/>
      <c r="E25" s="141"/>
      <c r="F25" s="142"/>
      <c r="G25" s="76">
        <f>(G19+G20-G21)*(1+'Fane 15. Nøgletal'!C12)</f>
        <v>15082615.134436077</v>
      </c>
      <c r="H25" s="14" t="s">
        <v>3</v>
      </c>
      <c r="I25" s="1"/>
    </row>
    <row r="26" spans="1:9" x14ac:dyDescent="0.25">
      <c r="A26" s="1"/>
      <c r="B26" s="147" t="s">
        <v>50</v>
      </c>
      <c r="C26" s="148"/>
      <c r="D26" s="148"/>
      <c r="E26" s="148"/>
      <c r="F26" s="149"/>
      <c r="G26" s="77">
        <v>-7706.8582053073096</v>
      </c>
      <c r="H26" s="14" t="s">
        <v>3</v>
      </c>
      <c r="I26" s="1"/>
    </row>
    <row r="27" spans="1:9" x14ac:dyDescent="0.25">
      <c r="A27" s="1"/>
      <c r="B27" s="140" t="s">
        <v>51</v>
      </c>
      <c r="C27" s="141"/>
      <c r="D27" s="141"/>
      <c r="E27" s="141"/>
      <c r="F27" s="142"/>
      <c r="G27" s="76">
        <f>(G25+G26)*'Fane 15. Nøgletal'!C31</f>
        <v>301498.16552461538</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5" t="s">
        <v>58</v>
      </c>
      <c r="C30" s="136"/>
      <c r="D30" s="136"/>
      <c r="E30" s="136"/>
      <c r="F30" s="136"/>
      <c r="G30" s="143"/>
      <c r="H30" s="137"/>
      <c r="I30" s="1"/>
    </row>
    <row r="31" spans="1:9" x14ac:dyDescent="0.25">
      <c r="A31" s="1"/>
      <c r="B31" s="140" t="s">
        <v>59</v>
      </c>
      <c r="C31" s="141"/>
      <c r="D31" s="141"/>
      <c r="E31" s="141"/>
      <c r="F31" s="142"/>
      <c r="G31" s="76">
        <f>(G25+G26-G27)*(1+'Fane 15. Nøgletal'!C12)</f>
        <v>15064446.289887067</v>
      </c>
      <c r="H31" s="14" t="s">
        <v>3</v>
      </c>
      <c r="I31" s="1"/>
    </row>
    <row r="32" spans="1:9" x14ac:dyDescent="0.25">
      <c r="A32" s="1"/>
      <c r="B32" s="140" t="s">
        <v>137</v>
      </c>
      <c r="C32" s="141"/>
      <c r="D32" s="141"/>
      <c r="E32" s="141"/>
      <c r="F32" s="142"/>
      <c r="G32" s="76">
        <v>0</v>
      </c>
      <c r="H32" s="14" t="s">
        <v>3</v>
      </c>
      <c r="I32" s="1"/>
    </row>
    <row r="33" spans="1:9" x14ac:dyDescent="0.25">
      <c r="A33" s="1"/>
      <c r="B33" s="140" t="s">
        <v>60</v>
      </c>
      <c r="C33" s="141"/>
      <c r="D33" s="141"/>
      <c r="E33" s="141"/>
      <c r="F33" s="142"/>
      <c r="G33" s="76">
        <f>(G31+G32)*'Fane 15. Nøgletal'!C31</f>
        <v>301288.92579774134</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5" t="s">
        <v>160</v>
      </c>
      <c r="C36" s="136"/>
      <c r="D36" s="136"/>
      <c r="E36" s="136"/>
      <c r="F36" s="136"/>
      <c r="G36" s="143"/>
      <c r="H36" s="137"/>
      <c r="I36" s="1"/>
    </row>
    <row r="37" spans="1:9" x14ac:dyDescent="0.25">
      <c r="A37" s="1"/>
      <c r="B37" s="140" t="s">
        <v>79</v>
      </c>
      <c r="C37" s="141"/>
      <c r="D37" s="141"/>
      <c r="E37" s="141"/>
      <c r="F37" s="142"/>
      <c r="G37" s="76">
        <f>(G31+G32-G33)*(1+'Fane 15. Nøgletal'!C14)</f>
        <v>14811875.783390822</v>
      </c>
      <c r="H37" s="14" t="s">
        <v>3</v>
      </c>
      <c r="I37" s="1"/>
    </row>
    <row r="38" spans="1:9" x14ac:dyDescent="0.25">
      <c r="A38" s="1"/>
      <c r="B38" s="140" t="s">
        <v>164</v>
      </c>
      <c r="C38" s="141"/>
      <c r="D38" s="141"/>
      <c r="E38" s="141"/>
      <c r="F38" s="142"/>
      <c r="G38" s="76">
        <v>0</v>
      </c>
      <c r="H38" s="14" t="s">
        <v>3</v>
      </c>
      <c r="I38" s="1"/>
    </row>
    <row r="39" spans="1:9" x14ac:dyDescent="0.25">
      <c r="A39" s="1"/>
      <c r="B39" s="140" t="s">
        <v>162</v>
      </c>
      <c r="C39" s="141"/>
      <c r="D39" s="141"/>
      <c r="E39" s="141"/>
      <c r="F39" s="142"/>
      <c r="G39" s="76">
        <f>(G37+G38)*'Fane 15. Nøgletal'!C31</f>
        <v>296237.51566781645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5" t="s">
        <v>161</v>
      </c>
      <c r="C42" s="136"/>
      <c r="D42" s="136"/>
      <c r="E42" s="136"/>
      <c r="F42" s="136"/>
      <c r="G42" s="143"/>
      <c r="H42" s="137"/>
      <c r="I42" s="1"/>
    </row>
    <row r="43" spans="1:9" x14ac:dyDescent="0.25">
      <c r="A43" s="1"/>
      <c r="B43" s="140" t="s">
        <v>228</v>
      </c>
      <c r="C43" s="141"/>
      <c r="D43" s="141"/>
      <c r="E43" s="141"/>
      <c r="F43" s="142"/>
      <c r="G43" s="76">
        <f>(G37+G38-G39)*(1+'Fane 15. Nøgletal'!C14)</f>
        <v>14563539.874006493</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790688.35830096016</v>
      </c>
      <c r="H44" s="14" t="s">
        <v>3</v>
      </c>
      <c r="I44" s="1"/>
    </row>
    <row r="45" spans="1:9" x14ac:dyDescent="0.25">
      <c r="A45" s="1"/>
      <c r="B45" s="140" t="s">
        <v>163</v>
      </c>
      <c r="C45" s="141"/>
      <c r="D45" s="141"/>
      <c r="E45" s="141"/>
      <c r="F45" s="142"/>
      <c r="G45" s="76">
        <f>SUM(G43:G44)*'Fane 15. Nøgletal'!C31</f>
        <v>307084.56464614905</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5" t="s">
        <v>241</v>
      </c>
      <c r="C51" s="136"/>
      <c r="D51" s="136"/>
      <c r="E51" s="136"/>
      <c r="F51" s="136"/>
      <c r="G51" s="143"/>
      <c r="H51" s="137"/>
      <c r="I51" s="1"/>
    </row>
    <row r="52" spans="1:9" x14ac:dyDescent="0.25">
      <c r="A52" s="1"/>
      <c r="B52" s="140" t="s">
        <v>227</v>
      </c>
      <c r="C52" s="141"/>
      <c r="D52" s="141"/>
      <c r="E52" s="141"/>
      <c r="F52" s="142"/>
      <c r="G52" s="76">
        <f>(G43+G44-G45)*(1+'Fane 15. Nøgletal'!C15)</f>
        <v>15582821.982230047</v>
      </c>
      <c r="H52" s="14" t="s">
        <v>3</v>
      </c>
      <c r="I52" s="1"/>
    </row>
    <row r="53" spans="1:9" x14ac:dyDescent="0.25">
      <c r="A53" s="1"/>
      <c r="B53" s="140" t="s">
        <v>138</v>
      </c>
      <c r="C53" s="141"/>
      <c r="D53" s="141"/>
      <c r="E53" s="141"/>
      <c r="F53" s="142"/>
      <c r="G53" s="76">
        <f>(G52)*'Fane 15. Nøgletal'!C31</f>
        <v>311656.43964460096</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5" t="s">
        <v>150</v>
      </c>
      <c r="C56" s="136"/>
      <c r="D56" s="136"/>
      <c r="E56" s="136"/>
      <c r="F56" s="136"/>
      <c r="G56" s="143"/>
      <c r="H56" s="137"/>
      <c r="I56" s="1"/>
    </row>
    <row r="57" spans="1:9" x14ac:dyDescent="0.25">
      <c r="A57" s="1"/>
      <c r="B57" s="91" t="s">
        <v>151</v>
      </c>
      <c r="C57" s="92"/>
      <c r="D57" s="92"/>
      <c r="E57" s="92"/>
      <c r="F57" s="93"/>
      <c r="G57" s="76">
        <f>(G52-G53)*(1+'Fane 15. Nøgletal'!C15)</f>
        <v>15814819.035901489</v>
      </c>
      <c r="H57" s="14" t="s">
        <v>3</v>
      </c>
      <c r="I57" s="1"/>
    </row>
    <row r="58" spans="1:9" x14ac:dyDescent="0.25">
      <c r="A58" s="1"/>
      <c r="B58" s="91" t="s">
        <v>152</v>
      </c>
      <c r="C58" s="92"/>
      <c r="D58" s="92"/>
      <c r="E58" s="92"/>
      <c r="F58" s="93"/>
      <c r="G58" s="76">
        <f>(G57)*'Fane 15. Nøgletal'!C31</f>
        <v>316296.3807180298</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5" t="s">
        <v>193</v>
      </c>
      <c r="C61" s="136"/>
      <c r="D61" s="136"/>
      <c r="E61" s="136"/>
      <c r="F61" s="136"/>
      <c r="G61" s="143"/>
      <c r="H61" s="137"/>
      <c r="I61" s="1"/>
    </row>
    <row r="62" spans="1:9" x14ac:dyDescent="0.25">
      <c r="A62" s="1"/>
      <c r="B62" s="91" t="s">
        <v>194</v>
      </c>
      <c r="C62" s="92"/>
      <c r="D62" s="92"/>
      <c r="E62" s="92"/>
      <c r="F62" s="93"/>
      <c r="G62" s="76">
        <f>(G57-G58)*(1+'Fane 15. Nøgletal'!C15)</f>
        <v>16050270.06170799</v>
      </c>
      <c r="H62" s="14" t="s">
        <v>3</v>
      </c>
      <c r="I62" s="1"/>
    </row>
    <row r="63" spans="1:9" x14ac:dyDescent="0.25">
      <c r="A63" s="1"/>
      <c r="B63" s="91" t="s">
        <v>195</v>
      </c>
      <c r="C63" s="92"/>
      <c r="D63" s="92"/>
      <c r="E63" s="92"/>
      <c r="F63" s="93"/>
      <c r="G63" s="76">
        <f>(G62)*'Fane 15. Nøgletal'!C31</f>
        <v>321005.40123415983</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BzoomiSWYbSXHdqEjyfDpg3uDgijpiHEAfqtem28UKXYAqIGXbId/KpDnKVmUAUssAnMS3PGH3R9/zs9LCqP+g==" saltValue="Rb86zMYtXdVIXQ8lRze1XA=="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5703125" style="2" customWidth="1"/>
    <col min="2" max="5" width="9.140625" style="2"/>
    <col min="6" max="6" width="28.28515625" style="2" customWidth="1"/>
    <col min="7" max="7" width="14.140625" style="2" customWidth="1"/>
    <col min="8" max="8" width="3.28515625" style="2" customWidth="1"/>
    <col min="9" max="9" width="1.8554687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5" t="s">
        <v>56</v>
      </c>
      <c r="C4" s="136"/>
      <c r="D4" s="136"/>
      <c r="E4" s="136"/>
      <c r="F4" s="136"/>
      <c r="G4" s="136"/>
      <c r="H4" s="137"/>
      <c r="I4" s="1"/>
    </row>
    <row r="5" spans="1:9" x14ac:dyDescent="0.25">
      <c r="A5" s="1"/>
      <c r="B5" s="140" t="s">
        <v>61</v>
      </c>
      <c r="C5" s="141"/>
      <c r="D5" s="141"/>
      <c r="E5" s="141"/>
      <c r="F5" s="142"/>
      <c r="G5" s="76">
        <v>48245693.613575146</v>
      </c>
      <c r="H5" s="14" t="s">
        <v>3</v>
      </c>
      <c r="I5" s="1"/>
    </row>
    <row r="6" spans="1:9" x14ac:dyDescent="0.25">
      <c r="A6" s="1"/>
      <c r="B6" s="140" t="s">
        <v>57</v>
      </c>
      <c r="C6" s="141"/>
      <c r="D6" s="141"/>
      <c r="E6" s="141"/>
      <c r="F6" s="142"/>
      <c r="G6" s="76">
        <f>G5*'Fane 15. Nøgletal'!C20</f>
        <v>439035.81188353384</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5" t="s">
        <v>62</v>
      </c>
      <c r="C9" s="136"/>
      <c r="D9" s="136"/>
      <c r="E9" s="136"/>
      <c r="F9" s="136"/>
      <c r="G9" s="143"/>
      <c r="H9" s="137"/>
      <c r="I9" s="1"/>
    </row>
    <row r="10" spans="1:9" x14ac:dyDescent="0.25">
      <c r="A10" s="1"/>
      <c r="B10" s="140" t="s">
        <v>63</v>
      </c>
      <c r="C10" s="141"/>
      <c r="D10" s="141"/>
      <c r="E10" s="141"/>
      <c r="F10" s="142"/>
      <c r="G10" s="76">
        <f>(G5-G6)*(1+'Fane 15. Nøgletal'!C10)</f>
        <v>48643274.313221224</v>
      </c>
      <c r="H10" s="14" t="s">
        <v>3</v>
      </c>
      <c r="I10" s="1"/>
    </row>
    <row r="11" spans="1:9" x14ac:dyDescent="0.25">
      <c r="A11" s="1"/>
      <c r="B11" s="140" t="s">
        <v>122</v>
      </c>
      <c r="C11" s="141"/>
      <c r="D11" s="141"/>
      <c r="E11" s="141"/>
      <c r="F11" s="142"/>
      <c r="G11" s="76">
        <v>152301.04340513801</v>
      </c>
      <c r="H11" s="14" t="s">
        <v>3</v>
      </c>
      <c r="I11" s="1"/>
    </row>
    <row r="12" spans="1:9" x14ac:dyDescent="0.25">
      <c r="A12" s="1"/>
      <c r="B12" s="147" t="s">
        <v>64</v>
      </c>
      <c r="C12" s="148"/>
      <c r="D12" s="148"/>
      <c r="E12" s="148"/>
      <c r="F12" s="149"/>
      <c r="G12" s="77">
        <v>0</v>
      </c>
      <c r="H12" s="14" t="s">
        <v>3</v>
      </c>
      <c r="I12" s="1"/>
    </row>
    <row r="13" spans="1:9" x14ac:dyDescent="0.25">
      <c r="A13" s="1"/>
      <c r="B13" s="140" t="s">
        <v>65</v>
      </c>
      <c r="C13" s="141"/>
      <c r="D13" s="141"/>
      <c r="E13" s="141"/>
      <c r="F13" s="142"/>
      <c r="G13" s="76">
        <f>SUM(G10:G12)*'Fane 15. Nøgletal'!C21</f>
        <v>863681.68381228659</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5" t="s">
        <v>66</v>
      </c>
      <c r="C16" s="136"/>
      <c r="D16" s="136"/>
      <c r="E16" s="136"/>
      <c r="F16" s="136"/>
      <c r="G16" s="143"/>
      <c r="H16" s="137"/>
      <c r="I16" s="1"/>
    </row>
    <row r="17" spans="1:9" x14ac:dyDescent="0.25">
      <c r="A17" s="1"/>
      <c r="B17" s="140" t="s">
        <v>67</v>
      </c>
      <c r="C17" s="141"/>
      <c r="D17" s="141"/>
      <c r="E17" s="141"/>
      <c r="F17" s="142"/>
      <c r="G17" s="76">
        <f>(SUM(G10:G12)-G13)*(1+'Fane 15. Nøgletal'!C10)</f>
        <v>48770701.812088326</v>
      </c>
      <c r="H17" s="14" t="s">
        <v>3</v>
      </c>
      <c r="I17" s="1"/>
    </row>
    <row r="18" spans="1:9" x14ac:dyDescent="0.25">
      <c r="A18" s="1"/>
      <c r="B18" s="147" t="s">
        <v>68</v>
      </c>
      <c r="C18" s="148"/>
      <c r="D18" s="148"/>
      <c r="E18" s="148"/>
      <c r="F18" s="149"/>
      <c r="G18" s="76">
        <v>282660.06289422995</v>
      </c>
      <c r="H18" s="14" t="s">
        <v>3</v>
      </c>
      <c r="I18" s="1"/>
    </row>
    <row r="19" spans="1:9" x14ac:dyDescent="0.25">
      <c r="A19" s="1"/>
      <c r="B19" s="140" t="s">
        <v>69</v>
      </c>
      <c r="C19" s="141"/>
      <c r="D19" s="141"/>
      <c r="E19" s="141"/>
      <c r="F19" s="142"/>
      <c r="G19" s="76">
        <f>G17*'Fane 15. Nøgletal'!C21+G18*'Fane 15. Nøgletal'!C22</f>
        <v>865700.56462114316</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5" t="s">
        <v>70</v>
      </c>
      <c r="C22" s="136"/>
      <c r="D22" s="136"/>
      <c r="E22" s="136"/>
      <c r="F22" s="136"/>
      <c r="G22" s="143"/>
      <c r="H22" s="137"/>
      <c r="I22" s="1"/>
    </row>
    <row r="23" spans="1:9" x14ac:dyDescent="0.25">
      <c r="A23" s="1"/>
      <c r="B23" s="140" t="s">
        <v>71</v>
      </c>
      <c r="C23" s="141"/>
      <c r="D23" s="141"/>
      <c r="E23" s="141"/>
      <c r="F23" s="142"/>
      <c r="G23" s="76">
        <f>(G17+G18-G19)*(1+'Fane 15. Nøgletal'!C12)</f>
        <v>49136958.238175541</v>
      </c>
      <c r="H23" s="14" t="s">
        <v>3</v>
      </c>
      <c r="I23" s="1"/>
    </row>
    <row r="24" spans="1:9" x14ac:dyDescent="0.25">
      <c r="A24" s="1"/>
      <c r="B24" s="147" t="s">
        <v>72</v>
      </c>
      <c r="C24" s="148"/>
      <c r="D24" s="148"/>
      <c r="E24" s="148"/>
      <c r="F24" s="149"/>
      <c r="G24" s="76">
        <v>406392.33982778009</v>
      </c>
      <c r="H24" s="14" t="s">
        <v>3</v>
      </c>
      <c r="I24" s="1"/>
    </row>
    <row r="25" spans="1:9" x14ac:dyDescent="0.25">
      <c r="A25" s="1"/>
      <c r="B25" s="140" t="s">
        <v>73</v>
      </c>
      <c r="C25" s="141"/>
      <c r="D25" s="141"/>
      <c r="E25" s="141"/>
      <c r="F25" s="142"/>
      <c r="G25" s="76">
        <f>(G23+G24)*'Fane 15. Nøgletal'!C23</f>
        <v>1407031.1564152944</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5" t="s">
        <v>74</v>
      </c>
      <c r="C28" s="136"/>
      <c r="D28" s="136"/>
      <c r="E28" s="136"/>
      <c r="F28" s="136"/>
      <c r="G28" s="143"/>
      <c r="H28" s="137"/>
      <c r="I28" s="1"/>
    </row>
    <row r="29" spans="1:9" x14ac:dyDescent="0.25">
      <c r="A29" s="1"/>
      <c r="B29" s="140" t="s">
        <v>75</v>
      </c>
      <c r="C29" s="141"/>
      <c r="D29" s="141"/>
      <c r="E29" s="141"/>
      <c r="F29" s="142"/>
      <c r="G29" s="76">
        <f>(G23+G24-G25)*(1+'Fane 15. Nøgletal'!C12)</f>
        <v>49084604.914193317</v>
      </c>
      <c r="H29" s="14" t="s">
        <v>3</v>
      </c>
      <c r="I29" s="1"/>
    </row>
    <row r="30" spans="1:9" x14ac:dyDescent="0.25">
      <c r="A30" s="1"/>
      <c r="B30" s="140" t="s">
        <v>139</v>
      </c>
      <c r="C30" s="141"/>
      <c r="D30" s="141"/>
      <c r="E30" s="141"/>
      <c r="F30" s="142"/>
      <c r="G30" s="76">
        <v>0</v>
      </c>
      <c r="H30" s="14" t="s">
        <v>3</v>
      </c>
      <c r="I30" s="1"/>
    </row>
    <row r="31" spans="1:9" x14ac:dyDescent="0.25">
      <c r="A31" s="1"/>
      <c r="B31" s="140" t="s">
        <v>76</v>
      </c>
      <c r="C31" s="141"/>
      <c r="D31" s="141"/>
      <c r="E31" s="141"/>
      <c r="F31" s="142"/>
      <c r="G31" s="76">
        <f>G29*'Fane 15. Nøgletal'!C23+G30*'Fane 15. Nøgletal'!C24</f>
        <v>1394002.7795630903</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5" t="s">
        <v>165</v>
      </c>
      <c r="C34" s="136"/>
      <c r="D34" s="136"/>
      <c r="E34" s="136"/>
      <c r="F34" s="136"/>
      <c r="G34" s="143"/>
      <c r="H34" s="137"/>
      <c r="I34" s="1"/>
    </row>
    <row r="35" spans="1:9" x14ac:dyDescent="0.25">
      <c r="A35" s="1"/>
      <c r="B35" s="140" t="s">
        <v>78</v>
      </c>
      <c r="C35" s="141"/>
      <c r="D35" s="141"/>
      <c r="E35" s="141"/>
      <c r="F35" s="142"/>
      <c r="G35" s="76">
        <f>(G29+G30-G31)*(1+'Fane 15. Nøgletal'!C14)</f>
        <v>47847981.121674508</v>
      </c>
      <c r="H35" s="14" t="s">
        <v>3</v>
      </c>
      <c r="I35" s="1"/>
    </row>
    <row r="36" spans="1:9" x14ac:dyDescent="0.25">
      <c r="A36" s="1"/>
      <c r="B36" s="140" t="s">
        <v>167</v>
      </c>
      <c r="C36" s="141"/>
      <c r="D36" s="141"/>
      <c r="E36" s="141"/>
      <c r="F36" s="142"/>
      <c r="G36" s="76">
        <v>0</v>
      </c>
      <c r="H36" s="14" t="s">
        <v>3</v>
      </c>
      <c r="I36" s="1"/>
    </row>
    <row r="37" spans="1:9" x14ac:dyDescent="0.25">
      <c r="A37" s="1"/>
      <c r="B37" s="140" t="s">
        <v>166</v>
      </c>
      <c r="C37" s="141"/>
      <c r="D37" s="141"/>
      <c r="E37" s="141"/>
      <c r="F37" s="142"/>
      <c r="G37" s="76">
        <f>(G35+G36)*'Fane 15. Nøgletal'!C25</f>
        <v>708150.1206007828</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5" t="s">
        <v>221</v>
      </c>
      <c r="C40" s="136"/>
      <c r="D40" s="136"/>
      <c r="E40" s="136"/>
      <c r="F40" s="136"/>
      <c r="G40" s="143"/>
      <c r="H40" s="137"/>
      <c r="I40" s="1"/>
    </row>
    <row r="41" spans="1:9" x14ac:dyDescent="0.25">
      <c r="A41" s="1"/>
      <c r="B41" s="140" t="s">
        <v>77</v>
      </c>
      <c r="C41" s="141"/>
      <c r="D41" s="141"/>
      <c r="E41" s="141"/>
      <c r="F41" s="142"/>
      <c r="G41" s="76">
        <f>(G35+G36-G37)*(1+'Fane 15. Nøgletal'!C14)</f>
        <v>47295392.443377271</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2305347.9529046402</v>
      </c>
      <c r="H42" s="14" t="s">
        <v>3</v>
      </c>
      <c r="I42" s="1"/>
    </row>
    <row r="43" spans="1:9" x14ac:dyDescent="0.25">
      <c r="A43" s="1"/>
      <c r="B43" s="140" t="s">
        <v>168</v>
      </c>
      <c r="C43" s="141"/>
      <c r="D43" s="141"/>
      <c r="E43" s="141"/>
      <c r="F43" s="142"/>
      <c r="G43" s="76">
        <f>(G41)*'Fane 15. Nøgletal'!C25+G42*'Fane 15. Nøgletal'!C26</f>
        <v>699971.80816198362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5" t="s">
        <v>242</v>
      </c>
      <c r="C52" s="136"/>
      <c r="D52" s="136"/>
      <c r="E52" s="136"/>
      <c r="F52" s="136"/>
      <c r="G52" s="143"/>
      <c r="H52" s="137"/>
      <c r="I52" s="1"/>
    </row>
    <row r="53" spans="1:9" x14ac:dyDescent="0.25">
      <c r="A53" s="1"/>
      <c r="B53" s="140" t="s">
        <v>140</v>
      </c>
      <c r="C53" s="141"/>
      <c r="D53" s="141"/>
      <c r="E53" s="141"/>
      <c r="F53" s="142"/>
      <c r="G53" s="76">
        <f>(G41+G42-G43)*(1+'Fane 15. Nøgletal'!C15)</f>
        <v>50641635.949857004</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5" t="s">
        <v>153</v>
      </c>
      <c r="C57" s="136"/>
      <c r="D57" s="136"/>
      <c r="E57" s="136"/>
      <c r="F57" s="136"/>
      <c r="G57" s="143"/>
      <c r="H57" s="137"/>
      <c r="I57" s="1"/>
    </row>
    <row r="58" spans="1:9" x14ac:dyDescent="0.25">
      <c r="A58" s="1"/>
      <c r="B58" s="140" t="s">
        <v>173</v>
      </c>
      <c r="C58" s="141"/>
      <c r="D58" s="141"/>
      <c r="E58" s="141"/>
      <c r="F58" s="142"/>
      <c r="G58" s="76">
        <f>(G53-G54)*(1+'Fane 15. Nøgletal'!C15)</f>
        <v>52444478.189671919</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5" t="s">
        <v>196</v>
      </c>
      <c r="C62" s="136"/>
      <c r="D62" s="136"/>
      <c r="E62" s="136"/>
      <c r="F62" s="136"/>
      <c r="G62" s="143"/>
      <c r="H62" s="137"/>
      <c r="I62" s="1"/>
    </row>
    <row r="63" spans="1:9" x14ac:dyDescent="0.25">
      <c r="A63" s="1"/>
      <c r="B63" s="140" t="s">
        <v>197</v>
      </c>
      <c r="C63" s="141"/>
      <c r="D63" s="141"/>
      <c r="E63" s="141"/>
      <c r="F63" s="142"/>
      <c r="G63" s="76">
        <f>(G58-G59)*(1+'Fane 15. Nøgletal'!C15)</f>
        <v>54311501.613224246</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7SmHOLhMBKjqCIx7lHwtjPHFkSwrgfdGqgELL7BMnX6bBZWYWQa+l39pELsRmR7PSbTDZmAfvshYqWM0O51AeQ==" saltValue="WDqzLQs0s79bXHVSfcEAYw=="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0" t="s">
        <v>154</v>
      </c>
      <c r="C9" s="141"/>
      <c r="D9" s="141"/>
      <c r="E9" s="141"/>
      <c r="F9" s="142"/>
      <c r="G9" s="35">
        <v>1.8562129862396585E-2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vXvTh/P7SkFoR/DKmQ4zrSirrCwE/LilvSXKwFQvdA4JGH3aroJC+Dx4ZXRDrkEVPdns6XOmXwe0+LuGnXbhfw==" saltValue="B0EoNzv+v7PROEuLisRnS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2022-12-01T08:53:56Z</dcterms:modified>
</cp:coreProperties>
</file>