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axe Vandforsyning AS (V04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E38" i="39"/>
  <c r="C20" i="23" s="1"/>
  <c r="E14" i="39"/>
  <c r="C27" i="2" s="1"/>
  <c r="E22" i="39"/>
  <c r="C21" i="15" s="1"/>
  <c r="C19" i="23"/>
  <c r="C19" i="22"/>
  <c r="C20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<sst xmlns="http://schemas.openxmlformats.org/spreadsheetml/2006/main" count="618" uniqueCount="253">
  <si>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</si>
  <si>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</si>
  <si>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</si>
  <si>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</si>
  <si>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</si>
  <si>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</si>
  <si>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</si>
  <si>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</si>
  <si>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</si>
  <si>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</si>
  <si>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</si>
  <si>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</si>
  <si>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</si>
  <si>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</si>
  <si>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</si>
  <si>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</si>
  <si>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</si>
  <si>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</si>
  <si>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</si>
  <si>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</si>
  <si>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</si>
  <si>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</si>
  <si>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</si>
  <si>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</si>
  <si>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</si>
  <si>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</si>
  <si>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</si>
  <si>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</si>
  <si>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</si>
  <si>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</si>
  <si>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</si>
  <si>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</si>
  <si>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</si>
  <si>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</si>
  <si>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</si>
  <si>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</si>
  <si>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</si>
  <si>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</si>
  <si>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</si>
  <si>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</si>
  <si>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</si>
  <si>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</si>
  <si>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</si>
  <si>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</si>
  <si>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</si>
  <si>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</si>
  <si>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</si>
  <si>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</si>
  <si>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</si>
  <si>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</si>
  <si>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</si>
  <si>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</si>
  <si>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</si>
  <si>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</si>
  <si>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</si>
  <si>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</si>
  <si>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</si>
  <si>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</si>
  <si>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</si>
  <si>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</si>
  <si>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</si>
  <si>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</si>
  <si>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</si>
  <si>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</si>
  <si>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</si>
  <si>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</si>
  <si>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</si>
  <si>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</si>
  <si>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</si>
  <si>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</si>
  <si>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</si>
  <si>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</si>
  <si>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</si>
  <si>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</si>
  <si>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</si>
  <si>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</si>
  <si>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</si>
  <si>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</si>
  <si>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</si>
  <si>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</si>
  <si>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</si>
  <si>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</si>
  <si>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</si>
  <si>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</si>
  <si>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</si>
  <si>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</si>
  <si>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</si>
  <si>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</si>
  <si>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</si>
  <si>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</si>
  <si>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</si>
  <si>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</si>
  <si>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</si>
  <si>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</si>
  <si>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</si>
  <si>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</si>
  <si>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</si>
  <si>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</si>
  <si>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</si>
  <si>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</si>
  <si>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</si>
  <si>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</si>
  <si>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</si>
  <si>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</si>
  <si>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</si>
  <si>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</si>
  <si>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</si>
  <si>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</si>
  <si>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</si>
  <si>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</si>
  <si>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</si>
  <si>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</si>
  <si>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</si>
  <si>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</si>
  <si>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</si>
  <si>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</si>
  <si>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</si>
  <si>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</si>
  <si>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</si>
  <si>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</si>
  <si>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</si>
  <si>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</si>
  <si>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</si>
  <si>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</si>
  <si>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</si>
  <si>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</si>
  <si>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</si>
  <si>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</si>
  <si>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</si>
  <si>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</si>
  <si>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</si>
  <si>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</si>
  <si>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</si>
  <si>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</si>
  <si>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</si>
  <si>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</si>
  <si>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</si>
  <si>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</si>
  <si>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</si>
  <si>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</si>
  <si>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</si>
  <si>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</si>
  <si>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</si>
  <si>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</si>
  <si>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</si>
  <si>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</si>
  <si>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</si>
  <si>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</si>
  <si>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</si>
  <si>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</si>
  <si>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</si>
  <si>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</si>
  <si>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</si>
  <si>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</si>
  <si>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</si>
  <si>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</si>
  <si>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</si>
  <si>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</si>
  <si>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</si>
  <si>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</si>
  <si>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</si>
  <si>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</si>
  <si>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</si>
  <si>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</si>
  <si>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</si>
  <si>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</si>
  <si>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</si>
  <si>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</si>
  <si>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</si>
  <si>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</si>
  <si>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</si>
  <si>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</si>
  <si>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</si>
  <si>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</si>
  <si>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</si>
  <si>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</si>
  <si>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</si>
  <si>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</si>
  <si>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</si>
  <si>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</si>
  <si>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</si>
  <si>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</si>
  <si>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</si>
  <si>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</si>
  <si>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</si>
  <si>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</si>
  <si>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</si>
  <si>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</si>
  <si>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</si>
  <si>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</si>
  <si>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</si>
  <si>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</si>
  <si>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</si>
  <si>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</si>
  <si>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</si>
  <si>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</si>
  <si>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</si>
  <si>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</si>
  <si>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</si>
  <si>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</si>
  <si>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</si>
  <si>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</si>
  <si>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</si>
  <si>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</si>
  <si>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</si>
  <si>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</si>
  <si>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</si>
  <si>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</si>
  <si>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</si>
  <si>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</si>
  <si>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</si>
  <si>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</si>
  <si>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</si>
  <si>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</si>
  <si>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</si>
  <si>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</si>
  <si>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</si>
  <si>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</si>
  <si>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</si>
  <si>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</si>
  <si>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</si>
  <si>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</si>
  <si>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</si>
  <si>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</si>
  <si>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</si>
  <si>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</si>
  <si>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</si>
  <si>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</si>
  <si>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Udvidelse af forsyningsområde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</si>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</sst>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180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181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182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183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Byg8q1e0S0/WOg+AMjjmJzSPrI7iSKVfFxsDa4Cvb677sXLCSVrdgOzohq9w7fd9H/+eJs5T3ZplNjfdF0isQ==" saltValue="zCvoLZH4g0wuMsHtKPhkmQ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203</v>
      </c>
      <c r="C8" s="113"/>
      <c r="D8" s="114"/>
      <c r="E8" s="1"/>
      <c r="F8" s="1"/>
    </row>
    <row r="9" spans="1:6" ht="15" customHeight="1" x14ac:dyDescent="0.25">
      <c r="A9" s="1"/>
      <c r="B9" s="51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6" t="s">
        <v>230</v>
      </c>
      <c r="C10" s="9">
        <v>11236285</v>
      </c>
      <c r="D10" s="14" t="s">
        <v>3</v>
      </c>
      <c r="E10" s="1"/>
      <c r="F10" s="1"/>
    </row>
    <row r="11" spans="1:6" x14ac:dyDescent="0.25">
      <c r="A11" s="1"/>
      <c r="B11" s="66" t="s">
        <v>231</v>
      </c>
      <c r="C11" s="9">
        <v>72674</v>
      </c>
      <c r="D11" s="14" t="s">
        <v>3</v>
      </c>
      <c r="E11" s="1"/>
      <c r="F11" s="1"/>
    </row>
    <row r="12" spans="1:6" x14ac:dyDescent="0.25">
      <c r="A12" s="1"/>
      <c r="B12" s="66" t="s">
        <v>232</v>
      </c>
      <c r="C12" s="9">
        <v>38268</v>
      </c>
      <c r="D12" s="14" t="s">
        <v>3</v>
      </c>
      <c r="E12" s="1"/>
      <c r="F12" s="1"/>
    </row>
    <row r="13" spans="1:6" x14ac:dyDescent="0.25">
      <c r="A13" s="1"/>
      <c r="B13" s="54" t="s">
        <v>205</v>
      </c>
      <c r="C13" s="12">
        <f>SUM(C10:C12)</f>
        <v>11347227</v>
      </c>
      <c r="D13" s="13" t="s">
        <v>3</v>
      </c>
      <c r="E13" s="1"/>
      <c r="F13" s="1"/>
    </row>
    <row r="14" spans="1:6" x14ac:dyDescent="0.25">
      <c r="A14" s="1"/>
      <c r="B14" s="54" t="s">
        <v>206</v>
      </c>
      <c r="C14" s="12">
        <f>C13*(1+'Fane 12. Nøgletal'!C14)^2</f>
        <v>11422242.269502033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Cf50+sNX8gnyOSka9DfEOAZnTIsxJwWmIYRjpjBjIH3tCezPGpQqIm0f1lnAUm9d7D70Z4rXIEqJVUzhvfZ2zw==" saltValue="TE3enVZC2Rzu0ex0Y9Oyp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221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234</v>
      </c>
      <c r="C8" s="113"/>
      <c r="D8" s="113"/>
      <c r="E8" s="113"/>
      <c r="F8" s="114"/>
      <c r="G8" s="1"/>
    </row>
    <row r="9" spans="1:7" x14ac:dyDescent="0.25">
      <c r="A9" s="1"/>
      <c r="B9" s="115" t="s">
        <v>235</v>
      </c>
      <c r="C9" s="116"/>
      <c r="D9" s="117"/>
      <c r="E9" s="9">
        <v>63908.566852279007</v>
      </c>
      <c r="F9" s="14" t="s">
        <v>3</v>
      </c>
      <c r="G9" s="1"/>
    </row>
    <row r="10" spans="1:7" x14ac:dyDescent="0.25">
      <c r="A10" s="1"/>
      <c r="B10" s="115" t="s">
        <v>236</v>
      </c>
      <c r="C10" s="116"/>
      <c r="D10" s="117"/>
      <c r="E10" s="9">
        <v>-1812148.0164764002</v>
      </c>
      <c r="F10" s="14" t="s">
        <v>3</v>
      </c>
      <c r="G10" s="1"/>
    </row>
    <row r="11" spans="1:7" x14ac:dyDescent="0.25">
      <c r="A11" s="1"/>
      <c r="B11" s="115" t="s">
        <v>237</v>
      </c>
      <c r="C11" s="116"/>
      <c r="D11" s="117"/>
      <c r="E11" s="9">
        <v>-569610.02292802557</v>
      </c>
      <c r="F11" s="14" t="s">
        <v>3</v>
      </c>
      <c r="G11" s="1"/>
    </row>
    <row r="12" spans="1:7" x14ac:dyDescent="0.25">
      <c r="A12" s="1"/>
      <c r="B12" s="115" t="s">
        <v>238</v>
      </c>
      <c r="C12" s="116"/>
      <c r="D12" s="117"/>
      <c r="E12" s="9">
        <f>IF(OR(AND(E10&gt;0,E11&lt;0),AND(E11&lt;0,E34&gt;0)),E17+E18,E11)</f>
        <v>-569610.02292802557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101" t="s">
        <v>239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240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241</v>
      </c>
      <c r="C17" s="116"/>
      <c r="D17" s="117"/>
      <c r="E17" s="9">
        <v>-1158924.7248120606</v>
      </c>
      <c r="F17" s="14" t="s">
        <v>3</v>
      </c>
      <c r="G17" s="1"/>
    </row>
    <row r="18" spans="1:7" x14ac:dyDescent="0.25">
      <c r="A18" s="1"/>
      <c r="B18" s="115" t="s">
        <v>242</v>
      </c>
      <c r="C18" s="116"/>
      <c r="D18" s="117"/>
      <c r="E18" s="9">
        <v>-1158924.7248120606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101" t="s">
        <v>243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3" t="s">
        <v>207</v>
      </c>
      <c r="C22" s="64"/>
      <c r="D22" s="64"/>
      <c r="E22" s="64"/>
      <c r="F22" s="65"/>
      <c r="G22" s="1"/>
    </row>
    <row r="23" spans="1:7" x14ac:dyDescent="0.25">
      <c r="A23" s="1"/>
      <c r="B23" s="60" t="s">
        <v>208</v>
      </c>
      <c r="C23" s="61"/>
      <c r="D23" s="62"/>
      <c r="E23" s="9">
        <v>24573653.02141843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24742029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7" t="s">
        <v>250</v>
      </c>
      <c r="C26" s="68"/>
      <c r="D26" s="69"/>
      <c r="E26" s="45">
        <f>E23-(E24-E25)</f>
        <v>-168375.97858157009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244</v>
      </c>
      <c r="C29" s="113"/>
      <c r="D29" s="113"/>
      <c r="E29" s="113"/>
      <c r="F29" s="114"/>
      <c r="G29" s="1"/>
    </row>
    <row r="30" spans="1:7" x14ac:dyDescent="0.25">
      <c r="A30" s="1"/>
      <c r="B30" s="136" t="s">
        <v>245</v>
      </c>
      <c r="C30" s="137"/>
      <c r="D30" s="138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-1158924.7248120606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246</v>
      </c>
      <c r="C33" s="113"/>
      <c r="D33" s="113"/>
      <c r="E33" s="113"/>
      <c r="F33" s="114"/>
      <c r="G33" s="1"/>
    </row>
    <row r="34" spans="1:7" x14ac:dyDescent="0.25">
      <c r="A34" s="1"/>
      <c r="B34" s="133" t="s">
        <v>251</v>
      </c>
      <c r="C34" s="134"/>
      <c r="D34" s="135"/>
      <c r="E34" s="9">
        <v>0</v>
      </c>
      <c r="F34" s="14"/>
      <c r="G34" s="1"/>
    </row>
    <row r="35" spans="1:7" x14ac:dyDescent="0.25">
      <c r="A35" s="1"/>
      <c r="B35" s="133" t="s">
        <v>161</v>
      </c>
      <c r="C35" s="134"/>
      <c r="D35" s="135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-168375.97858157009</v>
      </c>
      <c r="F35" s="14" t="s">
        <v>3</v>
      </c>
      <c r="G35" s="1"/>
    </row>
    <row r="36" spans="1:7" x14ac:dyDescent="0.25">
      <c r="A36" s="1"/>
      <c r="B36" s="133" t="s">
        <v>110</v>
      </c>
      <c r="C36" s="134"/>
      <c r="D36" s="135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-42093.994645392522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101" t="s">
        <v>249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S5DA3NS4YhvGom4MKmA/SVgRgkoJGpoCcp4SFi4rFoI4XtbAXhbRJS2XvtLoFSnlze+A6l7cKrlE4WHjJRKHA==" saltValue="ubVmNnKPYbBWIQyhOrUSuQ==" spinCount="100000" sheet="1" objects="1" scenarios="1"/>
  <mergeCells count="21">
    <mergeCell ref="B30:D30"/>
    <mergeCell ref="B37:D37"/>
    <mergeCell ref="B3:F4"/>
    <mergeCell ref="B17:D17"/>
    <mergeCell ref="B9:D9"/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7"/>
      <c r="I9" s="1"/>
    </row>
    <row r="10" spans="1:9" x14ac:dyDescent="0.25">
      <c r="A10" s="1"/>
      <c r="B10" s="47" t="s">
        <v>252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4mOiYdIhPNFkC6/fYXxAQHo2IWn0mrsacjtaqcnM4y3zY1SkwGsYPFjJvRbz6ZUTVomJN4tnxmnlLCYPO/cJg==" saltValue="q0n2DlhJvaym7K8faQu7f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228</v>
      </c>
      <c r="C11" s="22">
        <v>80066</v>
      </c>
      <c r="D11" s="14" t="s">
        <v>3</v>
      </c>
      <c r="E11" s="9">
        <v>92653</v>
      </c>
      <c r="F11" s="14" t="s">
        <v>3</v>
      </c>
      <c r="G11" s="1"/>
    </row>
    <row r="12" spans="1:7" x14ac:dyDescent="0.25">
      <c r="A12" s="1"/>
      <c r="B12" s="54" t="s">
        <v>136</v>
      </c>
      <c r="C12" s="12">
        <f>SUM(C10:C11)</f>
        <v>80066</v>
      </c>
      <c r="D12" s="13" t="s">
        <v>3</v>
      </c>
      <c r="E12" s="12">
        <f>SUM(E10:E11)</f>
        <v>92653</v>
      </c>
      <c r="F12" s="13" t="s">
        <v>3</v>
      </c>
      <c r="G12" s="1"/>
    </row>
    <row r="13" spans="1:7" x14ac:dyDescent="0.25">
      <c r="A13" s="1"/>
      <c r="B13" s="54" t="s">
        <v>210</v>
      </c>
      <c r="C13" s="12">
        <f>C12*(1+'Fane 12. Nøgletal'!C14)</f>
        <v>80330.217800000013</v>
      </c>
      <c r="D13" s="13" t="s">
        <v>3</v>
      </c>
      <c r="E13" s="12">
        <f>E12*(1+'Fane 12. Nøgletal'!C14)</f>
        <v>92958.754900000014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6LnpGEDy9GLxdHbItCHNIpxyy9EtqnLs+sI7RrlCvdjOHvtGslpFRnLMCwQd6KwKWejDz0aTdg8kdCG7lUXAg==" saltValue="zUW6HIW+xpbAQ0XaH60rB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229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57"/>
      <c r="G17" s="1"/>
    </row>
    <row r="18" spans="1:7" x14ac:dyDescent="0.25">
      <c r="A18" s="1"/>
      <c r="B18" s="25" t="s">
        <v>229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57"/>
      <c r="G25" s="1"/>
    </row>
    <row r="26" spans="1:7" x14ac:dyDescent="0.25">
      <c r="A26" s="1"/>
      <c r="B26" s="25" t="s">
        <v>229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212</v>
      </c>
      <c r="C32" s="113"/>
      <c r="D32" s="113"/>
      <c r="E32" s="113"/>
      <c r="F32" s="114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57"/>
      <c r="G33" s="1"/>
    </row>
    <row r="34" spans="1:7" x14ac:dyDescent="0.25">
      <c r="A34" s="1"/>
      <c r="B34" s="25" t="s">
        <v>229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wHtoX6djcOfpzhC7QgrtDzRqrfo5z+RwgKJK1znG4ydmpDsWrzZNQDQnd8W2Q57/mQQitMKXsK+MYKHDHmXXA==" saltValue="G5dk2DAyZswEu4rIZP70+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6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J4vGl+4mjdTQjI6pJ5csjR5Aii/5tQ6CjTzAfwcebc/IC7iXuw+1DhKKTE94BwslgSdwmOAT1/wBz74ypUKrg==" saltValue="ZXIOt5+ipJICT3IYJ/ItH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6" t="s">
        <v>17</v>
      </c>
      <c r="C9" s="56" t="s">
        <v>11</v>
      </c>
      <c r="D9" s="57"/>
      <c r="E9" s="56" t="s">
        <v>32</v>
      </c>
      <c r="F9" s="57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6" t="s">
        <v>17</v>
      </c>
      <c r="C16" s="56" t="s">
        <v>11</v>
      </c>
      <c r="D16" s="57"/>
      <c r="E16" s="56" t="s">
        <v>32</v>
      </c>
      <c r="F16" s="57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6" t="s">
        <v>17</v>
      </c>
      <c r="C23" s="56" t="s">
        <v>11</v>
      </c>
      <c r="D23" s="57"/>
      <c r="E23" s="56" t="s">
        <v>32</v>
      </c>
      <c r="F23" s="57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215</v>
      </c>
      <c r="C29" s="113"/>
      <c r="D29" s="113"/>
      <c r="E29" s="113"/>
      <c r="F29" s="114"/>
      <c r="G29" s="1"/>
    </row>
    <row r="30" spans="1:7" ht="26.25" x14ac:dyDescent="0.25">
      <c r="A30" s="1"/>
      <c r="B30" s="56" t="s">
        <v>17</v>
      </c>
      <c r="C30" s="56" t="s">
        <v>11</v>
      </c>
      <c r="D30" s="57"/>
      <c r="E30" s="56" t="s">
        <v>32</v>
      </c>
      <c r="F30" s="57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f9Iio84YK9Xv2LHwOJ0CjufIGi2Xxm+HqoGZKGSlpfxlpZVN3NsGiHFqsk8Ko08viQo3wcEsZ94ovHhMezBQ7g==" saltValue="LvdAoX32grNBo0zT0zHV/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6" t="s">
        <v>118</v>
      </c>
      <c r="C9" s="26">
        <v>1.2699999999999999E-2</v>
      </c>
      <c r="D9" s="1"/>
    </row>
    <row r="10" spans="1:4" x14ac:dyDescent="0.25">
      <c r="A10" s="1"/>
      <c r="B10" s="66" t="s">
        <v>22</v>
      </c>
      <c r="C10" s="26">
        <v>1.7500000000000002E-2</v>
      </c>
      <c r="D10" s="1"/>
    </row>
    <row r="11" spans="1:4" x14ac:dyDescent="0.25">
      <c r="A11" s="1"/>
      <c r="B11" s="66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49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6" t="s">
        <v>120</v>
      </c>
      <c r="C19" s="23">
        <v>9.1000000000000004E-3</v>
      </c>
      <c r="D19" s="1"/>
    </row>
    <row r="20" spans="1:4" x14ac:dyDescent="0.25">
      <c r="A20" s="1"/>
      <c r="B20" s="66" t="s">
        <v>121</v>
      </c>
      <c r="C20" s="23">
        <v>1.77E-2</v>
      </c>
      <c r="D20" s="1"/>
    </row>
    <row r="21" spans="1:4" x14ac:dyDescent="0.25">
      <c r="A21" s="1"/>
      <c r="B21" s="66" t="s">
        <v>122</v>
      </c>
      <c r="C21" s="23">
        <v>8.6999999999999994E-3</v>
      </c>
      <c r="D21" s="1"/>
    </row>
    <row r="22" spans="1:4" x14ac:dyDescent="0.25">
      <c r="A22" s="1"/>
      <c r="B22" s="66" t="s">
        <v>123</v>
      </c>
      <c r="C22" s="35">
        <v>2.8400000000000002E-2</v>
      </c>
      <c r="D22" s="1"/>
    </row>
    <row r="23" spans="1:4" x14ac:dyDescent="0.25">
      <c r="A23" s="1"/>
      <c r="B23" s="66" t="s">
        <v>146</v>
      </c>
      <c r="C23" s="35">
        <v>2.75E-2</v>
      </c>
      <c r="D23" s="1"/>
    </row>
    <row r="24" spans="1:4" x14ac:dyDescent="0.25">
      <c r="A24" s="1"/>
      <c r="B24" s="66" t="s">
        <v>218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6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/cFPmQDQWcViPCWCGONyMI2v6WvR6SkUSBzRh9GlFJIqs9Ch/Qrsh06L7s1iuEcn8x7qjsZy4Yv12ZG/XuWv9A==" saltValue="v7PONTpO/w4KzRAIQ4W4D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9" t="s">
        <v>24</v>
      </c>
      <c r="C9" s="7">
        <f>'Fane 3. Omkostninger i ØR2021'!E20</f>
        <v>12722898.233760597</v>
      </c>
      <c r="D9" s="8" t="s">
        <v>3</v>
      </c>
      <c r="E9" s="1"/>
    </row>
    <row r="10" spans="1:5" x14ac:dyDescent="0.25">
      <c r="A10" s="1"/>
      <c r="B10" s="50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50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2344.0704137801999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80330.217800000013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92958.754900000014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155791.21206178929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-261039.56837044773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-137849.2516001304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-181852.72266317031</v>
      </c>
      <c r="D21" s="8" t="s">
        <v>3</v>
      </c>
      <c r="E21" s="1"/>
    </row>
    <row r="22" spans="1:5" ht="17.100000000000001" customHeight="1" x14ac:dyDescent="0.25">
      <c r="A22" s="1"/>
      <c r="B22" s="67" t="s">
        <v>20</v>
      </c>
      <c r="C22" s="10">
        <f>SUM(C9,C12:C21)</f>
        <v>12471236.875888638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56" t="s">
        <v>12</v>
      </c>
      <c r="C24" s="10">
        <f>'Fane 6. Ikke-påvirkelige omk.'!C14</f>
        <v>11422242.269502033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7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70" t="s">
        <v>162</v>
      </c>
      <c r="C30" s="10">
        <f>'Fane 7. Kontrol af ØR2020'!E30</f>
        <v>-1158924.7248120606</v>
      </c>
      <c r="D30" s="11" t="s">
        <v>3</v>
      </c>
      <c r="E30" s="1"/>
    </row>
    <row r="31" spans="1:5" x14ac:dyDescent="0.25">
      <c r="A31" s="1"/>
      <c r="B31" s="36" t="s">
        <v>225</v>
      </c>
      <c r="C31" s="55"/>
      <c r="D31" s="20"/>
      <c r="E31" s="1"/>
    </row>
    <row r="32" spans="1:5" x14ac:dyDescent="0.25">
      <c r="A32" s="1"/>
      <c r="B32" s="70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22734554.42057861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wqG0TO1sCglSFfpyGuY9aK13EUZJpQfOk4nc54f81Nlk6GjrUpUZc9sZqF7Ge9gwvCqWEas9yxeh2x5YWRMDbw==" saltValue="JOfAvFOp1W1qT+EJlvYug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9" t="s">
        <v>134</v>
      </c>
      <c r="C9" s="7">
        <f>'Fane 2.1. Økonomisk ramme 2022'!C22</f>
        <v>12471236.875888638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0" t="s">
        <v>18</v>
      </c>
      <c r="C12" s="9">
        <f>SUM(C9:C11)*'Fane 12. Nøgletal'!C14</f>
        <v>41155.081690432504</v>
      </c>
      <c r="D12" s="8" t="s">
        <v>3</v>
      </c>
      <c r="E12" s="1"/>
    </row>
    <row r="13" spans="1:5" ht="15" customHeight="1" x14ac:dyDescent="0.25">
      <c r="A13" s="1"/>
      <c r="B13" s="50" t="s">
        <v>9</v>
      </c>
      <c r="C13" s="9">
        <f>-SUM(C9:C12)*'Fane 5. Individuelt eff. krav'!G10</f>
        <v>-250247.83915158143</v>
      </c>
      <c r="D13" s="8" t="s">
        <v>3</v>
      </c>
      <c r="E13" s="1"/>
    </row>
    <row r="14" spans="1:5" ht="15" customHeight="1" x14ac:dyDescent="0.25">
      <c r="A14" s="1"/>
      <c r="B14" s="50" t="s">
        <v>25</v>
      </c>
      <c r="C14" s="9">
        <f>-'Fane 4.1. Gen. krav - drift'!G44</f>
        <v>-135538.0710478026</v>
      </c>
      <c r="D14" s="8" t="s">
        <v>3</v>
      </c>
      <c r="E14" s="1"/>
    </row>
    <row r="15" spans="1:5" ht="15" customHeight="1" x14ac:dyDescent="0.25">
      <c r="A15" s="1"/>
      <c r="B15" s="50" t="s">
        <v>26</v>
      </c>
      <c r="C15" s="9">
        <f>-'Fane 4.2. Gen. krav - anlæg'!G44</f>
        <v>-96132.062341922487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12030473.985037763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56" t="s">
        <v>12</v>
      </c>
      <c r="C18" s="10">
        <f>'Fane 6. Ikke-påvirkelige omk.'!C14*(1+'Fane 12. Nøgletal'!C14)</f>
        <v>11459935.668991391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7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70" t="s">
        <v>162</v>
      </c>
      <c r="C24" s="10">
        <f>'Fane 7. Kontrol af ØR2020'!E37</f>
        <v>-42093.994645392522</v>
      </c>
      <c r="D24" s="11" t="s">
        <v>3</v>
      </c>
      <c r="E24" s="1"/>
    </row>
    <row r="25" spans="1:5" x14ac:dyDescent="0.25">
      <c r="A25" s="1"/>
      <c r="B25" s="36" t="s">
        <v>225</v>
      </c>
      <c r="C25" s="55"/>
      <c r="D25" s="20"/>
      <c r="E25" s="1"/>
    </row>
    <row r="26" spans="1:5" x14ac:dyDescent="0.25">
      <c r="A26" s="1"/>
      <c r="B26" s="70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23448315.659383759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Tk4vKbIZQ1/9N9BxyoT0dQ9S/g2ligYKrzYo1gt+dvqdAdn2sWGZjmDw2BtkqA27/hQ3qa/77/H8YThtKrr1A==" saltValue="z7oWihloGvY+K6vj8Tb6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135</v>
      </c>
      <c r="C8" s="7">
        <f>'Fane 2.2. Økonomisk ramme 2023'!C16</f>
        <v>12030473.985037763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39700.564150624617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-241403.49098376773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drift'!G50</f>
        <v>-133265.63974861515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43">
        <f>-'Fane 4.2. Gen. krav - anlæg'!G50</f>
        <v>-95021.848535065612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11600483.569920938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omk.'!C14*(1+'Fane 12. Nøgletal'!C14)^2</f>
        <v>11497753.456699062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-42093.994645392522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5"/>
      <c r="D24" s="20"/>
      <c r="E24" s="1"/>
    </row>
    <row r="25" spans="1:5" ht="15" customHeight="1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187</v>
      </c>
      <c r="C26" s="12">
        <f>SUM(C15,C17,C21,C23,C25)</f>
        <v>23056143.031974606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FCsQN074SKeXX3gwiKFFCqXHZCATZj3b1t9j2emu2DGTcCLm31ZhNoqa9Ar0CmtChQg3fkwUaV1jCdioEeIp4A==" saltValue="MUmLY7Mo3VIEMXZkxetUQ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189</v>
      </c>
      <c r="C8" s="7">
        <f>'Fane 2.3. Økonomisk ramme 2024'!C15</f>
        <v>11600483.569920938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38281.595780739095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-232775.30331403358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drift'!G56</f>
        <v>-131031.30803258989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anlæg'!G56</f>
        <v>-93924.456409829902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11181034.097945224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omk.'!C14*(1+'Fane 12. Nøgletal'!C14)^3</f>
        <v>11535696.04310617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-42093.994645392522</v>
      </c>
      <c r="D23" s="11" t="s">
        <v>3</v>
      </c>
      <c r="E23" s="1"/>
    </row>
    <row r="24" spans="1:5" x14ac:dyDescent="0.25">
      <c r="A24" s="1"/>
      <c r="B24" s="36" t="s">
        <v>225</v>
      </c>
      <c r="C24" s="55"/>
      <c r="D24" s="20"/>
      <c r="E24" s="1"/>
    </row>
    <row r="25" spans="1:5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190</v>
      </c>
      <c r="C26" s="12">
        <f>SUM(C15,C17,C21,C23,C25)</f>
        <v>22674636.146406002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a5kfu1rm5WL1Ntx5qLHQHc3XTKosAO44mYGu+8uziCtqCvl76OZCy6RRGlw1+jiXAINLLOkrRB+sxnACRS2L2Q==" saltValue="kEjpbMWBuGOrSfERG1num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191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224</v>
      </c>
      <c r="C8" s="55"/>
      <c r="D8" s="55"/>
      <c r="E8" s="55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13146921.438087951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0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2431.3044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160422.10345835303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-266195.49691892607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-137342.1255073366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-183338.98975944484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12722898.233760597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13066882.799392121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5"/>
      <c r="F23" s="55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-1158924.7248120606</v>
      </c>
      <c r="F28" s="11" t="s">
        <v>3</v>
      </c>
      <c r="G28" s="1"/>
    </row>
    <row r="29" spans="1:7" x14ac:dyDescent="0.25">
      <c r="A29" s="1"/>
      <c r="B29" s="54" t="s">
        <v>247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94" t="s">
        <v>248</v>
      </c>
      <c r="C30" s="95"/>
      <c r="D30" s="96"/>
      <c r="E30" s="10">
        <v>851.28549999999996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24631707.593840659</v>
      </c>
      <c r="F31" s="13" t="s">
        <v>3</v>
      </c>
      <c r="G31" s="1"/>
    </row>
    <row r="32" spans="1:7" ht="27.75" customHeight="1" x14ac:dyDescent="0.25">
      <c r="A32" s="1"/>
      <c r="B32" s="101" t="s">
        <v>192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jEOv37uQEtDsQ9ec4ucITD68ivOb/CUm+QtKTdzwLZsJMYWnFQBTmCt6wjsl+/5cqRnSxLfBSy4U80xm/wjgQ==" saltValue="X5te/ZL6t97+5hiR0Bgq8A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5811757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116235.14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5767854.9876220003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115357.09975244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5748025.102174555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121445.18169239865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117389.40567733908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5849291.0450310186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1073502.1790301602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138455.86448122357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6867106.2753668306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137342.1255073366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6811867.2724877791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5" t="s">
        <v>222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80595.307518740025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137849.2516001304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6776903.5523901302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135538.0710478026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6663281.9874307578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133265.63974861515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199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200</v>
      </c>
      <c r="C54" s="116"/>
      <c r="D54" s="116"/>
      <c r="E54" s="116"/>
      <c r="F54" s="117"/>
      <c r="G54" s="24">
        <f>(G48+G49-G50)*(1+'Fane 12. Nøgletal'!C14)</f>
        <v>6551565.4016294945</v>
      </c>
      <c r="H54" s="14" t="s">
        <v>3</v>
      </c>
      <c r="I54" s="1"/>
    </row>
    <row r="55" spans="1:9" x14ac:dyDescent="0.25">
      <c r="A55" s="1"/>
      <c r="B55" s="115" t="s">
        <v>201</v>
      </c>
      <c r="C55" s="116"/>
      <c r="D55" s="116"/>
      <c r="E55" s="116"/>
      <c r="F55" s="117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202</v>
      </c>
      <c r="C56" s="116"/>
      <c r="D56" s="116"/>
      <c r="E56" s="116"/>
      <c r="F56" s="117"/>
      <c r="G56" s="24">
        <f>(G54+G55)*'Fane 12. Nøgletal'!C29</f>
        <v>131031.30803258989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X4urywlCc3knKyP90WvnyggBqz6yPK4tB+lvaC3L17Z09f9p1ZwuUhIV6alxy5BxxFu/9MNjgoMFk0llDFy52g==" saltValue="3lDFkfTu1ccVGs3Wty/zJw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5832113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53072.228300000002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5852434.5895005902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53257.154764455372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5897183.5333831748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271836.88267138851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245428.84459178994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55805.708567623275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6466104.62810886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179328.96982585354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61348.053007601316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6664411.3885752223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2460.96631368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183338.98975944481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6562632.4721840359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2351.8058461456749</v>
      </c>
      <c r="H36" s="14" t="s">
        <v>3</v>
      </c>
      <c r="I36" s="38"/>
    </row>
    <row r="37" spans="1:9" x14ac:dyDescent="0.25">
      <c r="A37" s="1"/>
      <c r="B37" s="115" t="s">
        <v>194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93265.51879117002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181852.72266317031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6495409.6176974652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96132.062341922487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6420395.1712882165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95021.848535065612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195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196</v>
      </c>
      <c r="C54" s="116"/>
      <c r="D54" s="116"/>
      <c r="E54" s="116"/>
      <c r="F54" s="117"/>
      <c r="G54" s="24">
        <f>(G48+G49-G50)*(1+'Fane 12. Nøgletal'!C14)</f>
        <v>6346247.0547182364</v>
      </c>
      <c r="H54" s="14" t="s">
        <v>3</v>
      </c>
      <c r="I54" s="1"/>
    </row>
    <row r="55" spans="1:9" x14ac:dyDescent="0.25">
      <c r="A55" s="1"/>
      <c r="B55" s="115" t="s">
        <v>197</v>
      </c>
      <c r="C55" s="116"/>
      <c r="D55" s="116"/>
      <c r="E55" s="116"/>
      <c r="F55" s="117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198</v>
      </c>
      <c r="C56" s="116"/>
      <c r="D56" s="116"/>
      <c r="E56" s="116"/>
      <c r="F56" s="117"/>
      <c r="G56" s="24">
        <f>(G54+G55)*'Fane 12. Nøgletal'!C24</f>
        <v>93924.456409829902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L2vKBP5HGqrjNmwpc7MVFxna/wO0u1FNGUEF9OnWVZCotZ9FqFA7w1Z3hH0CfmDOF3Cvr0+HuDsGyVQhNSn9lg==" saltValue="j1dxYPR2ktTqdQKXvHFOEw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1.1333838435356341E-3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0.02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yfsPqQQz337lLy4Gk80S5m4Hz5YPXiCcJF38ewoA5nZBYuG5k6xt6piCe/arimDZkU+PJPDRoc2ur6Ipg8mdQ==" saltValue="lynHESOzfwjClqXto4EiP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2021-09-02T08:02:55Z</dcterms:modified>
</cp:coreProperties>
</file>