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31" yWindow="2280" windowWidth="27915" windowHeight="8805" activeTab="0"/>
  </bookViews>
  <sheets>
    <sheet name="Spildevand" sheetId="1" r:id="rId1"/>
    <sheet name="Potentialer og krav" sheetId="2" r:id="rId2"/>
  </sheets>
  <definedNames/>
  <calcPr fullCalcOnLoad="1"/>
</workbook>
</file>

<file path=xl/sharedStrings.xml><?xml version="1.0" encoding="utf-8"?>
<sst xmlns="http://schemas.openxmlformats.org/spreadsheetml/2006/main" count="457" uniqueCount="178">
  <si>
    <t>Selskabsnavn</t>
  </si>
  <si>
    <t>Afløb Ballerup A/S</t>
  </si>
  <si>
    <t>Albertslund Spildevand A/S</t>
  </si>
  <si>
    <t>Allerød Spildevand A/S</t>
  </si>
  <si>
    <t>AquaDjurs as</t>
  </si>
  <si>
    <t>Assens Spildevand A/S</t>
  </si>
  <si>
    <t>Billund Spildevand A/S</t>
  </si>
  <si>
    <t>Bornholms Spildevand A/S</t>
  </si>
  <si>
    <t>Brøndby Kloakforsyning A/S</t>
  </si>
  <si>
    <t>Brønderslev Spildevand A/S</t>
  </si>
  <si>
    <t>Dragør Spildevand A/S</t>
  </si>
  <si>
    <t>Egedal Spildevand A/S</t>
  </si>
  <si>
    <t>Energi Viborg Spildevand A/S</t>
  </si>
  <si>
    <t>Esbjerg Spildevand A/S</t>
  </si>
  <si>
    <t>Fanø Vand A/S</t>
  </si>
  <si>
    <t>Favrskov Spildevand A/S</t>
  </si>
  <si>
    <t>Faxe Spildevand A/S</t>
  </si>
  <si>
    <t>FFV Spildevand A/S</t>
  </si>
  <si>
    <t>Fredensborg Spildevand A/S</t>
  </si>
  <si>
    <t>Fredericia Spildevand A/S</t>
  </si>
  <si>
    <t>Frederiksberg Kloak A/S</t>
  </si>
  <si>
    <t>Frederikshavn Spildevand A/S</t>
  </si>
  <si>
    <t>Frederikssund Spildevand A/S</t>
  </si>
  <si>
    <t>Furesø Spildevand A/S</t>
  </si>
  <si>
    <t>Gentofte Spildevand A/S</t>
  </si>
  <si>
    <t>Gladsaxe Spildevand A/S</t>
  </si>
  <si>
    <t>Glostrup Spildevand a/s</t>
  </si>
  <si>
    <t>Greve Spildevand A/S</t>
  </si>
  <si>
    <t>Gribvand Spildevand A/S</t>
  </si>
  <si>
    <t>Guldborgsund Spildevand A/S</t>
  </si>
  <si>
    <t>Haderslev Spildevand A/S</t>
  </si>
  <si>
    <t>Halsnaes Forsyning A/S</t>
  </si>
  <si>
    <t>Hedensted Spildevand</t>
  </si>
  <si>
    <t>Helsingør Forsyning Spildevand A/S</t>
  </si>
  <si>
    <t>Herlev Kloak A/S</t>
  </si>
  <si>
    <t>Herning Vand A/S</t>
  </si>
  <si>
    <t>Hillerød Spildevand A/S</t>
  </si>
  <si>
    <t>Hjørring Vandselskab A/S</t>
  </si>
  <si>
    <t>Holbæk Spildevand A/S</t>
  </si>
  <si>
    <t>Horsens Vand A/S</t>
  </si>
  <si>
    <t>HTK Kloak A/S</t>
  </si>
  <si>
    <t>Hunseby Renseanlæg</t>
  </si>
  <si>
    <t>Hvidovre Spildevand A/S</t>
  </si>
  <si>
    <t>Hørsholm Vand ApS</t>
  </si>
  <si>
    <t>Ikast-Brande Spildevand A/S</t>
  </si>
  <si>
    <t>Ishøj Spildevand A/S</t>
  </si>
  <si>
    <t>Jammerbugt Forsyning A/S</t>
  </si>
  <si>
    <t>Kalundborg Renseanlæg A/S</t>
  </si>
  <si>
    <t>Kalundborg Spildevandsanlæg A/S</t>
  </si>
  <si>
    <t>KE Afløb A/S</t>
  </si>
  <si>
    <t>Kerteminde Forsyning - Spildevand A/S</t>
  </si>
  <si>
    <t>Kolding Spildevand A/S</t>
  </si>
  <si>
    <t>Køge Afløb A/S</t>
  </si>
  <si>
    <t>Langeland Spildevand ApS</t>
  </si>
  <si>
    <t>Lejre Spildevand A/S</t>
  </si>
  <si>
    <t>Lemvig Vand og Spildevand A/S</t>
  </si>
  <si>
    <t>Lolland Spildevand A/S</t>
  </si>
  <si>
    <t>Lynettefællesskabet I/S</t>
  </si>
  <si>
    <t>Lyngby-Taarbæk Spildevand A/S</t>
  </si>
  <si>
    <t>Mariagerfjord Spildevand a/s</t>
  </si>
  <si>
    <t>Middelfart Spildevand A/S</t>
  </si>
  <si>
    <t>Morsø Forsyning A/S</t>
  </si>
  <si>
    <t>Mølleåværket A/S</t>
  </si>
  <si>
    <t>Måløv Rens A/S</t>
  </si>
  <si>
    <t>NFS Spildevand A/S</t>
  </si>
  <si>
    <t>NK-Spildevand A/S</t>
  </si>
  <si>
    <t>Odder Spildevand A/S</t>
  </si>
  <si>
    <t>Odsherred Spildevand A/S</t>
  </si>
  <si>
    <t>Randers Spildevand A/S</t>
  </si>
  <si>
    <t>Rebild Vand &amp; Spildevand A/S</t>
  </si>
  <si>
    <t>Ringkøbing-Skjern Spildevand A/S</t>
  </si>
  <si>
    <t>Ringsted Centralrenseanlæg A/S</t>
  </si>
  <si>
    <t>Ringsted Spildevand A/S</t>
  </si>
  <si>
    <t>Roskilde Spildevand A/S</t>
  </si>
  <si>
    <t>Rudersdal Forsyning A/S</t>
  </si>
  <si>
    <t>Rødovre Spildevand A/S</t>
  </si>
  <si>
    <t>Samsø Spildevand A/S</t>
  </si>
  <si>
    <t>Silkeborg Spildevand A/S</t>
  </si>
  <si>
    <t>SK Spildevand A/S</t>
  </si>
  <si>
    <t>Skanderborg Forsyningsvirksomhed A/S</t>
  </si>
  <si>
    <t>Skive Vand A/S</t>
  </si>
  <si>
    <t>Solrød Spildevand A/S</t>
  </si>
  <si>
    <t>Sorø Spildevand A/S</t>
  </si>
  <si>
    <t>Spildevandscenter Avedøre I/S</t>
  </si>
  <si>
    <t>Stevns Spildevand A/S</t>
  </si>
  <si>
    <t>Struer Forsyning Spildevand A/S</t>
  </si>
  <si>
    <t>Svendborg Spildevand A/S</t>
  </si>
  <si>
    <t>Syddjurs Spildevand A/S</t>
  </si>
  <si>
    <t>Sønderborg Spildevandsforsyning A/S</t>
  </si>
  <si>
    <t>Thisted Spildevand A/S</t>
  </si>
  <si>
    <t>Tønder Spildevand A/S</t>
  </si>
  <si>
    <t>TÅRNBYFORSYNING Spildevand</t>
  </si>
  <si>
    <t>Vallensbæk Kloakforsyning A/S</t>
  </si>
  <si>
    <t>Vandcenter Syd as</t>
  </si>
  <si>
    <t>VARDE KLOAK OG SPILDEVAND A/S</t>
  </si>
  <si>
    <t>Vejen Forsyning A/S</t>
  </si>
  <si>
    <t>Vejle Spildevand a/s</t>
  </si>
  <si>
    <t>Vestforsyning Spildevand A/S</t>
  </si>
  <si>
    <t>Vesthimmerlands Vand A/S</t>
  </si>
  <si>
    <t>Vordingborg Spildevand A/S</t>
  </si>
  <si>
    <t>Ærø Vand A/S</t>
  </si>
  <si>
    <t>Aalborg Forsyning, Kloak A/S</t>
  </si>
  <si>
    <t>Århus Vand A/S</t>
  </si>
  <si>
    <t>Arwos Spildevand</t>
  </si>
  <si>
    <t>FADO</t>
  </si>
  <si>
    <t>DOiPL</t>
  </si>
  <si>
    <t>Potentiale</t>
  </si>
  <si>
    <t>Luft</t>
  </si>
  <si>
    <t>FADO_2011</t>
  </si>
  <si>
    <t>Ny_DOiPL</t>
  </si>
  <si>
    <t>Net</t>
  </si>
  <si>
    <t>Alder</t>
  </si>
  <si>
    <t>Net_plus30</t>
  </si>
  <si>
    <t>Alder_plus30</t>
  </si>
  <si>
    <t>Krav i kr.</t>
  </si>
  <si>
    <t>Prisudvikling fra 2010 til 2011(FADO 10)</t>
  </si>
  <si>
    <t>Prisudvikling fra 2011 til 2012(FADO 10)</t>
  </si>
  <si>
    <t>Effektive driftsomk.</t>
  </si>
  <si>
    <t>Prisudvikling fra 2011 til 2012(ny DOiPL)</t>
  </si>
  <si>
    <t>Ny_DOiPL i 2012-priser</t>
  </si>
  <si>
    <t>FADO_2012</t>
  </si>
  <si>
    <t>Prisudvikling fra 2011 til 2012(DOiPL)</t>
  </si>
  <si>
    <t>DOiPL_2012</t>
  </si>
  <si>
    <t>DOiPL_korrektion</t>
  </si>
  <si>
    <t>DOiPL_korrektion til effektive driftsomk.</t>
  </si>
  <si>
    <t>Pumper</t>
  </si>
  <si>
    <t xml:space="preserve">Lukkede bassiner </t>
  </si>
  <si>
    <t>Målere</t>
  </si>
  <si>
    <t>Pumper 0 l/s - 10 l/s</t>
  </si>
  <si>
    <t>Pumper 11 l/s-100 l/s</t>
  </si>
  <si>
    <t>Pumper 101 l/s-300 l/s</t>
  </si>
  <si>
    <t>Pumper 301 l/s-600 l/s</t>
  </si>
  <si>
    <t>Pumper 601 l/s-1000 l/s</t>
  </si>
  <si>
    <t>Pumper over 1000 l/s</t>
  </si>
  <si>
    <t>Åbne bassiner (antal)</t>
  </si>
  <si>
    <t>Lukkede bassiner (m3)</t>
  </si>
  <si>
    <t>Land (længde i km)</t>
  </si>
  <si>
    <t>By (længde i km)</t>
  </si>
  <si>
    <t>City (længde i km)</t>
  </si>
  <si>
    <t>Indre city (længde i km)</t>
  </si>
  <si>
    <t>Renseanlæg</t>
  </si>
  <si>
    <t xml:space="preserve">Åbne bassiner </t>
  </si>
  <si>
    <t xml:space="preserve">Ledning </t>
  </si>
  <si>
    <t>Særlige forhold</t>
  </si>
  <si>
    <t>Netvolumenmål</t>
  </si>
  <si>
    <t>Alderskorrigeret netvolumenmål</t>
  </si>
  <si>
    <t>Alder ledning</t>
  </si>
  <si>
    <t>Særlige forhold indberettet i 2012</t>
  </si>
  <si>
    <t>Brøndby Kloakforsyning A/S (front)</t>
  </si>
  <si>
    <t>Vesthimmerlands Vand A/S (front)</t>
  </si>
  <si>
    <t>Lukkede bassiner</t>
  </si>
  <si>
    <t>Ledning</t>
  </si>
  <si>
    <t>Afvigelse i renseanlæg</t>
  </si>
  <si>
    <t>Afvigelse i pumper</t>
  </si>
  <si>
    <t>Afvigelse i åbne bassiner</t>
  </si>
  <si>
    <t>Afvigelse i lukkede bassiner</t>
  </si>
  <si>
    <t>Afgivelse i ledning</t>
  </si>
  <si>
    <t>Afvigelse i målere</t>
  </si>
  <si>
    <t>Middelværdi</t>
  </si>
  <si>
    <t>Varians</t>
  </si>
  <si>
    <t>Standardafvigelse</t>
  </si>
  <si>
    <t>Standardafvigelse med negativt fortegn</t>
  </si>
  <si>
    <t>Åbne bassiner</t>
  </si>
  <si>
    <t>rå potentilaer</t>
  </si>
  <si>
    <t>korrigede potentialer</t>
  </si>
  <si>
    <t>rå pot (kr)</t>
  </si>
  <si>
    <t>kor pot(kr)</t>
  </si>
  <si>
    <t>effektive omkostninger</t>
  </si>
  <si>
    <t>krav i pct.</t>
  </si>
  <si>
    <t>krav i kr.</t>
  </si>
  <si>
    <t>rå potentialer med særlige forhold</t>
  </si>
  <si>
    <t>rå pot med særlige forhold (kr)</t>
  </si>
  <si>
    <t>Sum</t>
  </si>
  <si>
    <t>Reduktion</t>
  </si>
  <si>
    <t>Umiddelbare krav</t>
  </si>
  <si>
    <t>Afvigelse fra standardafvigelse</t>
  </si>
  <si>
    <t>Korrigerede potentiale efter reduktion i pct.</t>
  </si>
  <si>
    <t>Læsø (skønnet)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</si>
</sst>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  <numFmt numFmtId="171" formatCode="_ * #,##0.000_ ;_ * \-#,##0.0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39" fillId="0" borderId="0" xfId="0" applyNumberFormat="1" applyFont="1" applyFill="1" applyBorder="1" applyAlignment="1">
      <alignment horizontal="left" wrapText="1"/>
    </xf>
    <xf numFmtId="3" fontId="39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 horizontal="left" wrapText="1"/>
    </xf>
    <xf numFmtId="2" fontId="39" fillId="0" borderId="0" xfId="0" applyNumberFormat="1" applyFont="1" applyFill="1" applyBorder="1" applyAlignment="1">
      <alignment horizontal="left" wrapText="1"/>
    </xf>
    <xf numFmtId="10" fontId="39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56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1" fillId="0" borderId="0" xfId="4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 vertical="top" wrapText="1"/>
    </xf>
    <xf numFmtId="3" fontId="39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5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6" sqref="L6"/>
    </sheetView>
  </sheetViews>
  <sheetFormatPr defaultColWidth="9.140625" defaultRowHeight="15"/>
  <cols>
    <col min="1" max="1" width="40.28125" style="5" bestFit="1" customWidth="1"/>
    <col min="2" max="11" width="12.7109375" style="5" customWidth="1"/>
    <col min="12" max="12" width="11.421875" style="5" customWidth="1"/>
    <col min="13" max="21" width="12.7109375" style="5" customWidth="1"/>
    <col min="22" max="22" width="15.00390625" style="5" bestFit="1" customWidth="1"/>
    <col min="23" max="23" width="10.8515625" style="5" bestFit="1" customWidth="1"/>
    <col min="24" max="24" width="38.00390625" style="5" customWidth="1"/>
    <col min="25" max="36" width="12.7109375" style="5" customWidth="1"/>
    <col min="37" max="37" width="7.421875" style="5" customWidth="1"/>
    <col min="38" max="38" width="11.8515625" style="5" customWidth="1"/>
    <col min="39" max="39" width="10.8515625" style="5" customWidth="1"/>
    <col min="40" max="40" width="12.7109375" style="5" customWidth="1"/>
    <col min="41" max="41" width="9.8515625" style="5" bestFit="1" customWidth="1"/>
    <col min="42" max="42" width="10.8515625" style="5" customWidth="1"/>
    <col min="43" max="43" width="9.8515625" style="5" customWidth="1"/>
    <col min="44" max="44" width="13.8515625" style="5" bestFit="1" customWidth="1"/>
    <col min="45" max="48" width="12.7109375" style="5" customWidth="1"/>
    <col min="49" max="49" width="9.140625" style="5" customWidth="1"/>
    <col min="50" max="50" width="38.00390625" style="5" bestFit="1" customWidth="1"/>
    <col min="51" max="56" width="12.7109375" style="5" customWidth="1"/>
    <col min="57" max="59" width="9.00390625" style="5" customWidth="1"/>
    <col min="60" max="65" width="12.7109375" style="5" customWidth="1"/>
    <col min="66" max="67" width="9.140625" style="5" customWidth="1"/>
    <col min="68" max="68" width="10.140625" style="5" bestFit="1" customWidth="1"/>
    <col min="69" max="16384" width="9.140625" style="5" customWidth="1"/>
  </cols>
  <sheetData>
    <row r="1" spans="1:68" s="23" customFormat="1" ht="60">
      <c r="A1" s="1" t="s">
        <v>0</v>
      </c>
      <c r="B1" s="23" t="s">
        <v>104</v>
      </c>
      <c r="C1" s="23" t="s">
        <v>108</v>
      </c>
      <c r="D1" s="23" t="s">
        <v>105</v>
      </c>
      <c r="E1" s="23" t="s">
        <v>106</v>
      </c>
      <c r="F1" s="23" t="s">
        <v>107</v>
      </c>
      <c r="G1" s="23" t="s">
        <v>109</v>
      </c>
      <c r="H1" s="23" t="s">
        <v>110</v>
      </c>
      <c r="I1" s="23" t="s">
        <v>111</v>
      </c>
      <c r="J1" s="23" t="s">
        <v>112</v>
      </c>
      <c r="K1" s="23" t="s">
        <v>113</v>
      </c>
      <c r="L1" s="23" t="s">
        <v>114</v>
      </c>
      <c r="M1" s="23" t="s">
        <v>115</v>
      </c>
      <c r="N1" s="23" t="s">
        <v>116</v>
      </c>
      <c r="O1" s="23" t="s">
        <v>117</v>
      </c>
      <c r="P1" s="23" t="s">
        <v>118</v>
      </c>
      <c r="Q1" s="23" t="s">
        <v>119</v>
      </c>
      <c r="R1" s="23" t="s">
        <v>120</v>
      </c>
      <c r="S1" s="23" t="s">
        <v>121</v>
      </c>
      <c r="T1" s="23" t="s">
        <v>122</v>
      </c>
      <c r="U1" s="23" t="s">
        <v>123</v>
      </c>
      <c r="V1" s="23" t="s">
        <v>124</v>
      </c>
      <c r="X1" s="17" t="s">
        <v>0</v>
      </c>
      <c r="Y1" s="18" t="s">
        <v>128</v>
      </c>
      <c r="Z1" s="18" t="s">
        <v>129</v>
      </c>
      <c r="AA1" s="18" t="s">
        <v>130</v>
      </c>
      <c r="AB1" s="18" t="s">
        <v>131</v>
      </c>
      <c r="AC1" s="18" t="s">
        <v>132</v>
      </c>
      <c r="AD1" s="18" t="s">
        <v>133</v>
      </c>
      <c r="AE1" s="18" t="s">
        <v>134</v>
      </c>
      <c r="AF1" s="18" t="s">
        <v>135</v>
      </c>
      <c r="AG1" s="18" t="s">
        <v>136</v>
      </c>
      <c r="AH1" s="18" t="s">
        <v>137</v>
      </c>
      <c r="AI1" s="18" t="s">
        <v>138</v>
      </c>
      <c r="AJ1" s="18" t="s">
        <v>139</v>
      </c>
      <c r="AK1" s="18" t="s">
        <v>127</v>
      </c>
      <c r="AL1" s="9" t="s">
        <v>140</v>
      </c>
      <c r="AM1" s="9" t="s">
        <v>125</v>
      </c>
      <c r="AN1" s="18" t="s">
        <v>141</v>
      </c>
      <c r="AO1" s="18" t="s">
        <v>126</v>
      </c>
      <c r="AP1" s="9" t="s">
        <v>142</v>
      </c>
      <c r="AQ1" s="9" t="s">
        <v>127</v>
      </c>
      <c r="AR1" s="9" t="s">
        <v>143</v>
      </c>
      <c r="AS1" s="9" t="s">
        <v>144</v>
      </c>
      <c r="AT1" s="18" t="s">
        <v>145</v>
      </c>
      <c r="AU1" s="18" t="s">
        <v>146</v>
      </c>
      <c r="AV1" s="23" t="s">
        <v>147</v>
      </c>
      <c r="AX1" s="23" t="s">
        <v>0</v>
      </c>
      <c r="AY1" s="23" t="s">
        <v>140</v>
      </c>
      <c r="AZ1" s="23" t="s">
        <v>125</v>
      </c>
      <c r="BA1" s="23" t="s">
        <v>162</v>
      </c>
      <c r="BB1" s="23" t="s">
        <v>150</v>
      </c>
      <c r="BC1" s="23" t="s">
        <v>151</v>
      </c>
      <c r="BD1" s="23" t="s">
        <v>127</v>
      </c>
      <c r="BF1" s="23" t="s">
        <v>172</v>
      </c>
      <c r="BH1" s="23" t="s">
        <v>152</v>
      </c>
      <c r="BI1" s="23" t="s">
        <v>153</v>
      </c>
      <c r="BJ1" s="23" t="s">
        <v>154</v>
      </c>
      <c r="BK1" s="23" t="s">
        <v>155</v>
      </c>
      <c r="BL1" s="23" t="s">
        <v>156</v>
      </c>
      <c r="BM1" s="23" t="s">
        <v>157</v>
      </c>
      <c r="BO1" s="23" t="s">
        <v>172</v>
      </c>
      <c r="BP1" s="23" t="s">
        <v>173</v>
      </c>
    </row>
    <row r="2" spans="1:47" s="23" customFormat="1" ht="15">
      <c r="A2" s="24" t="s">
        <v>148</v>
      </c>
      <c r="B2" s="20">
        <v>5501030</v>
      </c>
      <c r="C2" s="20"/>
      <c r="D2" s="20"/>
      <c r="E2" s="20"/>
      <c r="F2" s="20"/>
      <c r="G2" s="20">
        <f>B2</f>
        <v>5501030</v>
      </c>
      <c r="H2" s="20">
        <v>7727092.5</v>
      </c>
      <c r="I2" s="20">
        <v>10614709.19504405</v>
      </c>
      <c r="J2" s="20">
        <v>7727092.5</v>
      </c>
      <c r="K2" s="20">
        <v>10614709.19504405</v>
      </c>
      <c r="X2" s="1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9"/>
      <c r="AM2" s="9"/>
      <c r="AN2" s="18"/>
      <c r="AO2" s="18"/>
      <c r="AP2" s="9"/>
      <c r="AQ2" s="9"/>
      <c r="AR2" s="9"/>
      <c r="AS2" s="9"/>
      <c r="AT2" s="18"/>
      <c r="AU2" s="18"/>
    </row>
    <row r="3" spans="1:47" s="23" customFormat="1" ht="15">
      <c r="A3" s="24" t="s">
        <v>149</v>
      </c>
      <c r="B3" s="20">
        <v>28105158</v>
      </c>
      <c r="C3" s="20"/>
      <c r="D3" s="20"/>
      <c r="E3" s="20"/>
      <c r="F3" s="20"/>
      <c r="G3" s="20">
        <f>B3</f>
        <v>28105158</v>
      </c>
      <c r="H3" s="20">
        <v>43452301.1240885</v>
      </c>
      <c r="I3" s="20">
        <v>52968673.08136916</v>
      </c>
      <c r="J3" s="20">
        <v>43452301.1240885</v>
      </c>
      <c r="K3" s="20">
        <v>52968673.08136916</v>
      </c>
      <c r="X3" s="17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9"/>
      <c r="AM3" s="9"/>
      <c r="AN3" s="18"/>
      <c r="AO3" s="18"/>
      <c r="AP3" s="9"/>
      <c r="AQ3" s="9"/>
      <c r="AR3" s="9"/>
      <c r="AS3" s="9"/>
      <c r="AT3" s="18"/>
      <c r="AU3" s="18"/>
    </row>
    <row r="4" spans="1:68" ht="15">
      <c r="A4" s="2" t="s">
        <v>1</v>
      </c>
      <c r="B4" s="5">
        <v>15734024</v>
      </c>
      <c r="C4" s="5">
        <f>B4*1.005</f>
        <v>15812694.12</v>
      </c>
      <c r="D4" s="5">
        <v>13817810.9048546</v>
      </c>
      <c r="E4" s="5">
        <v>7726925.305178025</v>
      </c>
      <c r="F4" s="5" t="str">
        <f>IF(D4&gt;C4,D4-C4,"ingen")</f>
        <v>ingen</v>
      </c>
      <c r="G4" s="5">
        <f>IF(F4="ingen",D4,IF(E4&lt;F4,D4-E4,C4))</f>
        <v>13817810.9048546</v>
      </c>
      <c r="H4" s="5">
        <f>AS4</f>
        <v>8889615.040000001</v>
      </c>
      <c r="I4" s="5">
        <f>AT4</f>
        <v>11646775.266583228</v>
      </c>
      <c r="J4" s="5">
        <f>H4+(0.3*G4)</f>
        <v>13034958.31145638</v>
      </c>
      <c r="K4" s="5">
        <f>I4+(0.3*G4)</f>
        <v>15792118.538039608</v>
      </c>
      <c r="L4" s="5">
        <f>'Potentialer og krav'!R4</f>
        <v>690890.5452427301</v>
      </c>
      <c r="M4" s="5">
        <f aca="true" t="shared" si="0" ref="M4:M35">0.005*B4</f>
        <v>78670.12</v>
      </c>
      <c r="N4" s="5">
        <f aca="true" t="shared" si="1" ref="N4:N35">0.023*C4</f>
        <v>363691.96476</v>
      </c>
      <c r="O4" s="5">
        <f aca="true" t="shared" si="2" ref="O4:O35">D4-E4</f>
        <v>6090885.599676575</v>
      </c>
      <c r="P4" s="5">
        <f aca="true" t="shared" si="3" ref="P4:P35">0.023*G4</f>
        <v>317809.6508116558</v>
      </c>
      <c r="Q4" s="5">
        <f aca="true" t="shared" si="4" ref="Q4:Q35">1.023*G4</f>
        <v>14135620.555666255</v>
      </c>
      <c r="R4" s="5">
        <f aca="true" t="shared" si="5" ref="R4:R35">1.023*C4</f>
        <v>16176386.084759997</v>
      </c>
      <c r="S4" s="5">
        <f aca="true" t="shared" si="6" ref="S4:S35">0.023*D4</f>
        <v>317809.6508116558</v>
      </c>
      <c r="T4" s="5">
        <f aca="true" t="shared" si="7" ref="T4:T35">1.023*D4</f>
        <v>14135620.555666255</v>
      </c>
      <c r="U4" s="20">
        <f>R4-T4</f>
        <v>2040765.5290937424</v>
      </c>
      <c r="V4" s="20" t="str">
        <f aca="true" t="shared" si="8" ref="V4:V35">IF(F4="ingen","ingen",IF(G4&lt;=O4,Q4-T4,"tal til venstre"))</f>
        <v>ingen</v>
      </c>
      <c r="X4" s="19" t="s">
        <v>1</v>
      </c>
      <c r="Y4" s="19">
        <v>0</v>
      </c>
      <c r="Z4" s="19">
        <v>59</v>
      </c>
      <c r="AA4" s="19">
        <v>5</v>
      </c>
      <c r="AB4" s="19">
        <v>0</v>
      </c>
      <c r="AC4" s="19">
        <v>0</v>
      </c>
      <c r="AD4" s="19">
        <v>0</v>
      </c>
      <c r="AE4" s="19">
        <v>44</v>
      </c>
      <c r="AF4" s="19">
        <v>1729</v>
      </c>
      <c r="AG4" s="19">
        <v>37</v>
      </c>
      <c r="AH4" s="19">
        <v>380</v>
      </c>
      <c r="AI4" s="19">
        <v>38</v>
      </c>
      <c r="AJ4" s="19">
        <v>0</v>
      </c>
      <c r="AK4" s="20">
        <v>8421</v>
      </c>
      <c r="AL4" s="19">
        <v>0</v>
      </c>
      <c r="AM4" s="21">
        <f aca="true" t="shared" si="9" ref="AM4:AM35">7983*Y4+17432*Z4+67697*(AA4+AB4)+775973*(AC4+AD4)</f>
        <v>1366973</v>
      </c>
      <c r="AN4" s="19">
        <f aca="true" t="shared" si="10" ref="AN4:AN35">AE4*13523</f>
        <v>595012</v>
      </c>
      <c r="AO4" s="19">
        <f aca="true" t="shared" si="11" ref="AO4:AO35">AF4*24.06</f>
        <v>41599.74</v>
      </c>
      <c r="AP4" s="19">
        <f aca="true" t="shared" si="12" ref="AP4:AP35">5.48*(AG4+AH4)*1000+93.53*(AI4+AJ4)*1000</f>
        <v>5839300</v>
      </c>
      <c r="AQ4" s="19">
        <f aca="true" t="shared" si="13" ref="AQ4:AQ35">124.3*AK4</f>
        <v>1046730.2999999999</v>
      </c>
      <c r="AR4" s="19"/>
      <c r="AS4" s="19">
        <f aca="true" t="shared" si="14" ref="AS4:AS35">SUM(AL4:AR4)+AV4</f>
        <v>8889615.040000001</v>
      </c>
      <c r="AT4" s="21">
        <f aca="true" t="shared" si="15" ref="AT4:AT35">(0.761+0.013*AU4)*AS4</f>
        <v>11646775.266583228</v>
      </c>
      <c r="AU4" s="5">
        <v>42.24270679176699</v>
      </c>
      <c r="AX4" s="5" t="str">
        <f>X4</f>
        <v>Afløb Ballerup A/S</v>
      </c>
      <c r="AY4" s="5">
        <f aca="true" t="shared" si="16" ref="AY4:BD4">(AL4/SUM($AL4:$AQ4))*100</f>
        <v>0</v>
      </c>
      <c r="AZ4" s="5">
        <f t="shared" si="16"/>
        <v>15.377190056589896</v>
      </c>
      <c r="BA4" s="5">
        <f t="shared" si="16"/>
        <v>6.693338207815127</v>
      </c>
      <c r="BB4" s="5">
        <f t="shared" si="16"/>
        <v>0.4679588465059112</v>
      </c>
      <c r="BC4" s="5">
        <f t="shared" si="16"/>
        <v>65.68675891729052</v>
      </c>
      <c r="BD4" s="5">
        <f t="shared" si="16"/>
        <v>11.774753971798534</v>
      </c>
      <c r="BF4" s="5">
        <f>BA4+BC4+BD4</f>
        <v>84.15485109690418</v>
      </c>
      <c r="BH4" s="5">
        <f>$AY$110-AY4</f>
        <v>48.641283345293196</v>
      </c>
      <c r="BI4" s="5">
        <f>$AZ$110-AZ4</f>
        <v>1.133297644986552</v>
      </c>
      <c r="BJ4" s="5">
        <f>$BA$110-BA4</f>
        <v>-4.5819795225841435</v>
      </c>
      <c r="BK4" s="5">
        <f>$BB$110-BB4</f>
        <v>0.3631885085846875</v>
      </c>
      <c r="BL4" s="5">
        <f>$BC$110-BC4</f>
        <v>-40.951437348586076</v>
      </c>
      <c r="BM4" s="5">
        <f>$BD$110-BD4</f>
        <v>-4.604352627694213</v>
      </c>
      <c r="BO4" s="5">
        <f>$BF$110-BF4</f>
        <v>-52.24912818409542</v>
      </c>
      <c r="BP4" s="5">
        <f>IF(BO4&lt;$BF$113,(BO4-$BF$113)*0.3265*0.7,0)</f>
        <v>-6.8224791796232</v>
      </c>
    </row>
    <row r="5" spans="1:68" ht="15">
      <c r="A5" s="2" t="s">
        <v>2</v>
      </c>
      <c r="B5" s="5">
        <v>11112491</v>
      </c>
      <c r="C5" s="5">
        <f aca="true" t="shared" si="17" ref="C5:C68">B5*1.005</f>
        <v>11168053.454999998</v>
      </c>
      <c r="D5" s="5">
        <v>10581388.100063201</v>
      </c>
      <c r="E5" s="5">
        <v>7893247.825293125</v>
      </c>
      <c r="F5" s="5" t="str">
        <f aca="true" t="shared" si="18" ref="F5:F68">IF(D5&gt;C5,D5-C5,"ingen")</f>
        <v>ingen</v>
      </c>
      <c r="G5" s="5">
        <f aca="true" t="shared" si="19" ref="G5:G68">IF(F5="ingen",D5,IF(E5&lt;F5,D5-E5,C5))</f>
        <v>10581388.100063201</v>
      </c>
      <c r="H5" s="5">
        <f aca="true" t="shared" si="20" ref="H5:H68">AS5</f>
        <v>6905080.2</v>
      </c>
      <c r="I5" s="5">
        <f aca="true" t="shared" si="21" ref="I5:I68">AT5</f>
        <v>8829145.765591098</v>
      </c>
      <c r="J5" s="5">
        <f aca="true" t="shared" si="22" ref="J5:J68">H5+(0.3*G5)</f>
        <v>10079496.63001896</v>
      </c>
      <c r="K5" s="5">
        <f aca="true" t="shared" si="23" ref="K5:K68">I5+(0.3*G5)</f>
        <v>12003562.195610058</v>
      </c>
      <c r="L5" s="5">
        <f>'Potentialer og krav'!R5</f>
        <v>529069.4050031601</v>
      </c>
      <c r="M5" s="5">
        <f t="shared" si="0"/>
        <v>55562.455</v>
      </c>
      <c r="N5" s="5">
        <f t="shared" si="1"/>
        <v>256865.22946499995</v>
      </c>
      <c r="O5" s="5">
        <f t="shared" si="2"/>
        <v>2688140.2747700764</v>
      </c>
      <c r="P5" s="5">
        <f t="shared" si="3"/>
        <v>243371.9263014536</v>
      </c>
      <c r="Q5" s="5">
        <f t="shared" si="4"/>
        <v>10824760.026364654</v>
      </c>
      <c r="R5" s="5">
        <f t="shared" si="5"/>
        <v>11424918.684464997</v>
      </c>
      <c r="S5" s="5">
        <f t="shared" si="6"/>
        <v>243371.9263014536</v>
      </c>
      <c r="T5" s="5">
        <f t="shared" si="7"/>
        <v>10824760.026364654</v>
      </c>
      <c r="U5" s="20">
        <f aca="true" t="shared" si="24" ref="U5:U68">R5-T5</f>
        <v>600158.6581003424</v>
      </c>
      <c r="V5" s="20" t="str">
        <f t="shared" si="8"/>
        <v>ingen</v>
      </c>
      <c r="X5" s="19" t="s">
        <v>2</v>
      </c>
      <c r="Y5" s="19">
        <v>24</v>
      </c>
      <c r="Z5" s="19">
        <v>22</v>
      </c>
      <c r="AA5" s="19">
        <v>0</v>
      </c>
      <c r="AB5" s="19">
        <v>0</v>
      </c>
      <c r="AC5" s="19">
        <v>0</v>
      </c>
      <c r="AD5" s="19">
        <v>0</v>
      </c>
      <c r="AE5" s="19">
        <v>21</v>
      </c>
      <c r="AF5" s="19">
        <v>0</v>
      </c>
      <c r="AG5" s="19">
        <f>12+1.935</f>
        <v>13.935</v>
      </c>
      <c r="AH5" s="19">
        <f>308+66.685</f>
        <v>374.685</v>
      </c>
      <c r="AI5" s="19">
        <v>0</v>
      </c>
      <c r="AJ5" s="19">
        <v>0</v>
      </c>
      <c r="AK5" s="20">
        <v>8142</v>
      </c>
      <c r="AL5" s="19"/>
      <c r="AM5" s="21">
        <f t="shared" si="9"/>
        <v>575096</v>
      </c>
      <c r="AN5" s="19">
        <f t="shared" si="10"/>
        <v>283983</v>
      </c>
      <c r="AO5" s="19">
        <f t="shared" si="11"/>
        <v>0</v>
      </c>
      <c r="AP5" s="19">
        <f t="shared" si="12"/>
        <v>2129637.6</v>
      </c>
      <c r="AQ5" s="19">
        <f t="shared" si="13"/>
        <v>1012050.6</v>
      </c>
      <c r="AR5" s="19"/>
      <c r="AS5" s="19">
        <f t="shared" si="14"/>
        <v>6905080.2</v>
      </c>
      <c r="AT5" s="21">
        <f t="shared" si="15"/>
        <v>8829145.765591098</v>
      </c>
      <c r="AU5" s="5">
        <v>39.81884050875044</v>
      </c>
      <c r="AV5" s="5">
        <f>2802000+102313</f>
        <v>2904313</v>
      </c>
      <c r="AX5" s="5" t="str">
        <f aca="true" t="shared" si="25" ref="AX5:AX68">X5</f>
        <v>Albertslund Spildevand A/S</v>
      </c>
      <c r="AY5" s="5">
        <f aca="true" t="shared" si="26" ref="AY5:AY68">(AL5/SUM($AL5:$AQ5))*100</f>
        <v>0</v>
      </c>
      <c r="AZ5" s="5">
        <f aca="true" t="shared" si="27" ref="AZ5:AZ68">(AM5/SUM($AL5:$AQ5))*100</f>
        <v>14.37464294348344</v>
      </c>
      <c r="BA5" s="5">
        <f aca="true" t="shared" si="28" ref="BA5:BA68">(AN5/SUM($AL5:$AQ5))*100</f>
        <v>7.098213562638686</v>
      </c>
      <c r="BB5" s="5">
        <f aca="true" t="shared" si="29" ref="BB5:BB68">(AO5/SUM($AL5:$AQ5))*100</f>
        <v>0</v>
      </c>
      <c r="BC5" s="5">
        <f aca="true" t="shared" si="30" ref="BC5:BC68">(AP5/SUM($AL5:$AQ5))*100</f>
        <v>53.23073034591965</v>
      </c>
      <c r="BD5" s="5">
        <f aca="true" t="shared" si="31" ref="BD5:BD68">(AQ5/SUM($AL5:$AQ5))*100</f>
        <v>25.29641314795822</v>
      </c>
      <c r="BF5" s="5">
        <f>BA5+BC5+BD5</f>
        <v>85.62535705651655</v>
      </c>
      <c r="BH5" s="5">
        <f aca="true" t="shared" si="32" ref="BH5:BH68">$AY$110-AY5</f>
        <v>48.641283345293196</v>
      </c>
      <c r="BI5" s="5">
        <f aca="true" t="shared" si="33" ref="BI5:BI68">$AZ$110-AZ5</f>
        <v>2.1358447580930076</v>
      </c>
      <c r="BJ5" s="5">
        <f aca="true" t="shared" si="34" ref="BJ5:BJ68">$BA$110-BA5</f>
        <v>-4.986854877407703</v>
      </c>
      <c r="BK5" s="5">
        <f aca="true" t="shared" si="35" ref="BK5:BK68">$BB$110-BB5</f>
        <v>0.8311473550905987</v>
      </c>
      <c r="BL5" s="5">
        <f aca="true" t="shared" si="36" ref="BL5:BL68">$BC$110-BC5</f>
        <v>-28.49540877721521</v>
      </c>
      <c r="BM5" s="5">
        <f aca="true" t="shared" si="37" ref="BM5:BM68">$BD$110-BD5</f>
        <v>-18.1260118038539</v>
      </c>
      <c r="BO5" s="5">
        <f aca="true" t="shared" si="38" ref="BO5:BO68">$BF$110-BF5</f>
        <v>-53.719634143707786</v>
      </c>
      <c r="BP5" s="5">
        <f aca="true" t="shared" si="39" ref="BP5:BP68">IF(BO5&lt;$BF$113,(BO5-$BF$113)*0.3265*0.7,0)</f>
        <v>-7.158563316692606</v>
      </c>
    </row>
    <row r="6" spans="1:68" ht="15">
      <c r="A6" s="2" t="s">
        <v>3</v>
      </c>
      <c r="B6" s="5">
        <v>17443635</v>
      </c>
      <c r="C6" s="5">
        <f t="shared" si="17"/>
        <v>17530853.174999997</v>
      </c>
      <c r="D6" s="5">
        <v>17978360.6021684</v>
      </c>
      <c r="E6" s="5">
        <v>8619654.459088167</v>
      </c>
      <c r="F6" s="5">
        <f t="shared" si="18"/>
        <v>447507.4271684028</v>
      </c>
      <c r="G6" s="5">
        <f t="shared" si="19"/>
        <v>17530853.174999997</v>
      </c>
      <c r="H6" s="5">
        <f t="shared" si="20"/>
        <v>14469134.822614111</v>
      </c>
      <c r="I6" s="5">
        <f t="shared" si="21"/>
        <v>17411622.554526255</v>
      </c>
      <c r="J6" s="5">
        <f t="shared" si="22"/>
        <v>19728390.77511411</v>
      </c>
      <c r="K6" s="5">
        <f t="shared" si="23"/>
        <v>22670878.507026255</v>
      </c>
      <c r="L6" s="5" t="e">
        <f>'Potentialer og krav'!#REF!</f>
        <v>#REF!</v>
      </c>
      <c r="M6" s="5">
        <f t="shared" si="0"/>
        <v>87218.175</v>
      </c>
      <c r="N6" s="5">
        <f t="shared" si="1"/>
        <v>403209.6230249999</v>
      </c>
      <c r="O6" s="5">
        <f t="shared" si="2"/>
        <v>9358706.143080233</v>
      </c>
      <c r="P6" s="5">
        <f t="shared" si="3"/>
        <v>403209.6230249999</v>
      </c>
      <c r="Q6" s="5">
        <f t="shared" si="4"/>
        <v>17934062.798024997</v>
      </c>
      <c r="R6" s="5">
        <f t="shared" si="5"/>
        <v>17934062.798024997</v>
      </c>
      <c r="S6" s="5">
        <f t="shared" si="6"/>
        <v>413502.2938498732</v>
      </c>
      <c r="T6" s="5">
        <f t="shared" si="7"/>
        <v>18391862.89601827</v>
      </c>
      <c r="U6" s="20">
        <f t="shared" si="24"/>
        <v>-457800.0979932733</v>
      </c>
      <c r="V6" s="20" t="str">
        <f t="shared" si="8"/>
        <v>tal til venstre</v>
      </c>
      <c r="X6" s="19" t="s">
        <v>3</v>
      </c>
      <c r="Y6" s="19">
        <v>139</v>
      </c>
      <c r="Z6" s="19">
        <v>92</v>
      </c>
      <c r="AA6" s="19">
        <v>4</v>
      </c>
      <c r="AB6" s="19"/>
      <c r="AC6" s="19"/>
      <c r="AD6" s="19"/>
      <c r="AE6" s="19">
        <v>25</v>
      </c>
      <c r="AF6" s="19">
        <v>4262</v>
      </c>
      <c r="AG6" s="19">
        <v>47</v>
      </c>
      <c r="AH6" s="19">
        <v>261</v>
      </c>
      <c r="AI6" s="19"/>
      <c r="AJ6" s="19"/>
      <c r="AK6" s="20">
        <v>7341</v>
      </c>
      <c r="AL6" s="5">
        <v>8444020.80261411</v>
      </c>
      <c r="AM6" s="21">
        <f>7983*Y6+17432*Z6+67697*(AA6+AB6)+775973*(AC6+AD6)</f>
        <v>2984169</v>
      </c>
      <c r="AN6" s="19">
        <f>AE6*13523</f>
        <v>338075</v>
      </c>
      <c r="AO6" s="19">
        <f>AF6*24.06</f>
        <v>102543.72</v>
      </c>
      <c r="AP6" s="19">
        <f t="shared" si="12"/>
        <v>1687840.0000000002</v>
      </c>
      <c r="AQ6" s="19">
        <f t="shared" si="13"/>
        <v>912486.2999999999</v>
      </c>
      <c r="AR6" s="19"/>
      <c r="AS6" s="19">
        <f t="shared" si="14"/>
        <v>14469134.822614111</v>
      </c>
      <c r="AT6" s="21">
        <f t="shared" si="15"/>
        <v>17411622.554526255</v>
      </c>
      <c r="AU6" s="5">
        <v>34.027928749373615</v>
      </c>
      <c r="AX6" s="5" t="str">
        <f t="shared" si="25"/>
        <v>Allerød Spildevand A/S</v>
      </c>
      <c r="AY6" s="5">
        <f t="shared" si="26"/>
        <v>58.3588507960875</v>
      </c>
      <c r="AZ6" s="5">
        <f t="shared" si="27"/>
        <v>20.624377591229436</v>
      </c>
      <c r="BA6" s="5">
        <f t="shared" si="28"/>
        <v>2.336525328878791</v>
      </c>
      <c r="BB6" s="5">
        <f t="shared" si="29"/>
        <v>0.7087066452634907</v>
      </c>
      <c r="BC6" s="5">
        <f t="shared" si="30"/>
        <v>11.665106592012952</v>
      </c>
      <c r="BD6" s="5">
        <f t="shared" si="31"/>
        <v>6.306433046527814</v>
      </c>
      <c r="BF6" s="5">
        <f aca="true" t="shared" si="40" ref="BF6:BF69">BA6+BC6+BD6</f>
        <v>20.308064967419558</v>
      </c>
      <c r="BH6" s="5">
        <f t="shared" si="32"/>
        <v>-9.717567450794306</v>
      </c>
      <c r="BI6" s="5">
        <f t="shared" si="33"/>
        <v>-4.113889889652988</v>
      </c>
      <c r="BJ6" s="5">
        <f t="shared" si="34"/>
        <v>-0.2251666436478077</v>
      </c>
      <c r="BK6" s="5">
        <f t="shared" si="35"/>
        <v>0.12244070982710797</v>
      </c>
      <c r="BL6" s="5">
        <f t="shared" si="36"/>
        <v>13.07021497669149</v>
      </c>
      <c r="BM6" s="5">
        <f t="shared" si="37"/>
        <v>0.8639682975765073</v>
      </c>
      <c r="BO6" s="5">
        <f t="shared" si="38"/>
        <v>11.597657945389205</v>
      </c>
      <c r="BP6" s="5">
        <f t="shared" si="39"/>
        <v>0</v>
      </c>
    </row>
    <row r="7" spans="1:68" ht="15">
      <c r="A7" s="2" t="s">
        <v>4</v>
      </c>
      <c r="B7" s="5">
        <v>34249005</v>
      </c>
      <c r="C7" s="5">
        <f t="shared" si="17"/>
        <v>34420250.025</v>
      </c>
      <c r="D7" s="5">
        <v>33333020.5988472</v>
      </c>
      <c r="E7" s="5">
        <v>16277945.66447372</v>
      </c>
      <c r="F7" s="5" t="str">
        <f t="shared" si="18"/>
        <v>ingen</v>
      </c>
      <c r="G7" s="5">
        <f t="shared" si="19"/>
        <v>33333020.5988472</v>
      </c>
      <c r="H7" s="5">
        <f t="shared" si="20"/>
        <v>26571356.206568934</v>
      </c>
      <c r="I7" s="5">
        <f t="shared" si="21"/>
        <v>30009923.645602036</v>
      </c>
      <c r="J7" s="5">
        <f t="shared" si="22"/>
        <v>36571262.38622309</v>
      </c>
      <c r="K7" s="5">
        <f t="shared" si="23"/>
        <v>40009829.8252562</v>
      </c>
      <c r="L7" s="5">
        <f>'Potentialer og krav'!R6</f>
        <v>1666651.02994236</v>
      </c>
      <c r="M7" s="5">
        <f t="shared" si="0"/>
        <v>171245.025</v>
      </c>
      <c r="N7" s="5">
        <f t="shared" si="1"/>
        <v>791665.750575</v>
      </c>
      <c r="O7" s="5">
        <f t="shared" si="2"/>
        <v>17055074.93437348</v>
      </c>
      <c r="P7" s="5">
        <f t="shared" si="3"/>
        <v>766659.4737734855</v>
      </c>
      <c r="Q7" s="5">
        <f t="shared" si="4"/>
        <v>34099680.07262068</v>
      </c>
      <c r="R7" s="5">
        <f t="shared" si="5"/>
        <v>35211915.775575</v>
      </c>
      <c r="S7" s="5">
        <f t="shared" si="6"/>
        <v>766659.4737734855</v>
      </c>
      <c r="T7" s="5">
        <f t="shared" si="7"/>
        <v>34099680.07262068</v>
      </c>
      <c r="U7" s="20">
        <f t="shared" si="24"/>
        <v>1112235.7029543146</v>
      </c>
      <c r="V7" s="20" t="str">
        <f t="shared" si="8"/>
        <v>ingen</v>
      </c>
      <c r="X7" s="19" t="s">
        <v>4</v>
      </c>
      <c r="Y7" s="19">
        <v>109</v>
      </c>
      <c r="Z7" s="19">
        <v>206</v>
      </c>
      <c r="AA7" s="19"/>
      <c r="AB7" s="19"/>
      <c r="AC7" s="19"/>
      <c r="AD7" s="19"/>
      <c r="AE7" s="19">
        <v>50</v>
      </c>
      <c r="AF7" s="19">
        <v>685</v>
      </c>
      <c r="AG7" s="19">
        <v>514</v>
      </c>
      <c r="AH7" s="19">
        <v>490</v>
      </c>
      <c r="AI7" s="19">
        <v>11</v>
      </c>
      <c r="AJ7" s="19">
        <v>0</v>
      </c>
      <c r="AK7" s="20">
        <v>15158</v>
      </c>
      <c r="AL7" s="5">
        <v>12799534.706568936</v>
      </c>
      <c r="AM7" s="21">
        <f t="shared" si="9"/>
        <v>4461139</v>
      </c>
      <c r="AN7" s="19">
        <f t="shared" si="10"/>
        <v>676150</v>
      </c>
      <c r="AO7" s="19">
        <f t="shared" si="11"/>
        <v>16481.1</v>
      </c>
      <c r="AP7" s="19">
        <f t="shared" si="12"/>
        <v>6530750</v>
      </c>
      <c r="AQ7" s="19">
        <f t="shared" si="13"/>
        <v>1884139.4</v>
      </c>
      <c r="AR7" s="19"/>
      <c r="AS7" s="19">
        <f t="shared" si="14"/>
        <v>26571356.206568934</v>
      </c>
      <c r="AT7" s="21">
        <f t="shared" si="15"/>
        <v>30009923.645602036</v>
      </c>
      <c r="AU7" s="5">
        <v>28.339138803052727</v>
      </c>
      <c r="AV7" s="5">
        <v>203162</v>
      </c>
      <c r="AX7" s="5" t="str">
        <f t="shared" si="25"/>
        <v>AquaDjurs as</v>
      </c>
      <c r="AY7" s="5">
        <f t="shared" si="26"/>
        <v>48.54156718619841</v>
      </c>
      <c r="AZ7" s="5">
        <f t="shared" si="27"/>
        <v>16.918636767657855</v>
      </c>
      <c r="BA7" s="5">
        <f t="shared" si="28"/>
        <v>2.5642635771832842</v>
      </c>
      <c r="BB7" s="5">
        <f t="shared" si="29"/>
        <v>0.06250371136865403</v>
      </c>
      <c r="BC7" s="5">
        <f t="shared" si="30"/>
        <v>24.767528442933866</v>
      </c>
      <c r="BD7" s="5">
        <f t="shared" si="31"/>
        <v>7.145500314657941</v>
      </c>
      <c r="BF7" s="5">
        <f t="shared" si="40"/>
        <v>34.477292334775086</v>
      </c>
      <c r="BH7" s="5">
        <f t="shared" si="32"/>
        <v>0.0997161590947897</v>
      </c>
      <c r="BI7" s="5">
        <f t="shared" si="33"/>
        <v>-0.4081490660814069</v>
      </c>
      <c r="BJ7" s="5">
        <f t="shared" si="34"/>
        <v>-0.4529048919523011</v>
      </c>
      <c r="BK7" s="5">
        <f t="shared" si="35"/>
        <v>0.7686436437219446</v>
      </c>
      <c r="BL7" s="5">
        <f t="shared" si="36"/>
        <v>-0.03220687422942348</v>
      </c>
      <c r="BM7" s="5">
        <f t="shared" si="37"/>
        <v>0.024901029446380285</v>
      </c>
      <c r="BO7" s="5">
        <f t="shared" si="38"/>
        <v>-2.5715694219663234</v>
      </c>
      <c r="BP7" s="5">
        <f t="shared" si="39"/>
        <v>0</v>
      </c>
    </row>
    <row r="8" spans="1:68" ht="15">
      <c r="A8" s="3" t="s">
        <v>103</v>
      </c>
      <c r="B8" s="5">
        <v>44699666</v>
      </c>
      <c r="C8" s="5">
        <f t="shared" si="17"/>
        <v>44923164.33</v>
      </c>
      <c r="D8" s="5">
        <v>53684313.4703708</v>
      </c>
      <c r="E8" s="5">
        <v>15025530.707418978</v>
      </c>
      <c r="F8" s="5">
        <f t="shared" si="18"/>
        <v>8761149.140370801</v>
      </c>
      <c r="G8" s="5">
        <f t="shared" si="19"/>
        <v>44923164.33</v>
      </c>
      <c r="H8" s="5">
        <f t="shared" si="20"/>
        <v>59768850.25150751</v>
      </c>
      <c r="I8" s="5">
        <f t="shared" si="21"/>
        <v>70237250.7913987</v>
      </c>
      <c r="J8" s="5">
        <f t="shared" si="22"/>
        <v>73245799.55050752</v>
      </c>
      <c r="K8" s="5">
        <f t="shared" si="23"/>
        <v>83714200.0903987</v>
      </c>
      <c r="L8" s="5" t="e">
        <f>'Potentialer og krav'!#REF!</f>
        <v>#REF!</v>
      </c>
      <c r="M8" s="5">
        <f t="shared" si="0"/>
        <v>223498.33000000002</v>
      </c>
      <c r="N8" s="5">
        <f t="shared" si="1"/>
        <v>1033232.7795899999</v>
      </c>
      <c r="O8" s="5">
        <f t="shared" si="2"/>
        <v>38658782.76295182</v>
      </c>
      <c r="P8" s="5">
        <f t="shared" si="3"/>
        <v>1033232.7795899999</v>
      </c>
      <c r="Q8" s="5">
        <f t="shared" si="4"/>
        <v>45956397.109589994</v>
      </c>
      <c r="R8" s="5">
        <f t="shared" si="5"/>
        <v>45956397.109589994</v>
      </c>
      <c r="S8" s="5">
        <f t="shared" si="6"/>
        <v>1234739.2098185283</v>
      </c>
      <c r="T8" s="5">
        <f t="shared" si="7"/>
        <v>54919052.68018933</v>
      </c>
      <c r="U8" s="20">
        <f t="shared" si="24"/>
        <v>-8962655.570599332</v>
      </c>
      <c r="V8" s="20" t="str">
        <f t="shared" si="8"/>
        <v>tal til venstre</v>
      </c>
      <c r="X8" s="19" t="s">
        <v>103</v>
      </c>
      <c r="Y8" s="19">
        <v>0</v>
      </c>
      <c r="Z8" s="19">
        <v>0</v>
      </c>
      <c r="AA8" s="19">
        <v>367</v>
      </c>
      <c r="AB8" s="19">
        <v>0</v>
      </c>
      <c r="AC8" s="19">
        <v>0</v>
      </c>
      <c r="AD8" s="19">
        <v>0</v>
      </c>
      <c r="AE8" s="19">
        <v>106</v>
      </c>
      <c r="AF8" s="19">
        <v>3216</v>
      </c>
      <c r="AG8" s="19">
        <v>455</v>
      </c>
      <c r="AH8" s="19">
        <v>716</v>
      </c>
      <c r="AI8" s="19">
        <v>0</v>
      </c>
      <c r="AJ8" s="19">
        <v>0</v>
      </c>
      <c r="AK8" s="19">
        <v>24805</v>
      </c>
      <c r="AL8" s="19">
        <v>23912894.79150751</v>
      </c>
      <c r="AM8" s="21">
        <f t="shared" si="9"/>
        <v>24844799</v>
      </c>
      <c r="AN8" s="19">
        <f t="shared" si="10"/>
        <v>1433438</v>
      </c>
      <c r="AO8" s="19">
        <f t="shared" si="11"/>
        <v>77376.95999999999</v>
      </c>
      <c r="AP8" s="19">
        <f t="shared" si="12"/>
        <v>6417080.000000001</v>
      </c>
      <c r="AQ8" s="19">
        <f t="shared" si="13"/>
        <v>3083261.5</v>
      </c>
      <c r="AR8" s="19"/>
      <c r="AS8" s="19">
        <f t="shared" si="14"/>
        <v>59768850.25150751</v>
      </c>
      <c r="AT8" s="21">
        <f t="shared" si="15"/>
        <v>70237250.7913987</v>
      </c>
      <c r="AU8" s="19">
        <v>31.857546127018598</v>
      </c>
      <c r="AX8" s="5" t="str">
        <f t="shared" si="25"/>
        <v>Arwos Spildevand</v>
      </c>
      <c r="AY8" s="5">
        <f t="shared" si="26"/>
        <v>40.00895899934827</v>
      </c>
      <c r="AZ8" s="5">
        <f t="shared" si="27"/>
        <v>41.56813941618921</v>
      </c>
      <c r="BA8" s="5">
        <f t="shared" si="28"/>
        <v>2.398302784758429</v>
      </c>
      <c r="BB8" s="5">
        <f t="shared" si="29"/>
        <v>0.12946034543812954</v>
      </c>
      <c r="BC8" s="5">
        <f t="shared" si="30"/>
        <v>10.736495637772698</v>
      </c>
      <c r="BD8" s="5">
        <f t="shared" si="31"/>
        <v>5.158642816493249</v>
      </c>
      <c r="BF8" s="5">
        <f t="shared" si="40"/>
        <v>18.293441239024375</v>
      </c>
      <c r="BH8" s="5">
        <f t="shared" si="32"/>
        <v>8.632324345944923</v>
      </c>
      <c r="BI8" s="5">
        <f t="shared" si="33"/>
        <v>-25.057651714612764</v>
      </c>
      <c r="BJ8" s="5">
        <f t="shared" si="34"/>
        <v>-0.28694409952744593</v>
      </c>
      <c r="BK8" s="5">
        <f t="shared" si="35"/>
        <v>0.7016870096524691</v>
      </c>
      <c r="BL8" s="5">
        <f t="shared" si="36"/>
        <v>13.998825930931744</v>
      </c>
      <c r="BM8" s="5">
        <f t="shared" si="37"/>
        <v>2.0117585276110717</v>
      </c>
      <c r="BO8" s="5">
        <f t="shared" si="38"/>
        <v>13.612281673784388</v>
      </c>
      <c r="BP8" s="5">
        <f t="shared" si="39"/>
        <v>0</v>
      </c>
    </row>
    <row r="9" spans="1:68" ht="15">
      <c r="A9" s="2" t="s">
        <v>5</v>
      </c>
      <c r="B9" s="5">
        <v>28014707</v>
      </c>
      <c r="C9" s="5">
        <f t="shared" si="17"/>
        <v>28154780.534999996</v>
      </c>
      <c r="D9" s="5">
        <v>26519893.227617998</v>
      </c>
      <c r="E9" s="5">
        <v>5560958.170941973</v>
      </c>
      <c r="F9" s="5" t="str">
        <f t="shared" si="18"/>
        <v>ingen</v>
      </c>
      <c r="G9" s="5">
        <f t="shared" si="19"/>
        <v>26519893.227617998</v>
      </c>
      <c r="H9" s="5">
        <f t="shared" si="20"/>
        <v>32403800.60844338</v>
      </c>
      <c r="I9" s="5">
        <f t="shared" si="21"/>
        <v>34967173.46791197</v>
      </c>
      <c r="J9" s="5">
        <f t="shared" si="22"/>
        <v>40359768.576728776</v>
      </c>
      <c r="K9" s="5">
        <f t="shared" si="23"/>
        <v>42923141.43619737</v>
      </c>
      <c r="L9" s="5">
        <f>'Potentialer og krav'!R7</f>
        <v>0</v>
      </c>
      <c r="M9" s="5">
        <f t="shared" si="0"/>
        <v>140073.535</v>
      </c>
      <c r="N9" s="5">
        <f t="shared" si="1"/>
        <v>647559.9523049999</v>
      </c>
      <c r="O9" s="5">
        <f t="shared" si="2"/>
        <v>20958935.056676023</v>
      </c>
      <c r="P9" s="5">
        <f t="shared" si="3"/>
        <v>609957.5442352139</v>
      </c>
      <c r="Q9" s="5">
        <f t="shared" si="4"/>
        <v>27129850.77185321</v>
      </c>
      <c r="R9" s="5">
        <f t="shared" si="5"/>
        <v>28802340.487304993</v>
      </c>
      <c r="S9" s="5">
        <f t="shared" si="6"/>
        <v>609957.5442352139</v>
      </c>
      <c r="T9" s="5">
        <f t="shared" si="7"/>
        <v>27129850.77185321</v>
      </c>
      <c r="U9" s="20">
        <f t="shared" si="24"/>
        <v>1672489.7154517844</v>
      </c>
      <c r="V9" s="20" t="str">
        <f t="shared" si="8"/>
        <v>ingen</v>
      </c>
      <c r="X9" s="19" t="s">
        <v>5</v>
      </c>
      <c r="Y9" s="19">
        <v>718</v>
      </c>
      <c r="Z9" s="19">
        <v>6</v>
      </c>
      <c r="AA9" s="19">
        <v>3</v>
      </c>
      <c r="AB9" s="19">
        <v>0</v>
      </c>
      <c r="AC9" s="19">
        <v>0</v>
      </c>
      <c r="AD9" s="19">
        <v>0</v>
      </c>
      <c r="AE9" s="19">
        <v>96</v>
      </c>
      <c r="AF9" s="19">
        <v>11601</v>
      </c>
      <c r="AG9" s="19">
        <v>569.567</v>
      </c>
      <c r="AH9" s="19">
        <v>482.396</v>
      </c>
      <c r="AI9" s="19">
        <v>0</v>
      </c>
      <c r="AJ9" s="19">
        <v>0</v>
      </c>
      <c r="AK9" s="20">
        <v>16100</v>
      </c>
      <c r="AL9" s="5">
        <v>17021008.308443382</v>
      </c>
      <c r="AM9" s="21">
        <f t="shared" si="9"/>
        <v>6039477</v>
      </c>
      <c r="AN9" s="19">
        <f t="shared" si="10"/>
        <v>1298208</v>
      </c>
      <c r="AO9" s="19">
        <f t="shared" si="11"/>
        <v>279120.06</v>
      </c>
      <c r="AP9" s="19">
        <f t="shared" si="12"/>
        <v>5764757.24</v>
      </c>
      <c r="AQ9" s="19">
        <f t="shared" si="13"/>
        <v>2001230</v>
      </c>
      <c r="AR9" s="19"/>
      <c r="AS9" s="19">
        <f t="shared" si="14"/>
        <v>32403800.60844338</v>
      </c>
      <c r="AT9" s="21">
        <f t="shared" si="15"/>
        <v>34967173.46791197</v>
      </c>
      <c r="AU9" s="5">
        <v>24.469782061022187</v>
      </c>
      <c r="AX9" s="5" t="str">
        <f t="shared" si="25"/>
        <v>Assens Spildevand A/S</v>
      </c>
      <c r="AY9" s="5">
        <f t="shared" si="26"/>
        <v>52.527814604587654</v>
      </c>
      <c r="AZ9" s="5">
        <f t="shared" si="27"/>
        <v>18.63817480232954</v>
      </c>
      <c r="BA9" s="5">
        <f t="shared" si="28"/>
        <v>4.006344859626525</v>
      </c>
      <c r="BB9" s="5">
        <f t="shared" si="29"/>
        <v>0.8613806243680885</v>
      </c>
      <c r="BC9" s="5">
        <f t="shared" si="30"/>
        <v>17.790373757879166</v>
      </c>
      <c r="BD9" s="5">
        <f t="shared" si="31"/>
        <v>6.175911351209044</v>
      </c>
      <c r="BF9" s="5">
        <f t="shared" si="40"/>
        <v>27.972629968714735</v>
      </c>
      <c r="BH9" s="5">
        <f t="shared" si="32"/>
        <v>-3.8865312592944576</v>
      </c>
      <c r="BI9" s="5">
        <f t="shared" si="33"/>
        <v>-2.127687100753093</v>
      </c>
      <c r="BJ9" s="5">
        <f t="shared" si="34"/>
        <v>-1.8949861743955418</v>
      </c>
      <c r="BK9" s="5">
        <f t="shared" si="35"/>
        <v>-0.030233269277489816</v>
      </c>
      <c r="BL9" s="5">
        <f t="shared" si="36"/>
        <v>6.944947810825276</v>
      </c>
      <c r="BM9" s="5">
        <f t="shared" si="37"/>
        <v>0.9944899928952768</v>
      </c>
      <c r="BO9" s="5">
        <f t="shared" si="38"/>
        <v>3.933092944094028</v>
      </c>
      <c r="BP9" s="5">
        <f t="shared" si="39"/>
        <v>0</v>
      </c>
    </row>
    <row r="10" spans="1:68" ht="15">
      <c r="A10" s="2" t="s">
        <v>6</v>
      </c>
      <c r="B10" s="5">
        <v>18314206</v>
      </c>
      <c r="C10" s="5">
        <f t="shared" si="17"/>
        <v>18405777.029999997</v>
      </c>
      <c r="D10" s="5">
        <v>22640205.3275272</v>
      </c>
      <c r="E10" s="5">
        <v>5897277.667324163</v>
      </c>
      <c r="F10" s="5">
        <f t="shared" si="18"/>
        <v>4234428.2975272015</v>
      </c>
      <c r="G10" s="5">
        <f t="shared" si="19"/>
        <v>18405777.029999997</v>
      </c>
      <c r="H10" s="5">
        <f t="shared" si="20"/>
        <v>24290164.73290362</v>
      </c>
      <c r="I10" s="5">
        <f t="shared" si="21"/>
        <v>32061626.342971183</v>
      </c>
      <c r="J10" s="5">
        <f t="shared" si="22"/>
        <v>29811897.84190362</v>
      </c>
      <c r="K10" s="5">
        <f t="shared" si="23"/>
        <v>37583359.45197118</v>
      </c>
      <c r="L10" s="5" t="e">
        <f>'Potentialer og krav'!#REF!</f>
        <v>#REF!</v>
      </c>
      <c r="M10" s="5">
        <f t="shared" si="0"/>
        <v>91571.03</v>
      </c>
      <c r="N10" s="5">
        <f t="shared" si="1"/>
        <v>423332.87168999994</v>
      </c>
      <c r="O10" s="5">
        <f t="shared" si="2"/>
        <v>16742927.660203036</v>
      </c>
      <c r="P10" s="5">
        <f t="shared" si="3"/>
        <v>423332.87168999994</v>
      </c>
      <c r="Q10" s="5">
        <f t="shared" si="4"/>
        <v>18829109.901689995</v>
      </c>
      <c r="R10" s="5">
        <f t="shared" si="5"/>
        <v>18829109.901689995</v>
      </c>
      <c r="S10" s="5">
        <f t="shared" si="6"/>
        <v>520724.72253312555</v>
      </c>
      <c r="T10" s="5">
        <f t="shared" si="7"/>
        <v>23160930.05006032</v>
      </c>
      <c r="U10" s="20">
        <f t="shared" si="24"/>
        <v>-4331820.148370326</v>
      </c>
      <c r="V10" s="20" t="str">
        <f t="shared" si="8"/>
        <v>tal til venstre</v>
      </c>
      <c r="X10" s="19" t="s">
        <v>6</v>
      </c>
      <c r="Y10" s="19"/>
      <c r="Z10" s="19">
        <v>100</v>
      </c>
      <c r="AA10" s="19">
        <v>4</v>
      </c>
      <c r="AB10" s="19"/>
      <c r="AC10" s="19"/>
      <c r="AD10" s="19"/>
      <c r="AE10" s="19">
        <v>15</v>
      </c>
      <c r="AF10" s="19">
        <v>8780</v>
      </c>
      <c r="AG10" s="19"/>
      <c r="AH10" s="19">
        <v>368</v>
      </c>
      <c r="AI10" s="19"/>
      <c r="AJ10" s="19"/>
      <c r="AK10" s="20">
        <v>10590</v>
      </c>
      <c r="AL10" s="5">
        <v>18529107.932903618</v>
      </c>
      <c r="AM10" s="21">
        <f t="shared" si="9"/>
        <v>2013988</v>
      </c>
      <c r="AN10" s="19">
        <f t="shared" si="10"/>
        <v>202845</v>
      </c>
      <c r="AO10" s="19">
        <f t="shared" si="11"/>
        <v>211246.8</v>
      </c>
      <c r="AP10" s="19">
        <f t="shared" si="12"/>
        <v>2016640</v>
      </c>
      <c r="AQ10" s="19">
        <f t="shared" si="13"/>
        <v>1316337</v>
      </c>
      <c r="AR10" s="19"/>
      <c r="AS10" s="19">
        <f t="shared" si="14"/>
        <v>24290164.73290362</v>
      </c>
      <c r="AT10" s="21">
        <f t="shared" si="15"/>
        <v>32061626.342971183</v>
      </c>
      <c r="AU10" s="5">
        <v>42.99559459408021</v>
      </c>
      <c r="AX10" s="5" t="str">
        <f t="shared" si="25"/>
        <v>Billund Spildevand A/S</v>
      </c>
      <c r="AY10" s="5">
        <f t="shared" si="26"/>
        <v>76.282347759478</v>
      </c>
      <c r="AZ10" s="5">
        <f t="shared" si="27"/>
        <v>8.291372339981864</v>
      </c>
      <c r="BA10" s="5">
        <f t="shared" si="28"/>
        <v>0.8350910841095482</v>
      </c>
      <c r="BB10" s="5">
        <f t="shared" si="29"/>
        <v>0.86968039254935</v>
      </c>
      <c r="BC10" s="5">
        <f t="shared" si="30"/>
        <v>8.302290339218022</v>
      </c>
      <c r="BD10" s="5">
        <f t="shared" si="31"/>
        <v>5.419218084663218</v>
      </c>
      <c r="BF10" s="5">
        <f t="shared" si="40"/>
        <v>14.556599507990788</v>
      </c>
      <c r="BH10" s="5">
        <f t="shared" si="32"/>
        <v>-27.641064414184804</v>
      </c>
      <c r="BI10" s="5">
        <f t="shared" si="33"/>
        <v>8.219115361594584</v>
      </c>
      <c r="BJ10" s="5">
        <f t="shared" si="34"/>
        <v>1.276267601121435</v>
      </c>
      <c r="BK10" s="5">
        <f t="shared" si="35"/>
        <v>-0.03853303745875136</v>
      </c>
      <c r="BL10" s="5">
        <f t="shared" si="36"/>
        <v>16.43303122948642</v>
      </c>
      <c r="BM10" s="5">
        <f t="shared" si="37"/>
        <v>1.7511832594411034</v>
      </c>
      <c r="BO10" s="5">
        <f t="shared" si="38"/>
        <v>17.349123404817973</v>
      </c>
      <c r="BP10" s="5">
        <f t="shared" si="39"/>
        <v>0</v>
      </c>
    </row>
    <row r="11" spans="1:68" ht="15">
      <c r="A11" s="2" t="s">
        <v>7</v>
      </c>
      <c r="B11" s="5">
        <v>31261886</v>
      </c>
      <c r="C11" s="5">
        <f t="shared" si="17"/>
        <v>31418195.429999996</v>
      </c>
      <c r="D11" s="5">
        <v>34642368.07446241</v>
      </c>
      <c r="E11" s="5">
        <v>13386741.82408547</v>
      </c>
      <c r="F11" s="5">
        <f t="shared" si="18"/>
        <v>3224172.6444624104</v>
      </c>
      <c r="G11" s="5">
        <f t="shared" si="19"/>
        <v>31418195.429999996</v>
      </c>
      <c r="H11" s="5">
        <f t="shared" si="20"/>
        <v>30389948.582175776</v>
      </c>
      <c r="I11" s="5">
        <f t="shared" si="21"/>
        <v>40845219.55078303</v>
      </c>
      <c r="J11" s="5">
        <f t="shared" si="22"/>
        <v>39815407.21117578</v>
      </c>
      <c r="K11" s="5">
        <f t="shared" si="23"/>
        <v>50270678.17978303</v>
      </c>
      <c r="L11" s="5" t="e">
        <f>'Potentialer og krav'!#REF!</f>
        <v>#REF!</v>
      </c>
      <c r="M11" s="5">
        <f t="shared" si="0"/>
        <v>156309.43</v>
      </c>
      <c r="N11" s="5">
        <f t="shared" si="1"/>
        <v>722618.4948899999</v>
      </c>
      <c r="O11" s="5">
        <f t="shared" si="2"/>
        <v>21255626.250376936</v>
      </c>
      <c r="P11" s="5">
        <f t="shared" si="3"/>
        <v>722618.4948899999</v>
      </c>
      <c r="Q11" s="5">
        <f t="shared" si="4"/>
        <v>32140813.924889993</v>
      </c>
      <c r="R11" s="5">
        <f t="shared" si="5"/>
        <v>32140813.924889993</v>
      </c>
      <c r="S11" s="5">
        <f t="shared" si="6"/>
        <v>796774.4657126353</v>
      </c>
      <c r="T11" s="5">
        <f t="shared" si="7"/>
        <v>35439142.540175036</v>
      </c>
      <c r="U11" s="20">
        <f t="shared" si="24"/>
        <v>-3298328.6152850427</v>
      </c>
      <c r="V11" s="20" t="str">
        <f t="shared" si="8"/>
        <v>tal til venstre</v>
      </c>
      <c r="X11" s="19" t="s">
        <v>7</v>
      </c>
      <c r="Y11" s="19">
        <v>116</v>
      </c>
      <c r="Z11" s="19">
        <v>169</v>
      </c>
      <c r="AA11" s="19">
        <v>2</v>
      </c>
      <c r="AB11" s="19"/>
      <c r="AC11" s="19"/>
      <c r="AD11" s="19"/>
      <c r="AE11" s="19">
        <v>8</v>
      </c>
      <c r="AF11" s="19">
        <v>3810</v>
      </c>
      <c r="AG11" s="19">
        <v>232</v>
      </c>
      <c r="AH11" s="19">
        <v>586</v>
      </c>
      <c r="AI11" s="19"/>
      <c r="AJ11" s="19"/>
      <c r="AK11" s="20">
        <v>17207</v>
      </c>
      <c r="AL11" s="5">
        <v>19561195.882175773</v>
      </c>
      <c r="AM11" s="21">
        <f t="shared" si="9"/>
        <v>4007430</v>
      </c>
      <c r="AN11" s="19">
        <f t="shared" si="10"/>
        <v>108184</v>
      </c>
      <c r="AO11" s="19">
        <f t="shared" si="11"/>
        <v>91668.59999999999</v>
      </c>
      <c r="AP11" s="19">
        <f t="shared" si="12"/>
        <v>4482640</v>
      </c>
      <c r="AQ11" s="19">
        <f t="shared" si="13"/>
        <v>2138830.1</v>
      </c>
      <c r="AR11" s="19"/>
      <c r="AS11" s="19">
        <f t="shared" si="14"/>
        <v>30389948.582175776</v>
      </c>
      <c r="AT11" s="21">
        <f t="shared" si="15"/>
        <v>40845219.55078303</v>
      </c>
      <c r="AU11" s="5">
        <v>44.849010702529675</v>
      </c>
      <c r="AX11" s="5" t="str">
        <f t="shared" si="25"/>
        <v>Bornholms Spildevand A/S</v>
      </c>
      <c r="AY11" s="5">
        <f t="shared" si="26"/>
        <v>64.36732141642632</v>
      </c>
      <c r="AZ11" s="5">
        <f t="shared" si="27"/>
        <v>13.186695558775726</v>
      </c>
      <c r="BA11" s="5">
        <f t="shared" si="28"/>
        <v>0.3559861238575828</v>
      </c>
      <c r="BB11" s="5">
        <f t="shared" si="29"/>
        <v>0.30164118162991954</v>
      </c>
      <c r="BC11" s="5">
        <f t="shared" si="30"/>
        <v>14.750403370636647</v>
      </c>
      <c r="BD11" s="5">
        <f t="shared" si="31"/>
        <v>7.0379523486738</v>
      </c>
      <c r="BF11" s="5">
        <f t="shared" si="40"/>
        <v>22.14434184316803</v>
      </c>
      <c r="BH11" s="5">
        <f t="shared" si="32"/>
        <v>-15.726038071133125</v>
      </c>
      <c r="BI11" s="5">
        <f t="shared" si="33"/>
        <v>3.3237921428007215</v>
      </c>
      <c r="BJ11" s="5">
        <f t="shared" si="34"/>
        <v>1.7553725613734004</v>
      </c>
      <c r="BK11" s="5">
        <f t="shared" si="35"/>
        <v>0.5295061734606792</v>
      </c>
      <c r="BL11" s="5">
        <f t="shared" si="36"/>
        <v>9.984918198067795</v>
      </c>
      <c r="BM11" s="5">
        <f t="shared" si="37"/>
        <v>0.13244899543052124</v>
      </c>
      <c r="BO11" s="5">
        <f t="shared" si="38"/>
        <v>9.761381069640734</v>
      </c>
      <c r="BP11" s="5">
        <f t="shared" si="39"/>
        <v>0</v>
      </c>
    </row>
    <row r="12" spans="1:68" ht="15">
      <c r="A12" s="2" t="s">
        <v>8</v>
      </c>
      <c r="B12" s="5">
        <v>5501030</v>
      </c>
      <c r="C12" s="5">
        <f t="shared" si="17"/>
        <v>5528535.149999999</v>
      </c>
      <c r="D12" s="5">
        <v>3716090.0911246003</v>
      </c>
      <c r="E12" s="5">
        <v>0</v>
      </c>
      <c r="F12" s="5" t="str">
        <f t="shared" si="18"/>
        <v>ingen</v>
      </c>
      <c r="G12" s="5">
        <f t="shared" si="19"/>
        <v>3716090.0911246003</v>
      </c>
      <c r="H12" s="5">
        <f t="shared" si="20"/>
        <v>7727092.5</v>
      </c>
      <c r="I12" s="5">
        <f t="shared" si="21"/>
        <v>10614709.19504405</v>
      </c>
      <c r="J12" s="5">
        <f t="shared" si="22"/>
        <v>8841919.52733738</v>
      </c>
      <c r="K12" s="5">
        <f t="shared" si="23"/>
        <v>11729536.22238143</v>
      </c>
      <c r="L12" s="5">
        <f>'Potentialer og krav'!R8</f>
        <v>0</v>
      </c>
      <c r="M12" s="5">
        <f t="shared" si="0"/>
        <v>27505.15</v>
      </c>
      <c r="N12" s="5">
        <f t="shared" si="1"/>
        <v>127156.30844999998</v>
      </c>
      <c r="O12" s="5">
        <f t="shared" si="2"/>
        <v>3716090.0911246003</v>
      </c>
      <c r="P12" s="5">
        <f t="shared" si="3"/>
        <v>85470.0720958658</v>
      </c>
      <c r="Q12" s="5">
        <f t="shared" si="4"/>
        <v>3801560.1632204656</v>
      </c>
      <c r="R12" s="5">
        <f t="shared" si="5"/>
        <v>5655691.458449999</v>
      </c>
      <c r="S12" s="5">
        <f t="shared" si="6"/>
        <v>85470.0720958658</v>
      </c>
      <c r="T12" s="5">
        <f t="shared" si="7"/>
        <v>3801560.1632204656</v>
      </c>
      <c r="U12" s="20">
        <f t="shared" si="24"/>
        <v>1854131.2952295332</v>
      </c>
      <c r="V12" s="20" t="str">
        <f t="shared" si="8"/>
        <v>ingen</v>
      </c>
      <c r="X12" s="19" t="s">
        <v>8</v>
      </c>
      <c r="Y12" s="19"/>
      <c r="Z12" s="19">
        <v>36</v>
      </c>
      <c r="AA12" s="19">
        <v>2</v>
      </c>
      <c r="AB12" s="19"/>
      <c r="AC12" s="19"/>
      <c r="AD12" s="19"/>
      <c r="AE12" s="19">
        <v>15</v>
      </c>
      <c r="AF12" s="19">
        <v>9100</v>
      </c>
      <c r="AG12" s="19">
        <v>40</v>
      </c>
      <c r="AH12" s="19">
        <v>233</v>
      </c>
      <c r="AI12" s="19">
        <v>46</v>
      </c>
      <c r="AJ12" s="19">
        <v>0</v>
      </c>
      <c r="AK12" s="20">
        <v>5985</v>
      </c>
      <c r="AL12" s="5">
        <v>0</v>
      </c>
      <c r="AM12" s="21">
        <f t="shared" si="9"/>
        <v>762946</v>
      </c>
      <c r="AN12" s="19">
        <f t="shared" si="10"/>
        <v>202845</v>
      </c>
      <c r="AO12" s="19">
        <f t="shared" si="11"/>
        <v>218946</v>
      </c>
      <c r="AP12" s="19">
        <f t="shared" si="12"/>
        <v>5798420</v>
      </c>
      <c r="AQ12" s="19">
        <f t="shared" si="13"/>
        <v>743935.5</v>
      </c>
      <c r="AR12" s="19"/>
      <c r="AS12" s="19">
        <f t="shared" si="14"/>
        <v>7727092.5</v>
      </c>
      <c r="AT12" s="21">
        <f t="shared" si="15"/>
        <v>10614709.19504405</v>
      </c>
      <c r="AU12" s="5">
        <v>47.13079140842182</v>
      </c>
      <c r="AX12" s="5" t="str">
        <f t="shared" si="25"/>
        <v>Brøndby Kloakforsyning A/S</v>
      </c>
      <c r="AY12" s="5">
        <f t="shared" si="26"/>
        <v>0</v>
      </c>
      <c r="AZ12" s="5">
        <f t="shared" si="27"/>
        <v>9.873649111874874</v>
      </c>
      <c r="BA12" s="5">
        <f t="shared" si="28"/>
        <v>2.6251141681039796</v>
      </c>
      <c r="BB12" s="5">
        <f t="shared" si="29"/>
        <v>2.8334849103980573</v>
      </c>
      <c r="BC12" s="5">
        <f t="shared" si="30"/>
        <v>75.04012667118971</v>
      </c>
      <c r="BD12" s="5">
        <f t="shared" si="31"/>
        <v>9.627625138433375</v>
      </c>
      <c r="BF12" s="5">
        <f t="shared" si="40"/>
        <v>87.29286597772706</v>
      </c>
      <c r="BH12" s="5">
        <f t="shared" si="32"/>
        <v>48.641283345293196</v>
      </c>
      <c r="BI12" s="5">
        <f t="shared" si="33"/>
        <v>6.636838589701574</v>
      </c>
      <c r="BJ12" s="5">
        <f t="shared" si="34"/>
        <v>-0.5137554828729964</v>
      </c>
      <c r="BK12" s="5">
        <f t="shared" si="35"/>
        <v>-2.0023375553074585</v>
      </c>
      <c r="BL12" s="5">
        <f t="shared" si="36"/>
        <v>-50.30480510248527</v>
      </c>
      <c r="BM12" s="5">
        <f t="shared" si="37"/>
        <v>-2.457223794329054</v>
      </c>
      <c r="BO12" s="5">
        <f t="shared" si="38"/>
        <v>-55.3871430649183</v>
      </c>
      <c r="BP12" s="5">
        <f t="shared" si="39"/>
        <v>-7.53967248063527</v>
      </c>
    </row>
    <row r="13" spans="1:68" ht="15">
      <c r="A13" s="2" t="s">
        <v>9</v>
      </c>
      <c r="B13" s="5">
        <v>20943795</v>
      </c>
      <c r="C13" s="5">
        <f t="shared" si="17"/>
        <v>21048513.974999998</v>
      </c>
      <c r="D13" s="5">
        <v>15469946.471336</v>
      </c>
      <c r="E13" s="5">
        <v>4348386.920836598</v>
      </c>
      <c r="F13" s="5" t="str">
        <f t="shared" si="18"/>
        <v>ingen</v>
      </c>
      <c r="G13" s="5">
        <f t="shared" si="19"/>
        <v>15469946.471336</v>
      </c>
      <c r="H13" s="5">
        <f t="shared" si="20"/>
        <v>17194612.624584526</v>
      </c>
      <c r="I13" s="5">
        <f t="shared" si="21"/>
        <v>14677881.051199785</v>
      </c>
      <c r="J13" s="5">
        <f t="shared" si="22"/>
        <v>21835596.565985326</v>
      </c>
      <c r="K13" s="5">
        <f t="shared" si="23"/>
        <v>19318864.992600583</v>
      </c>
      <c r="L13" s="5">
        <f>'Potentialer og krav'!R9</f>
        <v>336644.1350536428</v>
      </c>
      <c r="M13" s="5">
        <f t="shared" si="0"/>
        <v>104718.975</v>
      </c>
      <c r="N13" s="5">
        <f t="shared" si="1"/>
        <v>484115.8214249999</v>
      </c>
      <c r="O13" s="5">
        <f t="shared" si="2"/>
        <v>11121559.550499402</v>
      </c>
      <c r="P13" s="5">
        <f t="shared" si="3"/>
        <v>355808.768840728</v>
      </c>
      <c r="Q13" s="5">
        <f t="shared" si="4"/>
        <v>15825755.240176726</v>
      </c>
      <c r="R13" s="5">
        <f t="shared" si="5"/>
        <v>21532629.796424996</v>
      </c>
      <c r="S13" s="5">
        <f t="shared" si="6"/>
        <v>355808.768840728</v>
      </c>
      <c r="T13" s="5">
        <f t="shared" si="7"/>
        <v>15825755.240176726</v>
      </c>
      <c r="U13" s="20">
        <f t="shared" si="24"/>
        <v>5706874.55624827</v>
      </c>
      <c r="V13" s="20" t="str">
        <f t="shared" si="8"/>
        <v>ingen</v>
      </c>
      <c r="X13" s="19" t="s">
        <v>9</v>
      </c>
      <c r="Y13" s="19">
        <v>55</v>
      </c>
      <c r="Z13" s="19">
        <v>96</v>
      </c>
      <c r="AA13" s="19">
        <v>2</v>
      </c>
      <c r="AB13" s="19">
        <v>0</v>
      </c>
      <c r="AC13" s="19">
        <v>0</v>
      </c>
      <c r="AD13" s="19">
        <v>0</v>
      </c>
      <c r="AE13" s="19">
        <v>19</v>
      </c>
      <c r="AF13" s="19">
        <v>3450</v>
      </c>
      <c r="AG13" s="19">
        <v>149</v>
      </c>
      <c r="AH13" s="19">
        <v>394</v>
      </c>
      <c r="AI13" s="19">
        <v>0</v>
      </c>
      <c r="AJ13" s="19">
        <v>0</v>
      </c>
      <c r="AK13" s="20">
        <v>11660</v>
      </c>
      <c r="AL13" s="19">
        <v>10181759.624584526</v>
      </c>
      <c r="AM13" s="21">
        <f t="shared" si="9"/>
        <v>2247931</v>
      </c>
      <c r="AN13" s="19">
        <f t="shared" si="10"/>
        <v>256937</v>
      </c>
      <c r="AO13" s="19">
        <f t="shared" si="11"/>
        <v>83007</v>
      </c>
      <c r="AP13" s="19">
        <f t="shared" si="12"/>
        <v>2975640.0000000005</v>
      </c>
      <c r="AQ13" s="19">
        <f t="shared" si="13"/>
        <v>1449338</v>
      </c>
      <c r="AR13" s="19"/>
      <c r="AS13" s="19">
        <f t="shared" si="14"/>
        <v>17194612.624584526</v>
      </c>
      <c r="AT13" s="21">
        <f t="shared" si="15"/>
        <v>14677881.051199785</v>
      </c>
      <c r="AU13" s="5">
        <v>7.125580904396101</v>
      </c>
      <c r="AX13" s="5" t="str">
        <f t="shared" si="25"/>
        <v>Brønderslev Spildevand A/S</v>
      </c>
      <c r="AY13" s="5">
        <f t="shared" si="26"/>
        <v>59.214824124777564</v>
      </c>
      <c r="AZ13" s="5">
        <f t="shared" si="27"/>
        <v>13.07346114204371</v>
      </c>
      <c r="BA13" s="5">
        <f t="shared" si="28"/>
        <v>1.4942878075231334</v>
      </c>
      <c r="BB13" s="5">
        <f t="shared" si="29"/>
        <v>0.48275004393712356</v>
      </c>
      <c r="BC13" s="5">
        <f t="shared" si="30"/>
        <v>17.305653026143126</v>
      </c>
      <c r="BD13" s="5">
        <f t="shared" si="31"/>
        <v>8.429023855575348</v>
      </c>
      <c r="BF13" s="5">
        <f t="shared" si="40"/>
        <v>27.228964689241607</v>
      </c>
      <c r="BH13" s="5">
        <f t="shared" si="32"/>
        <v>-10.573540779484368</v>
      </c>
      <c r="BI13" s="5">
        <f t="shared" si="33"/>
        <v>3.437026559532738</v>
      </c>
      <c r="BJ13" s="5">
        <f t="shared" si="34"/>
        <v>0.6170708777078497</v>
      </c>
      <c r="BK13" s="5">
        <f t="shared" si="35"/>
        <v>0.3483973111534751</v>
      </c>
      <c r="BL13" s="5">
        <f t="shared" si="36"/>
        <v>7.429668542561316</v>
      </c>
      <c r="BM13" s="5">
        <f t="shared" si="37"/>
        <v>-1.2586225114710272</v>
      </c>
      <c r="BO13" s="5">
        <f t="shared" si="38"/>
        <v>4.676758223567155</v>
      </c>
      <c r="BP13" s="5">
        <f t="shared" si="39"/>
        <v>0</v>
      </c>
    </row>
    <row r="14" spans="1:68" ht="15">
      <c r="A14" s="2" t="s">
        <v>10</v>
      </c>
      <c r="B14" s="5">
        <v>7078903</v>
      </c>
      <c r="C14" s="5">
        <f t="shared" si="17"/>
        <v>7114297.515</v>
      </c>
      <c r="D14" s="5">
        <v>8451811.4092524</v>
      </c>
      <c r="E14" s="5">
        <v>2879019.097732887</v>
      </c>
      <c r="F14" s="5">
        <f t="shared" si="18"/>
        <v>1337513.8942524</v>
      </c>
      <c r="G14" s="5">
        <f t="shared" si="19"/>
        <v>7114297.515</v>
      </c>
      <c r="H14" s="5">
        <f t="shared" si="20"/>
        <v>8110533.776826253</v>
      </c>
      <c r="I14" s="5">
        <f t="shared" si="21"/>
        <v>10663379.49871156</v>
      </c>
      <c r="J14" s="5">
        <f t="shared" si="22"/>
        <v>10244823.031326253</v>
      </c>
      <c r="K14" s="5">
        <f t="shared" si="23"/>
        <v>12797668.75321156</v>
      </c>
      <c r="L14" s="5" t="e">
        <f>'Potentialer og krav'!#REF!</f>
        <v>#REF!</v>
      </c>
      <c r="M14" s="5">
        <f t="shared" si="0"/>
        <v>35394.515</v>
      </c>
      <c r="N14" s="5">
        <f t="shared" si="1"/>
        <v>163628.84284499998</v>
      </c>
      <c r="O14" s="5">
        <f t="shared" si="2"/>
        <v>5572792.311519513</v>
      </c>
      <c r="P14" s="5">
        <f t="shared" si="3"/>
        <v>163628.84284499998</v>
      </c>
      <c r="Q14" s="5">
        <f t="shared" si="4"/>
        <v>7277926.357844999</v>
      </c>
      <c r="R14" s="5">
        <f t="shared" si="5"/>
        <v>7277926.357844999</v>
      </c>
      <c r="S14" s="5">
        <f t="shared" si="6"/>
        <v>194391.6624128052</v>
      </c>
      <c r="T14" s="5">
        <f t="shared" si="7"/>
        <v>8646203.071665203</v>
      </c>
      <c r="U14" s="20">
        <f t="shared" si="24"/>
        <v>-1368276.7138202041</v>
      </c>
      <c r="V14" s="20" t="str">
        <f t="shared" si="8"/>
        <v>tal til venstre</v>
      </c>
      <c r="X14" s="19" t="s">
        <v>10</v>
      </c>
      <c r="Y14" s="19">
        <v>5</v>
      </c>
      <c r="Z14" s="19">
        <v>90</v>
      </c>
      <c r="AA14" s="19">
        <v>7</v>
      </c>
      <c r="AB14" s="19"/>
      <c r="AC14" s="19"/>
      <c r="AD14" s="19"/>
      <c r="AE14" s="19">
        <v>8</v>
      </c>
      <c r="AF14" s="19">
        <v>950</v>
      </c>
      <c r="AG14" s="19">
        <v>27</v>
      </c>
      <c r="AH14" s="19">
        <v>141</v>
      </c>
      <c r="AI14" s="19"/>
      <c r="AJ14" s="19"/>
      <c r="AK14" s="20">
        <v>4563</v>
      </c>
      <c r="AL14" s="5">
        <v>4408997.876826253</v>
      </c>
      <c r="AM14" s="21">
        <f t="shared" si="9"/>
        <v>2082674</v>
      </c>
      <c r="AN14" s="19">
        <f t="shared" si="10"/>
        <v>108184</v>
      </c>
      <c r="AO14" s="19">
        <f t="shared" si="11"/>
        <v>22857</v>
      </c>
      <c r="AP14" s="19">
        <f t="shared" si="12"/>
        <v>920640.0000000001</v>
      </c>
      <c r="AQ14" s="19">
        <f t="shared" si="13"/>
        <v>567180.9</v>
      </c>
      <c r="AR14" s="19"/>
      <c r="AS14" s="19">
        <f t="shared" si="14"/>
        <v>8110533.776826253</v>
      </c>
      <c r="AT14" s="21">
        <f t="shared" si="15"/>
        <v>10663379.49871156</v>
      </c>
      <c r="AU14" s="5">
        <v>42.59667753007065</v>
      </c>
      <c r="AX14" s="5" t="str">
        <f t="shared" si="25"/>
        <v>Dragør Spildevand A/S</v>
      </c>
      <c r="AY14" s="5">
        <f t="shared" si="26"/>
        <v>54.36137741542758</v>
      </c>
      <c r="AZ14" s="5">
        <f t="shared" si="27"/>
        <v>25.67863049841061</v>
      </c>
      <c r="BA14" s="5">
        <f t="shared" si="28"/>
        <v>1.333870284951007</v>
      </c>
      <c r="BB14" s="5">
        <f t="shared" si="29"/>
        <v>0.28181868948389005</v>
      </c>
      <c r="BC14" s="5">
        <f t="shared" si="30"/>
        <v>11.351164119807875</v>
      </c>
      <c r="BD14" s="5">
        <f t="shared" si="31"/>
        <v>6.993138991919031</v>
      </c>
      <c r="BF14" s="5">
        <f t="shared" si="40"/>
        <v>19.678173396677913</v>
      </c>
      <c r="BH14" s="5">
        <f t="shared" si="32"/>
        <v>-5.720094070134387</v>
      </c>
      <c r="BI14" s="5">
        <f t="shared" si="33"/>
        <v>-9.168142796834161</v>
      </c>
      <c r="BJ14" s="5">
        <f t="shared" si="34"/>
        <v>0.7774884002799762</v>
      </c>
      <c r="BK14" s="5">
        <f t="shared" si="35"/>
        <v>0.5493286656067087</v>
      </c>
      <c r="BL14" s="5">
        <f t="shared" si="36"/>
        <v>13.384157448896568</v>
      </c>
      <c r="BM14" s="5">
        <f t="shared" si="37"/>
        <v>0.17726235218528963</v>
      </c>
      <c r="BO14" s="5">
        <f t="shared" si="38"/>
        <v>12.22754951613085</v>
      </c>
      <c r="BP14" s="5">
        <f t="shared" si="39"/>
        <v>0</v>
      </c>
    </row>
    <row r="15" spans="1:68" ht="15">
      <c r="A15" s="2" t="s">
        <v>11</v>
      </c>
      <c r="B15" s="5">
        <v>24620277</v>
      </c>
      <c r="C15" s="5">
        <f t="shared" si="17"/>
        <v>24743378.384999998</v>
      </c>
      <c r="D15" s="5">
        <v>23780252.4239672</v>
      </c>
      <c r="E15" s="5">
        <v>12187926.998851106</v>
      </c>
      <c r="F15" s="5" t="str">
        <f t="shared" si="18"/>
        <v>ingen</v>
      </c>
      <c r="G15" s="5">
        <f t="shared" si="19"/>
        <v>23780252.4239672</v>
      </c>
      <c r="H15" s="5">
        <f t="shared" si="20"/>
        <v>21757786.562567793</v>
      </c>
      <c r="I15" s="5">
        <f t="shared" si="21"/>
        <v>25208432.495242756</v>
      </c>
      <c r="J15" s="5">
        <f t="shared" si="22"/>
        <v>28891862.289757952</v>
      </c>
      <c r="K15" s="5">
        <f t="shared" si="23"/>
        <v>32342508.222432915</v>
      </c>
      <c r="L15" s="5">
        <f>'Potentialer og krav'!R10</f>
        <v>1189012.62119836</v>
      </c>
      <c r="M15" s="5">
        <f t="shared" si="0"/>
        <v>123101.38500000001</v>
      </c>
      <c r="N15" s="5">
        <f t="shared" si="1"/>
        <v>569097.7028549999</v>
      </c>
      <c r="O15" s="5">
        <f t="shared" si="2"/>
        <v>11592325.425116096</v>
      </c>
      <c r="P15" s="5">
        <f t="shared" si="3"/>
        <v>546945.8057512456</v>
      </c>
      <c r="Q15" s="5">
        <f t="shared" si="4"/>
        <v>24327198.229718443</v>
      </c>
      <c r="R15" s="5">
        <f t="shared" si="5"/>
        <v>25312476.087854996</v>
      </c>
      <c r="S15" s="5">
        <f t="shared" si="6"/>
        <v>546945.8057512456</v>
      </c>
      <c r="T15" s="5">
        <f t="shared" si="7"/>
        <v>24327198.229718443</v>
      </c>
      <c r="U15" s="20">
        <f t="shared" si="24"/>
        <v>985277.8581365533</v>
      </c>
      <c r="V15" s="20" t="str">
        <f t="shared" si="8"/>
        <v>ingen</v>
      </c>
      <c r="X15" s="19" t="s">
        <v>11</v>
      </c>
      <c r="Y15" s="19">
        <v>138</v>
      </c>
      <c r="Z15" s="19">
        <v>169</v>
      </c>
      <c r="AA15" s="19">
        <v>3</v>
      </c>
      <c r="AB15" s="19">
        <v>0</v>
      </c>
      <c r="AC15" s="19">
        <v>0</v>
      </c>
      <c r="AD15" s="19">
        <v>0</v>
      </c>
      <c r="AE15" s="19">
        <v>99</v>
      </c>
      <c r="AF15" s="19">
        <v>6600</v>
      </c>
      <c r="AG15" s="19">
        <v>146.3</v>
      </c>
      <c r="AH15" s="19">
        <v>392.9</v>
      </c>
      <c r="AI15" s="19">
        <v>41.2</v>
      </c>
      <c r="AJ15" s="19">
        <v>0</v>
      </c>
      <c r="AK15" s="20">
        <v>14977</v>
      </c>
      <c r="AL15" s="5">
        <v>7117639.462567793</v>
      </c>
      <c r="AM15" s="21">
        <f t="shared" si="9"/>
        <v>4250753</v>
      </c>
      <c r="AN15" s="19">
        <f t="shared" si="10"/>
        <v>1338777</v>
      </c>
      <c r="AO15" s="19">
        <f t="shared" si="11"/>
        <v>158796</v>
      </c>
      <c r="AP15" s="19">
        <f t="shared" si="12"/>
        <v>6808252</v>
      </c>
      <c r="AQ15" s="19">
        <f t="shared" si="13"/>
        <v>1861641.0999999999</v>
      </c>
      <c r="AR15" s="19"/>
      <c r="AS15" s="19">
        <f>SUM(AL15:AR15)+AV15</f>
        <v>21757786.562567793</v>
      </c>
      <c r="AT15" s="21">
        <f t="shared" si="15"/>
        <v>25208432.495242756</v>
      </c>
      <c r="AU15" s="5">
        <v>30.584123903101982</v>
      </c>
      <c r="AV15" s="5">
        <v>221928</v>
      </c>
      <c r="AX15" s="5" t="str">
        <f t="shared" si="25"/>
        <v>Egedal Spildevand A/S</v>
      </c>
      <c r="AY15" s="5">
        <f t="shared" si="26"/>
        <v>33.050177414051205</v>
      </c>
      <c r="AZ15" s="5">
        <f t="shared" si="27"/>
        <v>19.738024317211934</v>
      </c>
      <c r="BA15" s="5">
        <f t="shared" si="28"/>
        <v>6.216501636609807</v>
      </c>
      <c r="BB15" s="5">
        <f t="shared" si="29"/>
        <v>0.7373562541686112</v>
      </c>
      <c r="BC15" s="5">
        <f t="shared" si="30"/>
        <v>31.613562005062825</v>
      </c>
      <c r="BD15" s="5">
        <f t="shared" si="31"/>
        <v>8.64437837289562</v>
      </c>
      <c r="BF15" s="5">
        <f t="shared" si="40"/>
        <v>46.474442014568254</v>
      </c>
      <c r="BH15" s="5">
        <f t="shared" si="32"/>
        <v>15.59110593124199</v>
      </c>
      <c r="BI15" s="5">
        <f t="shared" si="33"/>
        <v>-3.2275366156354863</v>
      </c>
      <c r="BJ15" s="5">
        <f t="shared" si="34"/>
        <v>-4.105142951378824</v>
      </c>
      <c r="BK15" s="5">
        <f t="shared" si="35"/>
        <v>0.0937911009219875</v>
      </c>
      <c r="BL15" s="5">
        <f t="shared" si="36"/>
        <v>-6.878240436358382</v>
      </c>
      <c r="BM15" s="5">
        <f t="shared" si="37"/>
        <v>-1.4739770287912988</v>
      </c>
      <c r="BO15" s="5">
        <f t="shared" si="38"/>
        <v>-14.568719101759491</v>
      </c>
      <c r="BP15" s="5">
        <f t="shared" si="39"/>
        <v>0</v>
      </c>
    </row>
    <row r="16" spans="1:68" ht="15">
      <c r="A16" s="2" t="s">
        <v>12</v>
      </c>
      <c r="B16" s="5">
        <v>55694418</v>
      </c>
      <c r="C16" s="5">
        <f t="shared" si="17"/>
        <v>55972890.089999996</v>
      </c>
      <c r="D16" s="5">
        <v>62224905.20092</v>
      </c>
      <c r="E16" s="5">
        <v>19482841.828066774</v>
      </c>
      <c r="F16" s="5">
        <f t="shared" si="18"/>
        <v>6252015.110920005</v>
      </c>
      <c r="G16" s="5">
        <f t="shared" si="19"/>
        <v>55972890.089999996</v>
      </c>
      <c r="H16" s="5">
        <f t="shared" si="20"/>
        <v>66081858.96405048</v>
      </c>
      <c r="I16" s="5">
        <f t="shared" si="21"/>
        <v>78990854.25775361</v>
      </c>
      <c r="J16" s="5">
        <f t="shared" si="22"/>
        <v>82873725.99105048</v>
      </c>
      <c r="K16" s="5">
        <f t="shared" si="23"/>
        <v>95782721.2847536</v>
      </c>
      <c r="L16" s="5" t="e">
        <f>'Potentialer og krav'!#REF!</f>
        <v>#REF!</v>
      </c>
      <c r="M16" s="5">
        <f t="shared" si="0"/>
        <v>278472.09</v>
      </c>
      <c r="N16" s="5">
        <f t="shared" si="1"/>
        <v>1287376.47207</v>
      </c>
      <c r="O16" s="5">
        <f t="shared" si="2"/>
        <v>42742063.37285323</v>
      </c>
      <c r="P16" s="5">
        <f t="shared" si="3"/>
        <v>1287376.47207</v>
      </c>
      <c r="Q16" s="5">
        <f t="shared" si="4"/>
        <v>57260266.56206999</v>
      </c>
      <c r="R16" s="5">
        <f t="shared" si="5"/>
        <v>57260266.56206999</v>
      </c>
      <c r="S16" s="5">
        <f t="shared" si="6"/>
        <v>1431172.81962116</v>
      </c>
      <c r="T16" s="5">
        <f t="shared" si="7"/>
        <v>63656078.020541154</v>
      </c>
      <c r="U16" s="20">
        <f t="shared" si="24"/>
        <v>-6395811.458471164</v>
      </c>
      <c r="V16" s="20" t="str">
        <f t="shared" si="8"/>
        <v>tal til venstre</v>
      </c>
      <c r="X16" s="19" t="s">
        <v>12</v>
      </c>
      <c r="Y16" s="19">
        <v>50</v>
      </c>
      <c r="Z16" s="19">
        <v>376</v>
      </c>
      <c r="AA16" s="19">
        <v>18</v>
      </c>
      <c r="AB16" s="19">
        <v>0</v>
      </c>
      <c r="AC16" s="19">
        <v>0</v>
      </c>
      <c r="AD16" s="19">
        <v>0</v>
      </c>
      <c r="AE16" s="19">
        <v>138</v>
      </c>
      <c r="AF16" s="19">
        <v>38488</v>
      </c>
      <c r="AG16" s="19">
        <v>669</v>
      </c>
      <c r="AH16" s="19">
        <v>1190</v>
      </c>
      <c r="AI16" s="19">
        <v>44</v>
      </c>
      <c r="AJ16" s="19">
        <v>0</v>
      </c>
      <c r="AK16" s="20">
        <v>27970</v>
      </c>
      <c r="AL16" s="5">
        <v>37338224.68405048</v>
      </c>
      <c r="AM16" s="21">
        <f t="shared" si="9"/>
        <v>8172128</v>
      </c>
      <c r="AN16" s="19">
        <f t="shared" si="10"/>
        <v>1866174</v>
      </c>
      <c r="AO16" s="19">
        <f t="shared" si="11"/>
        <v>926021.2799999999</v>
      </c>
      <c r="AP16" s="19">
        <f t="shared" si="12"/>
        <v>14302640.000000002</v>
      </c>
      <c r="AQ16" s="19">
        <f t="shared" si="13"/>
        <v>3476671</v>
      </c>
      <c r="AR16" s="19"/>
      <c r="AS16" s="19">
        <f t="shared" si="14"/>
        <v>66081858.96405048</v>
      </c>
      <c r="AT16" s="21">
        <f t="shared" si="15"/>
        <v>78990854.25775361</v>
      </c>
      <c r="AU16" s="5">
        <v>33.41142688090472</v>
      </c>
      <c r="AX16" s="5" t="str">
        <f t="shared" si="25"/>
        <v>Energi Viborg Spildevand A/S</v>
      </c>
      <c r="AY16" s="5">
        <f t="shared" si="26"/>
        <v>56.502987763045574</v>
      </c>
      <c r="AZ16" s="5">
        <f t="shared" si="27"/>
        <v>12.36667389221868</v>
      </c>
      <c r="BA16" s="5">
        <f t="shared" si="28"/>
        <v>2.8240337503447455</v>
      </c>
      <c r="BB16" s="5">
        <f t="shared" si="29"/>
        <v>1.4013245004257058</v>
      </c>
      <c r="BC16" s="5">
        <f t="shared" si="30"/>
        <v>21.64382210824434</v>
      </c>
      <c r="BD16" s="5">
        <f t="shared" si="31"/>
        <v>5.2611579857209545</v>
      </c>
      <c r="BF16" s="5">
        <f t="shared" si="40"/>
        <v>29.72901384431004</v>
      </c>
      <c r="BH16" s="5">
        <f t="shared" si="32"/>
        <v>-7.861704417752378</v>
      </c>
      <c r="BI16" s="5">
        <f t="shared" si="33"/>
        <v>4.143813809357768</v>
      </c>
      <c r="BJ16" s="5">
        <f t="shared" si="34"/>
        <v>-0.7126750651137623</v>
      </c>
      <c r="BK16" s="5">
        <f t="shared" si="35"/>
        <v>-0.5701771453351071</v>
      </c>
      <c r="BL16" s="5">
        <f t="shared" si="36"/>
        <v>3.0914994604601027</v>
      </c>
      <c r="BM16" s="5">
        <f t="shared" si="37"/>
        <v>1.9092433583833666</v>
      </c>
      <c r="BO16" s="5">
        <f t="shared" si="38"/>
        <v>2.176709068498724</v>
      </c>
      <c r="BP16" s="5">
        <f t="shared" si="39"/>
        <v>0</v>
      </c>
    </row>
    <row r="17" spans="1:68" ht="15">
      <c r="A17" s="2" t="s">
        <v>13</v>
      </c>
      <c r="B17" s="5">
        <f>61966713+2183566</f>
        <v>64150279</v>
      </c>
      <c r="C17" s="5">
        <f t="shared" si="17"/>
        <v>64471030.394999996</v>
      </c>
      <c r="D17" s="5">
        <v>68926509.67709361</v>
      </c>
      <c r="E17" s="5">
        <v>10322455.133272527</v>
      </c>
      <c r="F17" s="5">
        <f t="shared" si="18"/>
        <v>4455479.282093614</v>
      </c>
      <c r="G17" s="5">
        <f t="shared" si="19"/>
        <v>64471030.394999996</v>
      </c>
      <c r="H17" s="5">
        <f t="shared" si="20"/>
        <v>88114758.10738167</v>
      </c>
      <c r="I17" s="5">
        <f t="shared" si="21"/>
        <v>111240086.00060369</v>
      </c>
      <c r="J17" s="5">
        <f t="shared" si="22"/>
        <v>107456067.22588167</v>
      </c>
      <c r="K17" s="5">
        <f t="shared" si="23"/>
        <v>130581395.11910369</v>
      </c>
      <c r="L17" s="5" t="e">
        <f>'Potentialer og krav'!#REF!</f>
        <v>#REF!</v>
      </c>
      <c r="M17" s="5">
        <f t="shared" si="0"/>
        <v>320751.395</v>
      </c>
      <c r="N17" s="5">
        <f t="shared" si="1"/>
        <v>1482833.699085</v>
      </c>
      <c r="O17" s="5">
        <f t="shared" si="2"/>
        <v>58604054.54382108</v>
      </c>
      <c r="P17" s="5">
        <f t="shared" si="3"/>
        <v>1482833.699085</v>
      </c>
      <c r="Q17" s="5">
        <f t="shared" si="4"/>
        <v>65953864.09408499</v>
      </c>
      <c r="R17" s="5">
        <f t="shared" si="5"/>
        <v>65953864.09408499</v>
      </c>
      <c r="S17" s="5">
        <f t="shared" si="6"/>
        <v>1585309.722573153</v>
      </c>
      <c r="T17" s="5">
        <f t="shared" si="7"/>
        <v>70511819.39966676</v>
      </c>
      <c r="U17" s="20">
        <f t="shared" si="24"/>
        <v>-4557955.305581763</v>
      </c>
      <c r="V17" s="20" t="str">
        <f t="shared" si="8"/>
        <v>tal til venstre</v>
      </c>
      <c r="X17" s="19" t="s">
        <v>13</v>
      </c>
      <c r="Y17" s="19">
        <v>126</v>
      </c>
      <c r="Z17" s="19">
        <v>134</v>
      </c>
      <c r="AA17" s="19">
        <v>10</v>
      </c>
      <c r="AB17" s="19">
        <v>0</v>
      </c>
      <c r="AC17" s="19">
        <v>0</v>
      </c>
      <c r="AD17" s="19">
        <v>0</v>
      </c>
      <c r="AE17" s="19">
        <v>63</v>
      </c>
      <c r="AF17" s="19">
        <v>8000</v>
      </c>
      <c r="AG17" s="19">
        <v>272</v>
      </c>
      <c r="AH17" s="19">
        <v>1186</v>
      </c>
      <c r="AI17" s="19">
        <v>88</v>
      </c>
      <c r="AJ17" s="19">
        <v>0</v>
      </c>
      <c r="AK17" s="20">
        <v>42442</v>
      </c>
      <c r="AL17" s="5">
        <v>61555592.507381685</v>
      </c>
      <c r="AM17" s="21">
        <f t="shared" si="9"/>
        <v>4018716</v>
      </c>
      <c r="AN17" s="19">
        <f t="shared" si="10"/>
        <v>851949</v>
      </c>
      <c r="AO17" s="19">
        <f t="shared" si="11"/>
        <v>192480</v>
      </c>
      <c r="AP17" s="19">
        <f t="shared" si="12"/>
        <v>16220480</v>
      </c>
      <c r="AQ17" s="19">
        <f t="shared" si="13"/>
        <v>5275540.6</v>
      </c>
      <c r="AR17" s="19"/>
      <c r="AS17" s="19">
        <f t="shared" si="14"/>
        <v>88114758.10738167</v>
      </c>
      <c r="AT17" s="21">
        <f t="shared" si="15"/>
        <v>111240086.00060369</v>
      </c>
      <c r="AU17" s="5">
        <v>38.57273613317218</v>
      </c>
      <c r="AX17" s="5" t="str">
        <f t="shared" si="25"/>
        <v>Esbjerg Spildevand A/S</v>
      </c>
      <c r="AY17" s="5">
        <f t="shared" si="26"/>
        <v>69.85843669044239</v>
      </c>
      <c r="AZ17" s="5">
        <f t="shared" si="27"/>
        <v>4.5607751599369575</v>
      </c>
      <c r="BA17" s="5">
        <f t="shared" si="28"/>
        <v>0.9668630071727217</v>
      </c>
      <c r="BB17" s="5">
        <f t="shared" si="29"/>
        <v>0.2184424086660181</v>
      </c>
      <c r="BC17" s="5">
        <f t="shared" si="30"/>
        <v>18.40835786013598</v>
      </c>
      <c r="BD17" s="5">
        <f t="shared" si="31"/>
        <v>5.987124873645939</v>
      </c>
      <c r="BF17" s="5">
        <f t="shared" si="40"/>
        <v>25.36234574095464</v>
      </c>
      <c r="BH17" s="5">
        <f t="shared" si="32"/>
        <v>-21.217153345149192</v>
      </c>
      <c r="BI17" s="5">
        <f t="shared" si="33"/>
        <v>11.94971254163949</v>
      </c>
      <c r="BJ17" s="5">
        <f t="shared" si="34"/>
        <v>1.1444956780582616</v>
      </c>
      <c r="BK17" s="5">
        <f t="shared" si="35"/>
        <v>0.6127049464245806</v>
      </c>
      <c r="BL17" s="5">
        <f t="shared" si="36"/>
        <v>6.326963708568464</v>
      </c>
      <c r="BM17" s="5">
        <f t="shared" si="37"/>
        <v>1.1832764704583818</v>
      </c>
      <c r="BO17" s="5">
        <f t="shared" si="38"/>
        <v>6.543377171854122</v>
      </c>
      <c r="BP17" s="5">
        <f t="shared" si="39"/>
        <v>0</v>
      </c>
    </row>
    <row r="18" spans="1:68" ht="15">
      <c r="A18" s="2" t="s">
        <v>14</v>
      </c>
      <c r="B18" s="5">
        <f>1468852+785363</f>
        <v>2254215</v>
      </c>
      <c r="C18" s="5">
        <f t="shared" si="17"/>
        <v>2265486.0749999997</v>
      </c>
      <c r="D18" s="5">
        <v>2575084.5893332</v>
      </c>
      <c r="E18" s="5">
        <v>1787998.9174307815</v>
      </c>
      <c r="F18" s="5">
        <f t="shared" si="18"/>
        <v>309598.5143332002</v>
      </c>
      <c r="G18" s="5">
        <f>IF(F18="ingen",D18,IF(E18&lt;F18,D18-E18,C18))</f>
        <v>2265486.0749999997</v>
      </c>
      <c r="H18" s="5">
        <f t="shared" si="20"/>
        <v>1216882.5</v>
      </c>
      <c r="I18" s="5">
        <f t="shared" si="21"/>
        <v>1147436.6536270292</v>
      </c>
      <c r="J18" s="5">
        <f t="shared" si="22"/>
        <v>1896528.3224999998</v>
      </c>
      <c r="K18" s="5">
        <f t="shared" si="23"/>
        <v>1827082.476127029</v>
      </c>
      <c r="L18" s="5" t="e">
        <f>'Potentialer og krav'!#REF!</f>
        <v>#REF!</v>
      </c>
      <c r="M18" s="5">
        <f t="shared" si="0"/>
        <v>11271.075</v>
      </c>
      <c r="N18" s="5">
        <f t="shared" si="1"/>
        <v>52106.179724999995</v>
      </c>
      <c r="O18" s="5">
        <f t="shared" si="2"/>
        <v>787085.6719024184</v>
      </c>
      <c r="P18" s="5">
        <f t="shared" si="3"/>
        <v>52106.179724999995</v>
      </c>
      <c r="Q18" s="5">
        <f t="shared" si="4"/>
        <v>2317592.2547249994</v>
      </c>
      <c r="R18" s="5">
        <f t="shared" si="5"/>
        <v>2317592.2547249994</v>
      </c>
      <c r="S18" s="5">
        <f t="shared" si="6"/>
        <v>59226.945554663595</v>
      </c>
      <c r="T18" s="5">
        <f t="shared" si="7"/>
        <v>2634311.5348878633</v>
      </c>
      <c r="U18" s="20">
        <f t="shared" si="24"/>
        <v>-316719.2801628639</v>
      </c>
      <c r="V18" s="20" t="str">
        <f t="shared" si="8"/>
        <v>tal til venstre</v>
      </c>
      <c r="X18" s="19" t="s">
        <v>14</v>
      </c>
      <c r="Y18" s="19">
        <v>49</v>
      </c>
      <c r="Z18" s="19">
        <v>0</v>
      </c>
      <c r="AA18" s="19">
        <v>1</v>
      </c>
      <c r="AB18" s="19"/>
      <c r="AC18" s="19"/>
      <c r="AD18" s="19"/>
      <c r="AE18" s="19"/>
      <c r="AF18" s="19"/>
      <c r="AG18" s="19">
        <v>30</v>
      </c>
      <c r="AH18" s="19">
        <v>54</v>
      </c>
      <c r="AI18" s="19">
        <v>0</v>
      </c>
      <c r="AJ18" s="19">
        <v>0</v>
      </c>
      <c r="AK18" s="20">
        <v>2395</v>
      </c>
      <c r="AL18" s="5">
        <v>0</v>
      </c>
      <c r="AM18" s="21">
        <f t="shared" si="9"/>
        <v>458864</v>
      </c>
      <c r="AN18" s="19">
        <f t="shared" si="10"/>
        <v>0</v>
      </c>
      <c r="AO18" s="19">
        <f t="shared" si="11"/>
        <v>0</v>
      </c>
      <c r="AP18" s="19">
        <f t="shared" si="12"/>
        <v>460320.00000000006</v>
      </c>
      <c r="AQ18" s="19">
        <f t="shared" si="13"/>
        <v>297698.5</v>
      </c>
      <c r="AR18" s="19"/>
      <c r="AS18" s="19">
        <f t="shared" si="14"/>
        <v>1216882.5</v>
      </c>
      <c r="AT18" s="21">
        <f t="shared" si="15"/>
        <v>1147436.6536270292</v>
      </c>
      <c r="AU18" s="5">
        <v>13.994718921697872</v>
      </c>
      <c r="AX18" s="5" t="str">
        <f t="shared" si="25"/>
        <v>Fanø Vand A/S</v>
      </c>
      <c r="AY18" s="5">
        <f t="shared" si="26"/>
        <v>0</v>
      </c>
      <c r="AZ18" s="5">
        <f t="shared" si="27"/>
        <v>37.708159990796155</v>
      </c>
      <c r="BA18" s="5">
        <f t="shared" si="28"/>
        <v>0</v>
      </c>
      <c r="BB18" s="5">
        <f t="shared" si="29"/>
        <v>0</v>
      </c>
      <c r="BC18" s="5">
        <f t="shared" si="30"/>
        <v>37.827809998089386</v>
      </c>
      <c r="BD18" s="5">
        <f t="shared" si="31"/>
        <v>24.464030011114467</v>
      </c>
      <c r="BF18" s="5">
        <f t="shared" si="40"/>
        <v>62.29184000920385</v>
      </c>
      <c r="BH18" s="5">
        <f t="shared" si="32"/>
        <v>48.641283345293196</v>
      </c>
      <c r="BI18" s="5">
        <f t="shared" si="33"/>
        <v>-21.197672289219707</v>
      </c>
      <c r="BJ18" s="5">
        <f t="shared" si="34"/>
        <v>2.111358685230983</v>
      </c>
      <c r="BK18" s="5">
        <f t="shared" si="35"/>
        <v>0.8311473550905987</v>
      </c>
      <c r="BL18" s="5">
        <f t="shared" si="36"/>
        <v>-13.092488429384943</v>
      </c>
      <c r="BM18" s="5">
        <f t="shared" si="37"/>
        <v>-17.293628667010147</v>
      </c>
      <c r="BO18" s="5">
        <f t="shared" si="38"/>
        <v>-30.38611709639509</v>
      </c>
      <c r="BP18" s="5">
        <f t="shared" si="39"/>
        <v>-1.82568799552929</v>
      </c>
    </row>
    <row r="19" spans="1:68" ht="15">
      <c r="A19" s="2" t="s">
        <v>15</v>
      </c>
      <c r="B19" s="5">
        <v>27352691</v>
      </c>
      <c r="C19" s="5">
        <f t="shared" si="17"/>
        <v>27489454.455</v>
      </c>
      <c r="D19" s="5">
        <v>25287734.1547376</v>
      </c>
      <c r="E19" s="5">
        <v>5691578.6030890085</v>
      </c>
      <c r="F19" s="5" t="str">
        <f t="shared" si="18"/>
        <v>ingen</v>
      </c>
      <c r="G19" s="5">
        <f t="shared" si="19"/>
        <v>25287734.1547376</v>
      </c>
      <c r="H19" s="5">
        <f t="shared" si="20"/>
        <v>30296858.867613565</v>
      </c>
      <c r="I19" s="5">
        <f t="shared" si="21"/>
        <v>34615418.40656699</v>
      </c>
      <c r="J19" s="5">
        <f t="shared" si="22"/>
        <v>37883179.11403485</v>
      </c>
      <c r="K19" s="5">
        <f t="shared" si="23"/>
        <v>42201738.65298827</v>
      </c>
      <c r="L19" s="5">
        <f>'Potentialer og krav'!R11</f>
        <v>0</v>
      </c>
      <c r="M19" s="5">
        <f t="shared" si="0"/>
        <v>136763.45500000002</v>
      </c>
      <c r="N19" s="5">
        <f t="shared" si="1"/>
        <v>632257.452465</v>
      </c>
      <c r="O19" s="5">
        <f t="shared" si="2"/>
        <v>19596155.55164859</v>
      </c>
      <c r="P19" s="5">
        <f t="shared" si="3"/>
        <v>581617.8855589648</v>
      </c>
      <c r="Q19" s="5">
        <f t="shared" si="4"/>
        <v>25869352.040296562</v>
      </c>
      <c r="R19" s="5">
        <f t="shared" si="5"/>
        <v>28121711.907464996</v>
      </c>
      <c r="S19" s="5">
        <f t="shared" si="6"/>
        <v>581617.8855589648</v>
      </c>
      <c r="T19" s="5">
        <f t="shared" si="7"/>
        <v>25869352.040296562</v>
      </c>
      <c r="U19" s="20">
        <f t="shared" si="24"/>
        <v>2252359.867168434</v>
      </c>
      <c r="V19" s="20" t="str">
        <f t="shared" si="8"/>
        <v>ingen</v>
      </c>
      <c r="X19" s="19" t="s">
        <v>15</v>
      </c>
      <c r="Y19" s="19">
        <v>136</v>
      </c>
      <c r="Z19" s="19">
        <v>108</v>
      </c>
      <c r="AA19" s="19">
        <v>2</v>
      </c>
      <c r="AB19" s="19">
        <v>0</v>
      </c>
      <c r="AC19" s="19">
        <v>0</v>
      </c>
      <c r="AD19" s="19">
        <v>0</v>
      </c>
      <c r="AE19" s="19">
        <v>114</v>
      </c>
      <c r="AF19" s="19">
        <v>6544</v>
      </c>
      <c r="AG19" s="19">
        <v>353</v>
      </c>
      <c r="AH19" s="19">
        <v>456</v>
      </c>
      <c r="AI19" s="19">
        <v>0</v>
      </c>
      <c r="AJ19" s="19">
        <v>0</v>
      </c>
      <c r="AK19" s="20">
        <v>15121</v>
      </c>
      <c r="AL19" s="5">
        <v>19181189.927613564</v>
      </c>
      <c r="AM19" s="21">
        <f t="shared" si="9"/>
        <v>3103738</v>
      </c>
      <c r="AN19" s="19">
        <f t="shared" si="10"/>
        <v>1541622</v>
      </c>
      <c r="AO19" s="19">
        <f t="shared" si="11"/>
        <v>157448.63999999998</v>
      </c>
      <c r="AP19" s="19">
        <f t="shared" si="12"/>
        <v>4433320.000000001</v>
      </c>
      <c r="AQ19" s="19">
        <f t="shared" si="13"/>
        <v>1879540.3</v>
      </c>
      <c r="AR19" s="19"/>
      <c r="AS19" s="19">
        <f t="shared" si="14"/>
        <v>30296858.867613565</v>
      </c>
      <c r="AT19" s="21">
        <f t="shared" si="15"/>
        <v>34615418.40656699</v>
      </c>
      <c r="AU19" s="5">
        <v>29.34934572393483</v>
      </c>
      <c r="AX19" s="5" t="str">
        <f t="shared" si="25"/>
        <v>Favrskov Spildevand A/S</v>
      </c>
      <c r="AY19" s="5">
        <f t="shared" si="26"/>
        <v>63.31082047623651</v>
      </c>
      <c r="AZ19" s="5">
        <f t="shared" si="27"/>
        <v>10.244421751978397</v>
      </c>
      <c r="BA19" s="5">
        <f t="shared" si="28"/>
        <v>5.088388887892097</v>
      </c>
      <c r="BB19" s="5">
        <f t="shared" si="29"/>
        <v>0.5196863499546082</v>
      </c>
      <c r="BC19" s="5">
        <f t="shared" si="30"/>
        <v>14.63293610526432</v>
      </c>
      <c r="BD19" s="5">
        <f t="shared" si="31"/>
        <v>6.203746428674071</v>
      </c>
      <c r="BF19" s="5">
        <f t="shared" si="40"/>
        <v>25.925071421830488</v>
      </c>
      <c r="BH19" s="5">
        <f t="shared" si="32"/>
        <v>-14.669537130943311</v>
      </c>
      <c r="BI19" s="5">
        <f t="shared" si="33"/>
        <v>6.266065949598051</v>
      </c>
      <c r="BJ19" s="5">
        <f t="shared" si="34"/>
        <v>-2.9770302026611137</v>
      </c>
      <c r="BK19" s="5">
        <f t="shared" si="35"/>
        <v>0.3114610051359905</v>
      </c>
      <c r="BL19" s="5">
        <f t="shared" si="36"/>
        <v>10.102385463440122</v>
      </c>
      <c r="BM19" s="5">
        <f t="shared" si="37"/>
        <v>0.96665491543025</v>
      </c>
      <c r="BO19" s="5">
        <f t="shared" si="38"/>
        <v>5.980651490978275</v>
      </c>
      <c r="BP19" s="5">
        <f t="shared" si="39"/>
        <v>0</v>
      </c>
    </row>
    <row r="20" spans="1:68" ht="15">
      <c r="A20" s="2" t="s">
        <v>16</v>
      </c>
      <c r="B20" s="5">
        <v>33589762</v>
      </c>
      <c r="C20" s="5">
        <f t="shared" si="17"/>
        <v>33757710.809999995</v>
      </c>
      <c r="D20" s="5">
        <v>27286525.2870294</v>
      </c>
      <c r="E20" s="5">
        <v>1852695.5306302086</v>
      </c>
      <c r="F20" s="5" t="str">
        <f t="shared" si="18"/>
        <v>ingen</v>
      </c>
      <c r="G20" s="5">
        <f t="shared" si="19"/>
        <v>27286525.2870294</v>
      </c>
      <c r="H20" s="5">
        <f t="shared" si="20"/>
        <v>39322262.505242996</v>
      </c>
      <c r="I20" s="5">
        <f t="shared" si="21"/>
        <v>46064533.36442895</v>
      </c>
      <c r="J20" s="5">
        <f t="shared" si="22"/>
        <v>47508220.091351815</v>
      </c>
      <c r="K20" s="5">
        <f t="shared" si="23"/>
        <v>54250490.95053777</v>
      </c>
      <c r="L20" s="5">
        <f>'Potentialer og krav'!R12</f>
        <v>0</v>
      </c>
      <c r="M20" s="5">
        <f t="shared" si="0"/>
        <v>167948.81</v>
      </c>
      <c r="N20" s="5">
        <f t="shared" si="1"/>
        <v>776427.3486299999</v>
      </c>
      <c r="O20" s="5">
        <f t="shared" si="2"/>
        <v>25433829.756399192</v>
      </c>
      <c r="P20" s="5">
        <f t="shared" si="3"/>
        <v>627590.0816016762</v>
      </c>
      <c r="Q20" s="5">
        <f t="shared" si="4"/>
        <v>27914115.368631076</v>
      </c>
      <c r="R20" s="5">
        <f t="shared" si="5"/>
        <v>34534138.15862999</v>
      </c>
      <c r="S20" s="5">
        <f t="shared" si="6"/>
        <v>627590.0816016762</v>
      </c>
      <c r="T20" s="5">
        <f t="shared" si="7"/>
        <v>27914115.368631076</v>
      </c>
      <c r="U20" s="20">
        <f t="shared" si="24"/>
        <v>6620022.789998915</v>
      </c>
      <c r="V20" s="20" t="str">
        <f t="shared" si="8"/>
        <v>ingen</v>
      </c>
      <c r="X20" s="19" t="s">
        <v>16</v>
      </c>
      <c r="Y20" s="19"/>
      <c r="Z20" s="19">
        <v>100</v>
      </c>
      <c r="AA20" s="19"/>
      <c r="AB20" s="19"/>
      <c r="AC20" s="19"/>
      <c r="AD20" s="19"/>
      <c r="AE20" s="19">
        <v>15</v>
      </c>
      <c r="AF20" s="19">
        <v>78700</v>
      </c>
      <c r="AG20" s="19">
        <v>203</v>
      </c>
      <c r="AH20" s="19">
        <v>333</v>
      </c>
      <c r="AI20" s="19">
        <v>10</v>
      </c>
      <c r="AJ20" s="19"/>
      <c r="AK20" s="20">
        <v>11993</v>
      </c>
      <c r="AL20" s="5">
        <v>30119385.605243</v>
      </c>
      <c r="AM20" s="21">
        <f t="shared" si="9"/>
        <v>1743200</v>
      </c>
      <c r="AN20" s="19">
        <f t="shared" si="10"/>
        <v>202845</v>
      </c>
      <c r="AO20" s="19">
        <f t="shared" si="11"/>
        <v>1893522</v>
      </c>
      <c r="AP20" s="19">
        <f t="shared" si="12"/>
        <v>3872580</v>
      </c>
      <c r="AQ20" s="19">
        <f t="shared" si="13"/>
        <v>1490729.9</v>
      </c>
      <c r="AR20" s="19"/>
      <c r="AS20" s="19">
        <f t="shared" si="14"/>
        <v>39322262.505242996</v>
      </c>
      <c r="AT20" s="21">
        <f t="shared" si="15"/>
        <v>46064533.36442895</v>
      </c>
      <c r="AU20" s="5">
        <v>31.573994298614284</v>
      </c>
      <c r="AX20" s="5" t="str">
        <f t="shared" si="25"/>
        <v>Faxe Spildevand A/S</v>
      </c>
      <c r="AY20" s="5">
        <f t="shared" si="26"/>
        <v>76.59626808408358</v>
      </c>
      <c r="AZ20" s="5">
        <f t="shared" si="27"/>
        <v>4.433112158201914</v>
      </c>
      <c r="BA20" s="5">
        <f t="shared" si="28"/>
        <v>0.5158528199463444</v>
      </c>
      <c r="BB20" s="5">
        <f t="shared" si="29"/>
        <v>4.815394332275588</v>
      </c>
      <c r="BC20" s="5">
        <f t="shared" si="30"/>
        <v>9.84831429647176</v>
      </c>
      <c r="BD20" s="5">
        <f t="shared" si="31"/>
        <v>3.7910583090208374</v>
      </c>
      <c r="BF20" s="5">
        <f t="shared" si="40"/>
        <v>14.15522542543894</v>
      </c>
      <c r="BH20" s="5">
        <f t="shared" si="32"/>
        <v>-27.95498473879038</v>
      </c>
      <c r="BI20" s="5">
        <f t="shared" si="33"/>
        <v>12.077375543374533</v>
      </c>
      <c r="BJ20" s="5">
        <f t="shared" si="34"/>
        <v>1.5955058652846388</v>
      </c>
      <c r="BK20" s="5">
        <f t="shared" si="35"/>
        <v>-3.984246977184989</v>
      </c>
      <c r="BL20" s="5">
        <f t="shared" si="36"/>
        <v>14.887007272232683</v>
      </c>
      <c r="BM20" s="5">
        <f t="shared" si="37"/>
        <v>3.3793430350834837</v>
      </c>
      <c r="BO20" s="5">
        <f t="shared" si="38"/>
        <v>17.75049748736982</v>
      </c>
      <c r="BP20" s="5">
        <f t="shared" si="39"/>
        <v>0</v>
      </c>
    </row>
    <row r="21" spans="1:68" ht="15">
      <c r="A21" s="2" t="s">
        <v>17</v>
      </c>
      <c r="B21" s="5">
        <v>42667062</v>
      </c>
      <c r="C21" s="5">
        <f t="shared" si="17"/>
        <v>42880397.309999995</v>
      </c>
      <c r="D21" s="5">
        <v>44114400.229235</v>
      </c>
      <c r="E21" s="5">
        <v>16571450.662362076</v>
      </c>
      <c r="F21" s="5">
        <f t="shared" si="18"/>
        <v>1234002.919235006</v>
      </c>
      <c r="G21" s="5">
        <f t="shared" si="19"/>
        <v>42880397.309999995</v>
      </c>
      <c r="H21" s="5">
        <f t="shared" si="20"/>
        <v>42583092.27201131</v>
      </c>
      <c r="I21" s="5">
        <f t="shared" si="21"/>
        <v>50854677.848760165</v>
      </c>
      <c r="J21" s="5">
        <f t="shared" si="22"/>
        <v>55447211.465011306</v>
      </c>
      <c r="K21" s="5">
        <f t="shared" si="23"/>
        <v>63718797.04176016</v>
      </c>
      <c r="L21" s="5" t="e">
        <f>'Potentialer og krav'!#REF!</f>
        <v>#REF!</v>
      </c>
      <c r="M21" s="5">
        <f t="shared" si="0"/>
        <v>213335.31</v>
      </c>
      <c r="N21" s="5">
        <f t="shared" si="1"/>
        <v>986249.1381299999</v>
      </c>
      <c r="O21" s="5">
        <f t="shared" si="2"/>
        <v>27542949.566872925</v>
      </c>
      <c r="P21" s="5">
        <f t="shared" si="3"/>
        <v>986249.1381299999</v>
      </c>
      <c r="Q21" s="5">
        <f t="shared" si="4"/>
        <v>43866646.44812999</v>
      </c>
      <c r="R21" s="5">
        <f t="shared" si="5"/>
        <v>43866646.44812999</v>
      </c>
      <c r="S21" s="5">
        <f t="shared" si="6"/>
        <v>1014631.2052724051</v>
      </c>
      <c r="T21" s="5">
        <f t="shared" si="7"/>
        <v>45129031.4345074</v>
      </c>
      <c r="U21" s="20">
        <f t="shared" si="24"/>
        <v>-1262384.9863774106</v>
      </c>
      <c r="V21" s="20" t="str">
        <f t="shared" si="8"/>
        <v>tal til venstre</v>
      </c>
      <c r="X21" s="19" t="s">
        <v>17</v>
      </c>
      <c r="Y21" s="19">
        <v>519</v>
      </c>
      <c r="Z21" s="19">
        <v>289</v>
      </c>
      <c r="AA21" s="19">
        <v>8</v>
      </c>
      <c r="AB21" s="19">
        <v>4</v>
      </c>
      <c r="AC21" s="19">
        <v>0</v>
      </c>
      <c r="AD21" s="19">
        <v>0</v>
      </c>
      <c r="AE21" s="19">
        <v>73</v>
      </c>
      <c r="AF21" s="19">
        <v>10458</v>
      </c>
      <c r="AG21" s="19">
        <v>496</v>
      </c>
      <c r="AH21" s="19">
        <v>703</v>
      </c>
      <c r="AI21" s="19">
        <v>0</v>
      </c>
      <c r="AJ21" s="19">
        <v>0</v>
      </c>
      <c r="AK21" s="20">
        <v>19927</v>
      </c>
      <c r="AL21" s="5">
        <v>22303458.692011308</v>
      </c>
      <c r="AM21" s="21">
        <f t="shared" si="9"/>
        <v>9993389</v>
      </c>
      <c r="AN21" s="19">
        <f t="shared" si="10"/>
        <v>987179</v>
      </c>
      <c r="AO21" s="19">
        <f t="shared" si="11"/>
        <v>251619.47999999998</v>
      </c>
      <c r="AP21" s="19">
        <f t="shared" si="12"/>
        <v>6570520</v>
      </c>
      <c r="AQ21" s="19">
        <f t="shared" si="13"/>
        <v>2476926.1</v>
      </c>
      <c r="AR21" s="19"/>
      <c r="AS21" s="19">
        <f t="shared" si="14"/>
        <v>42583092.27201131</v>
      </c>
      <c r="AT21" s="21">
        <f t="shared" si="15"/>
        <v>50854677.848760165</v>
      </c>
      <c r="AU21" s="5">
        <v>33.32659774540022</v>
      </c>
      <c r="AX21" s="5" t="str">
        <f t="shared" si="25"/>
        <v>FFV Spildevand A/S</v>
      </c>
      <c r="AY21" s="5">
        <f t="shared" si="26"/>
        <v>52.376324738329906</v>
      </c>
      <c r="AZ21" s="5">
        <f t="shared" si="27"/>
        <v>23.467973946477294</v>
      </c>
      <c r="BA21" s="5">
        <f t="shared" si="28"/>
        <v>2.3182416948354065</v>
      </c>
      <c r="BB21" s="5">
        <f t="shared" si="29"/>
        <v>0.5908905778676447</v>
      </c>
      <c r="BC21" s="5">
        <f t="shared" si="30"/>
        <v>15.429879911090019</v>
      </c>
      <c r="BD21" s="5">
        <f t="shared" si="31"/>
        <v>5.8166891313997295</v>
      </c>
      <c r="BF21" s="5">
        <f t="shared" si="40"/>
        <v>23.564810737325157</v>
      </c>
      <c r="BH21" s="5">
        <f t="shared" si="32"/>
        <v>-3.7350413930367097</v>
      </c>
      <c r="BI21" s="5">
        <f t="shared" si="33"/>
        <v>-6.957486244900846</v>
      </c>
      <c r="BJ21" s="5">
        <f t="shared" si="34"/>
        <v>-0.2068830096044234</v>
      </c>
      <c r="BK21" s="5">
        <f t="shared" si="35"/>
        <v>0.24025677722295402</v>
      </c>
      <c r="BL21" s="5">
        <f t="shared" si="36"/>
        <v>9.305441657614423</v>
      </c>
      <c r="BM21" s="5">
        <f t="shared" si="37"/>
        <v>1.3537122127045915</v>
      </c>
      <c r="BO21" s="5">
        <f t="shared" si="38"/>
        <v>8.340912175483606</v>
      </c>
      <c r="BP21" s="5">
        <f t="shared" si="39"/>
        <v>0</v>
      </c>
    </row>
    <row r="22" spans="1:68" ht="15">
      <c r="A22" s="2" t="s">
        <v>18</v>
      </c>
      <c r="B22" s="5">
        <v>26218055</v>
      </c>
      <c r="C22" s="5">
        <f t="shared" si="17"/>
        <v>26349145.275</v>
      </c>
      <c r="D22" s="5">
        <v>28456169.715113</v>
      </c>
      <c r="E22" s="5">
        <v>19408743.975465685</v>
      </c>
      <c r="F22" s="5">
        <f t="shared" si="18"/>
        <v>2107024.4401130006</v>
      </c>
      <c r="G22" s="5">
        <f t="shared" si="19"/>
        <v>26349145.275</v>
      </c>
      <c r="H22" s="5">
        <f t="shared" si="20"/>
        <v>14643237.714168493</v>
      </c>
      <c r="I22" s="5">
        <f t="shared" si="21"/>
        <v>17284334.145156108</v>
      </c>
      <c r="J22" s="5">
        <f t="shared" si="22"/>
        <v>22547981.296668492</v>
      </c>
      <c r="K22" s="5">
        <f t="shared" si="23"/>
        <v>25189077.727656107</v>
      </c>
      <c r="L22" s="5" t="e">
        <f>'Potentialer og krav'!#REF!</f>
        <v>#REF!</v>
      </c>
      <c r="M22" s="5">
        <f t="shared" si="0"/>
        <v>131090.275</v>
      </c>
      <c r="N22" s="5">
        <f t="shared" si="1"/>
        <v>606030.3413249999</v>
      </c>
      <c r="O22" s="5">
        <f t="shared" si="2"/>
        <v>9047425.739647314</v>
      </c>
      <c r="P22" s="5">
        <f t="shared" si="3"/>
        <v>606030.3413249999</v>
      </c>
      <c r="Q22" s="5">
        <f t="shared" si="4"/>
        <v>26955175.616324995</v>
      </c>
      <c r="R22" s="5">
        <f t="shared" si="5"/>
        <v>26955175.616324995</v>
      </c>
      <c r="S22" s="5">
        <f t="shared" si="6"/>
        <v>654491.9034475989</v>
      </c>
      <c r="T22" s="5">
        <f t="shared" si="7"/>
        <v>29110661.618560597</v>
      </c>
      <c r="U22" s="20">
        <f t="shared" si="24"/>
        <v>-2155486.0022356026</v>
      </c>
      <c r="V22" s="20" t="str">
        <f t="shared" si="8"/>
        <v>tal til venstre</v>
      </c>
      <c r="X22" s="19" t="s">
        <v>18</v>
      </c>
      <c r="Y22" s="19">
        <v>132</v>
      </c>
      <c r="Z22" s="19">
        <v>76</v>
      </c>
      <c r="AA22" s="19">
        <v>2</v>
      </c>
      <c r="AB22" s="19">
        <v>3</v>
      </c>
      <c r="AC22" s="19"/>
      <c r="AD22" s="19"/>
      <c r="AE22" s="19">
        <v>18</v>
      </c>
      <c r="AF22" s="19">
        <v>10100</v>
      </c>
      <c r="AG22" s="19">
        <v>103</v>
      </c>
      <c r="AH22" s="19">
        <v>322</v>
      </c>
      <c r="AI22" s="19"/>
      <c r="AJ22" s="19"/>
      <c r="AK22" s="20">
        <v>10200</v>
      </c>
      <c r="AL22" s="5">
        <v>7187522.714168493</v>
      </c>
      <c r="AM22" s="21">
        <f t="shared" si="9"/>
        <v>2717073</v>
      </c>
      <c r="AN22" s="19">
        <f t="shared" si="10"/>
        <v>243414</v>
      </c>
      <c r="AO22" s="19">
        <f t="shared" si="11"/>
        <v>243006</v>
      </c>
      <c r="AP22" s="19">
        <f t="shared" si="12"/>
        <v>2329000</v>
      </c>
      <c r="AQ22" s="19">
        <f t="shared" si="13"/>
        <v>1267860</v>
      </c>
      <c r="AR22" s="19"/>
      <c r="AS22" s="19">
        <f t="shared" si="14"/>
        <v>14643237.714168493</v>
      </c>
      <c r="AT22" s="21">
        <f t="shared" si="15"/>
        <v>17284334.145156108</v>
      </c>
      <c r="AU22" s="5">
        <v>32.25868257438377</v>
      </c>
      <c r="AV22" s="5">
        <v>655362</v>
      </c>
      <c r="AX22" s="5" t="str">
        <f t="shared" si="25"/>
        <v>Fredensborg Spildevand A/S</v>
      </c>
      <c r="AY22" s="5">
        <f t="shared" si="26"/>
        <v>51.38394750596878</v>
      </c>
      <c r="AZ22" s="5">
        <f t="shared" si="27"/>
        <v>19.42448628741992</v>
      </c>
      <c r="BA22" s="5">
        <f t="shared" si="28"/>
        <v>1.740178458645032</v>
      </c>
      <c r="BB22" s="5">
        <f t="shared" si="29"/>
        <v>1.7372616469122342</v>
      </c>
      <c r="BC22" s="5">
        <f t="shared" si="30"/>
        <v>16.650133641385782</v>
      </c>
      <c r="BD22" s="5">
        <f t="shared" si="31"/>
        <v>9.06399245966826</v>
      </c>
      <c r="BF22" s="5">
        <f t="shared" si="40"/>
        <v>27.454304559699075</v>
      </c>
      <c r="BH22" s="5">
        <f t="shared" si="32"/>
        <v>-2.742664160675581</v>
      </c>
      <c r="BI22" s="5">
        <f t="shared" si="33"/>
        <v>-2.9139985858434727</v>
      </c>
      <c r="BJ22" s="5">
        <f t="shared" si="34"/>
        <v>0.3711802265859512</v>
      </c>
      <c r="BK22" s="5">
        <f t="shared" si="35"/>
        <v>-0.9061142918216355</v>
      </c>
      <c r="BL22" s="5">
        <f t="shared" si="36"/>
        <v>8.08518792731866</v>
      </c>
      <c r="BM22" s="5">
        <f t="shared" si="37"/>
        <v>-1.8935911155639387</v>
      </c>
      <c r="BO22" s="5">
        <f t="shared" si="38"/>
        <v>4.451418353109688</v>
      </c>
      <c r="BP22" s="5">
        <f t="shared" si="39"/>
        <v>0</v>
      </c>
    </row>
    <row r="23" spans="1:68" ht="15">
      <c r="A23" s="2" t="s">
        <v>19</v>
      </c>
      <c r="B23" s="5">
        <v>52219000</v>
      </c>
      <c r="C23" s="5">
        <f t="shared" si="17"/>
        <v>52480094.99999999</v>
      </c>
      <c r="D23" s="5">
        <v>53442675.0833878</v>
      </c>
      <c r="E23" s="5">
        <v>3072506.3497797446</v>
      </c>
      <c r="F23" s="5">
        <f t="shared" si="18"/>
        <v>962580.083387807</v>
      </c>
      <c r="G23" s="5">
        <f t="shared" si="19"/>
        <v>52480094.99999999</v>
      </c>
      <c r="H23" s="5">
        <f t="shared" si="20"/>
        <v>75743818.12532808</v>
      </c>
      <c r="I23" s="5">
        <f t="shared" si="21"/>
        <v>95607897.17135324</v>
      </c>
      <c r="J23" s="5">
        <f t="shared" si="22"/>
        <v>91487846.62532808</v>
      </c>
      <c r="K23" s="5">
        <f t="shared" si="23"/>
        <v>111351925.67135324</v>
      </c>
      <c r="L23" s="5" t="e">
        <f>'Potentialer og krav'!#REF!</f>
        <v>#REF!</v>
      </c>
      <c r="M23" s="5">
        <f t="shared" si="0"/>
        <v>261095</v>
      </c>
      <c r="N23" s="5">
        <f t="shared" si="1"/>
        <v>1207042.1849999998</v>
      </c>
      <c r="O23" s="5">
        <f t="shared" si="2"/>
        <v>50370168.73360805</v>
      </c>
      <c r="P23" s="5">
        <f t="shared" si="3"/>
        <v>1207042.1849999998</v>
      </c>
      <c r="Q23" s="5">
        <f t="shared" si="4"/>
        <v>53687137.18499999</v>
      </c>
      <c r="R23" s="5">
        <f t="shared" si="5"/>
        <v>53687137.18499999</v>
      </c>
      <c r="S23" s="5">
        <f t="shared" si="6"/>
        <v>1229181.5269179193</v>
      </c>
      <c r="T23" s="5">
        <f t="shared" si="7"/>
        <v>54671856.61030571</v>
      </c>
      <c r="U23" s="20">
        <f t="shared" si="24"/>
        <v>-984719.4253057241</v>
      </c>
      <c r="V23" s="20" t="str">
        <f t="shared" si="8"/>
        <v>tal til venstre</v>
      </c>
      <c r="X23" s="19" t="s">
        <v>19</v>
      </c>
      <c r="Y23" s="19">
        <v>225</v>
      </c>
      <c r="Z23" s="19">
        <v>90</v>
      </c>
      <c r="AA23" s="19">
        <v>3</v>
      </c>
      <c r="AB23" s="19">
        <v>5</v>
      </c>
      <c r="AC23" s="19">
        <v>8</v>
      </c>
      <c r="AD23" s="19">
        <v>0</v>
      </c>
      <c r="AE23" s="19">
        <v>49</v>
      </c>
      <c r="AF23" s="19">
        <v>15103</v>
      </c>
      <c r="AG23" s="19">
        <v>188</v>
      </c>
      <c r="AH23" s="19">
        <v>704</v>
      </c>
      <c r="AI23" s="19">
        <v>69</v>
      </c>
      <c r="AJ23" s="19"/>
      <c r="AK23" s="20">
        <v>15802</v>
      </c>
      <c r="AL23" s="5">
        <v>51297479.345328085</v>
      </c>
      <c r="AM23" s="21">
        <f t="shared" si="9"/>
        <v>10114415</v>
      </c>
      <c r="AN23" s="19">
        <f t="shared" si="10"/>
        <v>662627</v>
      </c>
      <c r="AO23" s="19">
        <f t="shared" si="11"/>
        <v>363378.18</v>
      </c>
      <c r="AP23" s="19">
        <f t="shared" si="12"/>
        <v>11341730</v>
      </c>
      <c r="AQ23" s="19">
        <f t="shared" si="13"/>
        <v>1964188.5999999999</v>
      </c>
      <c r="AR23" s="19"/>
      <c r="AS23" s="19">
        <f t="shared" si="14"/>
        <v>75743818.12532808</v>
      </c>
      <c r="AT23" s="21">
        <f t="shared" si="15"/>
        <v>95607897.17135324</v>
      </c>
      <c r="AU23" s="5">
        <v>38.557959141002044</v>
      </c>
      <c r="AX23" s="5" t="str">
        <f t="shared" si="25"/>
        <v>Fredericia Spildevand A/S</v>
      </c>
      <c r="AY23" s="5">
        <f t="shared" si="26"/>
        <v>67.72497164118356</v>
      </c>
      <c r="AZ23" s="5">
        <f t="shared" si="27"/>
        <v>13.353452796985193</v>
      </c>
      <c r="BA23" s="5">
        <f t="shared" si="28"/>
        <v>0.8748265091463923</v>
      </c>
      <c r="BB23" s="5">
        <f t="shared" si="29"/>
        <v>0.47974631988942407</v>
      </c>
      <c r="BC23" s="5">
        <f t="shared" si="30"/>
        <v>14.973802853763749</v>
      </c>
      <c r="BD23" s="5">
        <f t="shared" si="31"/>
        <v>2.593199879031702</v>
      </c>
      <c r="BF23" s="5">
        <f t="shared" si="40"/>
        <v>18.441829241941843</v>
      </c>
      <c r="BH23" s="5">
        <f t="shared" si="32"/>
        <v>-19.08368829589036</v>
      </c>
      <c r="BI23" s="5">
        <f t="shared" si="33"/>
        <v>3.1570349045912547</v>
      </c>
      <c r="BJ23" s="5">
        <f t="shared" si="34"/>
        <v>1.2365321760845909</v>
      </c>
      <c r="BK23" s="5">
        <f t="shared" si="35"/>
        <v>0.3514010352011746</v>
      </c>
      <c r="BL23" s="5">
        <f t="shared" si="36"/>
        <v>9.761518714940694</v>
      </c>
      <c r="BM23" s="5">
        <f t="shared" si="37"/>
        <v>4.577201465072619</v>
      </c>
      <c r="BO23" s="5">
        <f t="shared" si="38"/>
        <v>13.46389367086692</v>
      </c>
      <c r="BP23" s="5">
        <f t="shared" si="39"/>
        <v>0</v>
      </c>
    </row>
    <row r="24" spans="1:68" ht="15">
      <c r="A24" s="2" t="s">
        <v>20</v>
      </c>
      <c r="B24" s="5">
        <v>20685139</v>
      </c>
      <c r="C24" s="5">
        <f t="shared" si="17"/>
        <v>20788564.694999997</v>
      </c>
      <c r="D24" s="5">
        <v>17960897</v>
      </c>
      <c r="E24" s="5">
        <v>4047841.9686209</v>
      </c>
      <c r="F24" s="5" t="str">
        <f t="shared" si="18"/>
        <v>ingen</v>
      </c>
      <c r="G24" s="5">
        <f t="shared" si="19"/>
        <v>17960897</v>
      </c>
      <c r="H24" s="5">
        <f t="shared" si="20"/>
        <v>16276604.94</v>
      </c>
      <c r="I24" s="5">
        <f t="shared" si="21"/>
        <v>26846423.90498411</v>
      </c>
      <c r="J24" s="5">
        <f t="shared" si="22"/>
        <v>21664874.04</v>
      </c>
      <c r="K24" s="5">
        <f t="shared" si="23"/>
        <v>32234693.00498411</v>
      </c>
      <c r="L24" s="5">
        <f>'Potentialer og krav'!R13</f>
        <v>0</v>
      </c>
      <c r="M24" s="5">
        <f t="shared" si="0"/>
        <v>103425.695</v>
      </c>
      <c r="N24" s="5">
        <f t="shared" si="1"/>
        <v>478136.9879849999</v>
      </c>
      <c r="O24" s="5">
        <f t="shared" si="2"/>
        <v>13913055.0313791</v>
      </c>
      <c r="P24" s="5">
        <f t="shared" si="3"/>
        <v>413100.631</v>
      </c>
      <c r="Q24" s="5">
        <f t="shared" si="4"/>
        <v>18373997.630999997</v>
      </c>
      <c r="R24" s="5">
        <f t="shared" si="5"/>
        <v>21266701.682984993</v>
      </c>
      <c r="S24" s="5">
        <f t="shared" si="6"/>
        <v>413100.631</v>
      </c>
      <c r="T24" s="5">
        <f t="shared" si="7"/>
        <v>18373997.630999997</v>
      </c>
      <c r="U24" s="20">
        <f t="shared" si="24"/>
        <v>2892704.0519849956</v>
      </c>
      <c r="V24" s="20" t="str">
        <f t="shared" si="8"/>
        <v>ingen</v>
      </c>
      <c r="X24" s="19" t="s">
        <v>20</v>
      </c>
      <c r="Y24" s="19">
        <v>0</v>
      </c>
      <c r="Z24" s="19">
        <v>2</v>
      </c>
      <c r="AA24" s="19">
        <v>6</v>
      </c>
      <c r="AB24" s="19">
        <v>1</v>
      </c>
      <c r="AC24" s="19">
        <v>0</v>
      </c>
      <c r="AD24" s="19">
        <v>5</v>
      </c>
      <c r="AE24" s="19"/>
      <c r="AF24" s="19">
        <v>21204</v>
      </c>
      <c r="AG24" s="19">
        <v>3</v>
      </c>
      <c r="AH24" s="19">
        <v>31</v>
      </c>
      <c r="AI24" s="19">
        <v>54</v>
      </c>
      <c r="AJ24" s="19">
        <v>59</v>
      </c>
      <c r="AK24" s="20">
        <v>5009</v>
      </c>
      <c r="AL24" s="5">
        <v>0</v>
      </c>
      <c r="AM24" s="21">
        <f t="shared" si="9"/>
        <v>4388608</v>
      </c>
      <c r="AN24" s="19">
        <f t="shared" si="10"/>
        <v>0</v>
      </c>
      <c r="AO24" s="19">
        <f t="shared" si="11"/>
        <v>510168.24</v>
      </c>
      <c r="AP24" s="19">
        <f t="shared" si="12"/>
        <v>10755210</v>
      </c>
      <c r="AQ24" s="19">
        <f t="shared" si="13"/>
        <v>622618.7</v>
      </c>
      <c r="AR24" s="19"/>
      <c r="AS24" s="19">
        <f t="shared" si="14"/>
        <v>16276604.94</v>
      </c>
      <c r="AT24" s="21">
        <f t="shared" si="15"/>
        <v>26846423.90498411</v>
      </c>
      <c r="AU24" s="5">
        <v>68.33747719478045</v>
      </c>
      <c r="AX24" s="5" t="str">
        <f t="shared" si="25"/>
        <v>Frederiksberg Kloak A/S</v>
      </c>
      <c r="AY24" s="5">
        <f t="shared" si="26"/>
        <v>0</v>
      </c>
      <c r="AZ24" s="5">
        <f t="shared" si="27"/>
        <v>26.962674440877592</v>
      </c>
      <c r="BA24" s="5">
        <f t="shared" si="28"/>
        <v>0</v>
      </c>
      <c r="BB24" s="5">
        <f t="shared" si="29"/>
        <v>3.1343651939739225</v>
      </c>
      <c r="BC24" s="5">
        <f t="shared" si="30"/>
        <v>66.0777234542869</v>
      </c>
      <c r="BD24" s="5">
        <f t="shared" si="31"/>
        <v>3.825236910861584</v>
      </c>
      <c r="BF24" s="5">
        <f t="shared" si="40"/>
        <v>69.90296036514849</v>
      </c>
      <c r="BH24" s="5">
        <f t="shared" si="32"/>
        <v>48.641283345293196</v>
      </c>
      <c r="BI24" s="5">
        <f t="shared" si="33"/>
        <v>-10.452186739301144</v>
      </c>
      <c r="BJ24" s="5">
        <f t="shared" si="34"/>
        <v>2.111358685230983</v>
      </c>
      <c r="BK24" s="5">
        <f t="shared" si="35"/>
        <v>-2.3032178388833238</v>
      </c>
      <c r="BL24" s="5">
        <f t="shared" si="36"/>
        <v>-41.342401885582454</v>
      </c>
      <c r="BM24" s="5">
        <f t="shared" si="37"/>
        <v>3.3451644332427373</v>
      </c>
      <c r="BO24" s="5">
        <f t="shared" si="38"/>
        <v>-37.997237452339725</v>
      </c>
      <c r="BP24" s="5">
        <f t="shared" si="39"/>
        <v>-3.5652095528804364</v>
      </c>
    </row>
    <row r="25" spans="1:68" ht="15">
      <c r="A25" s="2" t="s">
        <v>21</v>
      </c>
      <c r="B25" s="5">
        <v>60664750</v>
      </c>
      <c r="C25" s="5">
        <f t="shared" si="17"/>
        <v>60968073.74999999</v>
      </c>
      <c r="D25" s="5">
        <v>68324436.1667266</v>
      </c>
      <c r="E25" s="5">
        <v>15432467.726753004</v>
      </c>
      <c r="F25" s="5">
        <f t="shared" si="18"/>
        <v>7356362.416726612</v>
      </c>
      <c r="G25" s="5">
        <f t="shared" si="19"/>
        <v>60968073.74999999</v>
      </c>
      <c r="H25" s="5">
        <f t="shared" si="20"/>
        <v>81774235.80290097</v>
      </c>
      <c r="I25" s="5">
        <f t="shared" si="21"/>
        <v>96391736.82115693</v>
      </c>
      <c r="J25" s="5">
        <f t="shared" si="22"/>
        <v>100064657.92790097</v>
      </c>
      <c r="K25" s="5">
        <f t="shared" si="23"/>
        <v>114682158.94615693</v>
      </c>
      <c r="L25" s="5" t="e">
        <f>'Potentialer og krav'!#REF!</f>
        <v>#REF!</v>
      </c>
      <c r="M25" s="5">
        <f t="shared" si="0"/>
        <v>303323.75</v>
      </c>
      <c r="N25" s="5">
        <f t="shared" si="1"/>
        <v>1402265.6962499998</v>
      </c>
      <c r="O25" s="5">
        <f t="shared" si="2"/>
        <v>52891968.4399736</v>
      </c>
      <c r="P25" s="5">
        <f t="shared" si="3"/>
        <v>1402265.6962499998</v>
      </c>
      <c r="Q25" s="5">
        <f t="shared" si="4"/>
        <v>62370339.446249984</v>
      </c>
      <c r="R25" s="5">
        <f t="shared" si="5"/>
        <v>62370339.446249984</v>
      </c>
      <c r="S25" s="5">
        <f t="shared" si="6"/>
        <v>1571462.0318347118</v>
      </c>
      <c r="T25" s="5">
        <f t="shared" si="7"/>
        <v>69895898.19856131</v>
      </c>
      <c r="U25" s="20">
        <f t="shared" si="24"/>
        <v>-7525558.752311327</v>
      </c>
      <c r="V25" s="20" t="str">
        <f t="shared" si="8"/>
        <v>tal til venstre</v>
      </c>
      <c r="X25" s="19" t="s">
        <v>21</v>
      </c>
      <c r="Y25" s="19">
        <v>75</v>
      </c>
      <c r="Z25" s="19">
        <v>173</v>
      </c>
      <c r="AA25" s="19">
        <v>39</v>
      </c>
      <c r="AB25" s="19">
        <v>4</v>
      </c>
      <c r="AC25" s="19">
        <v>6</v>
      </c>
      <c r="AD25" s="19">
        <v>0</v>
      </c>
      <c r="AE25" s="19">
        <v>28</v>
      </c>
      <c r="AF25" s="19">
        <v>15945</v>
      </c>
      <c r="AG25" s="19">
        <v>277</v>
      </c>
      <c r="AH25" s="19">
        <v>729</v>
      </c>
      <c r="AI25" s="19">
        <v>31</v>
      </c>
      <c r="AJ25" s="19">
        <v>0</v>
      </c>
      <c r="AK25" s="20">
        <v>23554</v>
      </c>
      <c r="AL25" s="5">
        <v>58490612.902900964</v>
      </c>
      <c r="AM25" s="21">
        <f t="shared" si="9"/>
        <v>11181270</v>
      </c>
      <c r="AN25" s="19">
        <f t="shared" si="10"/>
        <v>378644</v>
      </c>
      <c r="AO25" s="19">
        <f t="shared" si="11"/>
        <v>383636.69999999995</v>
      </c>
      <c r="AP25" s="19">
        <f t="shared" si="12"/>
        <v>8412310</v>
      </c>
      <c r="AQ25" s="19">
        <f t="shared" si="13"/>
        <v>2927762.1999999997</v>
      </c>
      <c r="AR25" s="19"/>
      <c r="AS25" s="19">
        <f t="shared" si="14"/>
        <v>81774235.80290097</v>
      </c>
      <c r="AT25" s="21">
        <f t="shared" si="15"/>
        <v>96391736.82115693</v>
      </c>
      <c r="AU25" s="5">
        <v>32.13495061196788</v>
      </c>
      <c r="AX25" s="5" t="str">
        <f t="shared" si="25"/>
        <v>Frederikshavn Spildevand A/S</v>
      </c>
      <c r="AY25" s="5">
        <f t="shared" si="26"/>
        <v>71.52694528858683</v>
      </c>
      <c r="AZ25" s="5">
        <f t="shared" si="27"/>
        <v>13.673340863679877</v>
      </c>
      <c r="BA25" s="5">
        <f t="shared" si="28"/>
        <v>0.46303581596609367</v>
      </c>
      <c r="BB25" s="5">
        <f t="shared" si="29"/>
        <v>0.4691412842116592</v>
      </c>
      <c r="BC25" s="5">
        <f t="shared" si="30"/>
        <v>10.287237682386962</v>
      </c>
      <c r="BD25" s="5">
        <f t="shared" si="31"/>
        <v>3.580299065168563</v>
      </c>
      <c r="BF25" s="5">
        <f t="shared" si="40"/>
        <v>14.33057256352162</v>
      </c>
      <c r="BH25" s="5">
        <f t="shared" si="32"/>
        <v>-22.885661943293634</v>
      </c>
      <c r="BI25" s="5">
        <f t="shared" si="33"/>
        <v>2.8371468378965705</v>
      </c>
      <c r="BJ25" s="5">
        <f t="shared" si="34"/>
        <v>1.6483228692648895</v>
      </c>
      <c r="BK25" s="5">
        <f t="shared" si="35"/>
        <v>0.3620060708789395</v>
      </c>
      <c r="BL25" s="5">
        <f t="shared" si="36"/>
        <v>14.44808388631748</v>
      </c>
      <c r="BM25" s="5">
        <f t="shared" si="37"/>
        <v>3.590102278935758</v>
      </c>
      <c r="BO25" s="5">
        <f t="shared" si="38"/>
        <v>17.575150349287142</v>
      </c>
      <c r="BP25" s="5">
        <f t="shared" si="39"/>
        <v>0</v>
      </c>
    </row>
    <row r="26" spans="1:68" ht="15">
      <c r="A26" s="2" t="s">
        <v>22</v>
      </c>
      <c r="B26" s="5">
        <v>38787002</v>
      </c>
      <c r="C26" s="5">
        <f t="shared" si="17"/>
        <v>38980937.01</v>
      </c>
      <c r="D26" s="5">
        <v>28755325.2641774</v>
      </c>
      <c r="E26" s="5">
        <v>6935396.589223961</v>
      </c>
      <c r="F26" s="5" t="str">
        <f t="shared" si="18"/>
        <v>ingen</v>
      </c>
      <c r="G26" s="5">
        <f t="shared" si="19"/>
        <v>28755325.2641774</v>
      </c>
      <c r="H26" s="5">
        <f t="shared" si="20"/>
        <v>33734950.3775925</v>
      </c>
      <c r="I26" s="5">
        <f t="shared" si="21"/>
        <v>39863428.645959355</v>
      </c>
      <c r="J26" s="5">
        <f t="shared" si="22"/>
        <v>42361547.956845716</v>
      </c>
      <c r="K26" s="5">
        <f t="shared" si="23"/>
        <v>48490026.225212574</v>
      </c>
      <c r="L26" s="5">
        <f>'Potentialer og krav'!R14</f>
        <v>338917.8292849472</v>
      </c>
      <c r="M26" s="5">
        <f t="shared" si="0"/>
        <v>193935.01</v>
      </c>
      <c r="N26" s="5">
        <f t="shared" si="1"/>
        <v>896561.55123</v>
      </c>
      <c r="O26" s="5">
        <f t="shared" si="2"/>
        <v>21819928.67495344</v>
      </c>
      <c r="P26" s="5">
        <f t="shared" si="3"/>
        <v>661372.4810760802</v>
      </c>
      <c r="Q26" s="5">
        <f t="shared" si="4"/>
        <v>29416697.745253477</v>
      </c>
      <c r="R26" s="5">
        <f t="shared" si="5"/>
        <v>39877498.56123</v>
      </c>
      <c r="S26" s="5">
        <f t="shared" si="6"/>
        <v>661372.4810760802</v>
      </c>
      <c r="T26" s="5">
        <f t="shared" si="7"/>
        <v>29416697.745253477</v>
      </c>
      <c r="U26" s="20">
        <f t="shared" si="24"/>
        <v>10460800.81597652</v>
      </c>
      <c r="V26" s="20" t="str">
        <f t="shared" si="8"/>
        <v>ingen</v>
      </c>
      <c r="X26" s="19" t="s">
        <v>22</v>
      </c>
      <c r="Y26" s="19">
        <v>45</v>
      </c>
      <c r="Z26" s="19">
        <v>111</v>
      </c>
      <c r="AA26" s="19">
        <v>38</v>
      </c>
      <c r="AB26" s="19">
        <v>5</v>
      </c>
      <c r="AC26" s="19">
        <v>2</v>
      </c>
      <c r="AD26" s="19">
        <v>0</v>
      </c>
      <c r="AE26" s="19">
        <v>40</v>
      </c>
      <c r="AF26" s="19">
        <v>13132</v>
      </c>
      <c r="AG26" s="19">
        <v>304</v>
      </c>
      <c r="AH26" s="19">
        <v>497</v>
      </c>
      <c r="AI26" s="19">
        <v>42</v>
      </c>
      <c r="AJ26" s="19">
        <v>0</v>
      </c>
      <c r="AK26" s="20">
        <v>15484</v>
      </c>
      <c r="AL26" s="5">
        <v>15878569.257592492</v>
      </c>
      <c r="AM26" s="21">
        <f t="shared" si="9"/>
        <v>6757104</v>
      </c>
      <c r="AN26" s="19">
        <f t="shared" si="10"/>
        <v>540920</v>
      </c>
      <c r="AO26" s="19">
        <f t="shared" si="11"/>
        <v>315955.92</v>
      </c>
      <c r="AP26" s="19">
        <f t="shared" si="12"/>
        <v>8317740.000000001</v>
      </c>
      <c r="AQ26" s="19">
        <f t="shared" si="13"/>
        <v>1924661.2</v>
      </c>
      <c r="AR26" s="19"/>
      <c r="AS26" s="19">
        <f t="shared" si="14"/>
        <v>33734950.3775925</v>
      </c>
      <c r="AT26" s="21">
        <f t="shared" si="15"/>
        <v>39863428.645959355</v>
      </c>
      <c r="AU26" s="5">
        <v>32.35888835618964</v>
      </c>
      <c r="AX26" s="5" t="str">
        <f t="shared" si="25"/>
        <v>Frederikssund Spildevand A/S</v>
      </c>
      <c r="AY26" s="5">
        <f t="shared" si="26"/>
        <v>47.06860119806013</v>
      </c>
      <c r="AZ26" s="5">
        <f t="shared" si="27"/>
        <v>20.02998055241907</v>
      </c>
      <c r="BA26" s="5">
        <f t="shared" si="28"/>
        <v>1.6034409238653902</v>
      </c>
      <c r="BB26" s="5">
        <f t="shared" si="29"/>
        <v>0.9365833251969593</v>
      </c>
      <c r="BC26" s="5">
        <f t="shared" si="30"/>
        <v>24.656150096265826</v>
      </c>
      <c r="BD26" s="5">
        <f t="shared" si="31"/>
        <v>5.705243904192617</v>
      </c>
      <c r="BF26" s="5">
        <f t="shared" si="40"/>
        <v>31.96483492432383</v>
      </c>
      <c r="BH26" s="5">
        <f t="shared" si="32"/>
        <v>1.572682147233067</v>
      </c>
      <c r="BI26" s="5">
        <f t="shared" si="33"/>
        <v>-3.519492850842621</v>
      </c>
      <c r="BJ26" s="5">
        <f t="shared" si="34"/>
        <v>0.507917761365593</v>
      </c>
      <c r="BK26" s="5">
        <f t="shared" si="35"/>
        <v>-0.10543597010636063</v>
      </c>
      <c r="BL26" s="5">
        <f t="shared" si="36"/>
        <v>0.07917147243861677</v>
      </c>
      <c r="BM26" s="5">
        <f t="shared" si="37"/>
        <v>1.465157439911704</v>
      </c>
      <c r="BO26" s="5">
        <f t="shared" si="38"/>
        <v>-0.05911201151506873</v>
      </c>
      <c r="BP26" s="5">
        <f t="shared" si="39"/>
        <v>0</v>
      </c>
    </row>
    <row r="27" spans="1:68" ht="15">
      <c r="A27" s="2" t="s">
        <v>23</v>
      </c>
      <c r="B27" s="5">
        <v>25327592</v>
      </c>
      <c r="C27" s="5">
        <f t="shared" si="17"/>
        <v>25454229.959999997</v>
      </c>
      <c r="D27" s="5">
        <v>21607340.869021602</v>
      </c>
      <c r="E27" s="5">
        <v>10370874.63262017</v>
      </c>
      <c r="F27" s="5" t="str">
        <f t="shared" si="18"/>
        <v>ingen</v>
      </c>
      <c r="G27" s="5">
        <f t="shared" si="19"/>
        <v>21607340.869021602</v>
      </c>
      <c r="H27" s="5">
        <f t="shared" si="20"/>
        <v>16197717.99807739</v>
      </c>
      <c r="I27" s="5">
        <f t="shared" si="21"/>
        <v>21550102.464883942</v>
      </c>
      <c r="J27" s="5">
        <f t="shared" si="22"/>
        <v>22679920.25878387</v>
      </c>
      <c r="K27" s="5">
        <f t="shared" si="23"/>
        <v>28032304.725590423</v>
      </c>
      <c r="L27" s="5">
        <f>'Potentialer og krav'!R15</f>
        <v>1080367.04345108</v>
      </c>
      <c r="M27" s="5">
        <f t="shared" si="0"/>
        <v>126637.96</v>
      </c>
      <c r="N27" s="5">
        <f t="shared" si="1"/>
        <v>585447.2890799999</v>
      </c>
      <c r="O27" s="5">
        <f t="shared" si="2"/>
        <v>11236466.236401431</v>
      </c>
      <c r="P27" s="5">
        <f t="shared" si="3"/>
        <v>496968.83998749685</v>
      </c>
      <c r="Q27" s="5">
        <f t="shared" si="4"/>
        <v>22104309.709009096</v>
      </c>
      <c r="R27" s="5">
        <f t="shared" si="5"/>
        <v>26039677.249079995</v>
      </c>
      <c r="S27" s="5">
        <f t="shared" si="6"/>
        <v>496968.83998749685</v>
      </c>
      <c r="T27" s="5">
        <f t="shared" si="7"/>
        <v>22104309.709009096</v>
      </c>
      <c r="U27" s="20">
        <f t="shared" si="24"/>
        <v>3935367.540070899</v>
      </c>
      <c r="V27" s="20" t="str">
        <f t="shared" si="8"/>
        <v>ingen</v>
      </c>
      <c r="X27" s="19" t="s">
        <v>23</v>
      </c>
      <c r="Y27" s="19">
        <v>54</v>
      </c>
      <c r="Z27" s="19">
        <v>124</v>
      </c>
      <c r="AA27" s="19">
        <v>8</v>
      </c>
      <c r="AB27" s="19">
        <v>1</v>
      </c>
      <c r="AC27" s="19">
        <v>0</v>
      </c>
      <c r="AD27" s="19">
        <v>0</v>
      </c>
      <c r="AE27" s="19">
        <v>28</v>
      </c>
      <c r="AF27" s="19">
        <v>39667</v>
      </c>
      <c r="AG27" s="19">
        <v>48</v>
      </c>
      <c r="AH27" s="19">
        <v>359</v>
      </c>
      <c r="AI27" s="19">
        <v>35</v>
      </c>
      <c r="AJ27" s="19">
        <v>0</v>
      </c>
      <c r="AK27" s="20">
        <v>10616</v>
      </c>
      <c r="AL27" s="5">
        <v>4839284.17807739</v>
      </c>
      <c r="AM27" s="21">
        <f t="shared" si="9"/>
        <v>3201923</v>
      </c>
      <c r="AN27" s="19">
        <f t="shared" si="10"/>
        <v>378644</v>
      </c>
      <c r="AO27" s="19">
        <f t="shared" si="11"/>
        <v>954388.0199999999</v>
      </c>
      <c r="AP27" s="19">
        <f t="shared" si="12"/>
        <v>5503910</v>
      </c>
      <c r="AQ27" s="19">
        <f t="shared" si="13"/>
        <v>1319568.8</v>
      </c>
      <c r="AR27" s="19"/>
      <c r="AS27" s="19">
        <f t="shared" si="14"/>
        <v>16197717.99807739</v>
      </c>
      <c r="AT27" s="21">
        <f t="shared" si="15"/>
        <v>21550102.464883942</v>
      </c>
      <c r="AU27" s="5">
        <v>43.80312693734844</v>
      </c>
      <c r="AX27" s="5" t="str">
        <f t="shared" si="25"/>
        <v>Furesø Spildevand A/S</v>
      </c>
      <c r="AY27" s="5">
        <f t="shared" si="26"/>
        <v>29.87633306526139</v>
      </c>
      <c r="AZ27" s="5">
        <f t="shared" si="27"/>
        <v>19.767741359493087</v>
      </c>
      <c r="BA27" s="5">
        <f t="shared" si="28"/>
        <v>2.3376379317441116</v>
      </c>
      <c r="BB27" s="5">
        <f t="shared" si="29"/>
        <v>5.892114062692548</v>
      </c>
      <c r="BC27" s="5">
        <f t="shared" si="30"/>
        <v>33.979539591029386</v>
      </c>
      <c r="BD27" s="5">
        <f t="shared" si="31"/>
        <v>8.146633989779474</v>
      </c>
      <c r="BF27" s="5">
        <f t="shared" si="40"/>
        <v>44.46381151255297</v>
      </c>
      <c r="BH27" s="5">
        <f t="shared" si="32"/>
        <v>18.764950280031805</v>
      </c>
      <c r="BI27" s="5">
        <f t="shared" si="33"/>
        <v>-3.257253657916639</v>
      </c>
      <c r="BJ27" s="5">
        <f t="shared" si="34"/>
        <v>-0.22627924651312847</v>
      </c>
      <c r="BK27" s="5">
        <f t="shared" si="35"/>
        <v>-5.06096670760195</v>
      </c>
      <c r="BL27" s="5">
        <f t="shared" si="36"/>
        <v>-9.244218022324944</v>
      </c>
      <c r="BM27" s="5">
        <f t="shared" si="37"/>
        <v>-0.9762326456751529</v>
      </c>
      <c r="BO27" s="5">
        <f t="shared" si="38"/>
        <v>-12.55808859974421</v>
      </c>
      <c r="BP27" s="5">
        <f t="shared" si="39"/>
        <v>0</v>
      </c>
    </row>
    <row r="28" spans="1:68" ht="15">
      <c r="A28" s="2" t="s">
        <v>24</v>
      </c>
      <c r="B28" s="5">
        <v>24292112</v>
      </c>
      <c r="C28" s="5">
        <f t="shared" si="17"/>
        <v>24413572.56</v>
      </c>
      <c r="D28" s="5">
        <v>32749093.7525332</v>
      </c>
      <c r="E28" s="5">
        <v>21829601.298801016</v>
      </c>
      <c r="F28" s="5">
        <f t="shared" si="18"/>
        <v>8335521.1925332025</v>
      </c>
      <c r="G28" s="5">
        <f t="shared" si="19"/>
        <v>24413572.56</v>
      </c>
      <c r="H28" s="5">
        <f t="shared" si="20"/>
        <v>13782968.5</v>
      </c>
      <c r="I28" s="5">
        <f t="shared" si="21"/>
        <v>22297626.118970346</v>
      </c>
      <c r="J28" s="5">
        <f t="shared" si="22"/>
        <v>21107040.268</v>
      </c>
      <c r="K28" s="5">
        <f t="shared" si="23"/>
        <v>29621697.886970345</v>
      </c>
      <c r="L28" s="5" t="e">
        <f>'Potentialer og krav'!#REF!</f>
        <v>#REF!</v>
      </c>
      <c r="M28" s="5">
        <f t="shared" si="0"/>
        <v>121460.56</v>
      </c>
      <c r="N28" s="5">
        <f t="shared" si="1"/>
        <v>561512.16888</v>
      </c>
      <c r="O28" s="5">
        <f t="shared" si="2"/>
        <v>10919492.453732185</v>
      </c>
      <c r="P28" s="5">
        <f t="shared" si="3"/>
        <v>561512.16888</v>
      </c>
      <c r="Q28" s="5">
        <f t="shared" si="4"/>
        <v>24975084.728879996</v>
      </c>
      <c r="R28" s="5">
        <f t="shared" si="5"/>
        <v>24975084.728879996</v>
      </c>
      <c r="S28" s="5">
        <f t="shared" si="6"/>
        <v>753229.1563082637</v>
      </c>
      <c r="T28" s="5">
        <f t="shared" si="7"/>
        <v>33502322.90884146</v>
      </c>
      <c r="U28" s="20">
        <f t="shared" si="24"/>
        <v>-8527238.179961465</v>
      </c>
      <c r="V28" s="20" t="str">
        <f t="shared" si="8"/>
        <v>tal til venstre</v>
      </c>
      <c r="X28" s="19" t="s">
        <v>24</v>
      </c>
      <c r="Y28" s="19">
        <v>2</v>
      </c>
      <c r="Z28" s="19">
        <v>14</v>
      </c>
      <c r="AA28" s="19">
        <v>0</v>
      </c>
      <c r="AB28" s="19">
        <v>2</v>
      </c>
      <c r="AC28" s="19">
        <v>3</v>
      </c>
      <c r="AD28" s="19">
        <v>0</v>
      </c>
      <c r="AE28" s="19">
        <v>4</v>
      </c>
      <c r="AF28" s="19">
        <v>2960</v>
      </c>
      <c r="AG28" s="19">
        <v>9</v>
      </c>
      <c r="AH28" s="19">
        <v>286</v>
      </c>
      <c r="AI28" s="19">
        <v>71</v>
      </c>
      <c r="AJ28" s="19">
        <v>0</v>
      </c>
      <c r="AK28" s="20">
        <v>15433</v>
      </c>
      <c r="AL28" s="5">
        <v>0</v>
      </c>
      <c r="AM28" s="21">
        <f t="shared" si="9"/>
        <v>2723327</v>
      </c>
      <c r="AN28" s="19">
        <f t="shared" si="10"/>
        <v>54092</v>
      </c>
      <c r="AO28" s="19">
        <f t="shared" si="11"/>
        <v>71217.59999999999</v>
      </c>
      <c r="AP28" s="19">
        <f t="shared" si="12"/>
        <v>8257230</v>
      </c>
      <c r="AQ28" s="19">
        <f t="shared" si="13"/>
        <v>1918321.9</v>
      </c>
      <c r="AR28" s="19"/>
      <c r="AS28" s="19">
        <f t="shared" si="14"/>
        <v>13782968.5</v>
      </c>
      <c r="AT28" s="21">
        <f t="shared" si="15"/>
        <v>22297626.118970346</v>
      </c>
      <c r="AU28" s="5">
        <v>65.90512324892045</v>
      </c>
      <c r="AV28" s="5">
        <v>758780</v>
      </c>
      <c r="AX28" s="5" t="str">
        <f t="shared" si="25"/>
        <v>Gentofte Spildevand A/S</v>
      </c>
      <c r="AY28" s="5">
        <f t="shared" si="26"/>
        <v>0</v>
      </c>
      <c r="AZ28" s="5">
        <f t="shared" si="27"/>
        <v>20.909763399078567</v>
      </c>
      <c r="BA28" s="5">
        <f t="shared" si="28"/>
        <v>0.4153195417894942</v>
      </c>
      <c r="BB28" s="5">
        <f t="shared" si="29"/>
        <v>0.5468102676800171</v>
      </c>
      <c r="BC28" s="5">
        <f t="shared" si="30"/>
        <v>63.399189899624076</v>
      </c>
      <c r="BD28" s="5">
        <f t="shared" si="31"/>
        <v>14.728916891827847</v>
      </c>
      <c r="BF28" s="5">
        <f t="shared" si="40"/>
        <v>78.54342633324141</v>
      </c>
      <c r="BH28" s="5">
        <f t="shared" si="32"/>
        <v>48.641283345293196</v>
      </c>
      <c r="BI28" s="5">
        <f t="shared" si="33"/>
        <v>-4.399275697502119</v>
      </c>
      <c r="BJ28" s="5">
        <f t="shared" si="34"/>
        <v>1.696039143441489</v>
      </c>
      <c r="BK28" s="5">
        <f t="shared" si="35"/>
        <v>0.2843370874105816</v>
      </c>
      <c r="BL28" s="5">
        <f t="shared" si="36"/>
        <v>-38.663868330919634</v>
      </c>
      <c r="BM28" s="5">
        <f t="shared" si="37"/>
        <v>-7.558515547723526</v>
      </c>
      <c r="BO28" s="5">
        <f t="shared" si="38"/>
        <v>-46.63770342043265</v>
      </c>
      <c r="BP28" s="5">
        <f t="shared" si="39"/>
        <v>-5.539988049888074</v>
      </c>
    </row>
    <row r="29" spans="1:68" ht="15">
      <c r="A29" s="2" t="s">
        <v>25</v>
      </c>
      <c r="B29" s="5">
        <v>19736830</v>
      </c>
      <c r="C29" s="5">
        <f t="shared" si="17"/>
        <v>19835514.15</v>
      </c>
      <c r="D29" s="5">
        <v>17358966.9210356</v>
      </c>
      <c r="E29" s="5">
        <v>8650586.337684456</v>
      </c>
      <c r="F29" s="5" t="str">
        <f t="shared" si="18"/>
        <v>ingen</v>
      </c>
      <c r="G29" s="5">
        <f t="shared" si="19"/>
        <v>17358966.9210356</v>
      </c>
      <c r="H29" s="5">
        <f t="shared" si="20"/>
        <v>11435120.9</v>
      </c>
      <c r="I29" s="5">
        <f t="shared" si="21"/>
        <v>16803566.936479677</v>
      </c>
      <c r="J29" s="5">
        <f t="shared" si="22"/>
        <v>16642810.97631068</v>
      </c>
      <c r="K29" s="5">
        <f t="shared" si="23"/>
        <v>22011257.012790356</v>
      </c>
      <c r="L29" s="5">
        <f>'Potentialer og krav'!R16</f>
        <v>867948.34605178</v>
      </c>
      <c r="M29" s="5">
        <f t="shared" si="0"/>
        <v>98684.15000000001</v>
      </c>
      <c r="N29" s="5">
        <f t="shared" si="1"/>
        <v>456216.82544999995</v>
      </c>
      <c r="O29" s="5">
        <f t="shared" si="2"/>
        <v>8708380.583351143</v>
      </c>
      <c r="P29" s="5">
        <f t="shared" si="3"/>
        <v>399256.23918381875</v>
      </c>
      <c r="Q29" s="5">
        <f t="shared" si="4"/>
        <v>17758223.160219416</v>
      </c>
      <c r="R29" s="5">
        <f t="shared" si="5"/>
        <v>20291730.975449998</v>
      </c>
      <c r="S29" s="5">
        <f t="shared" si="6"/>
        <v>399256.23918381875</v>
      </c>
      <c r="T29" s="5">
        <f t="shared" si="7"/>
        <v>17758223.160219416</v>
      </c>
      <c r="U29" s="20">
        <f t="shared" si="24"/>
        <v>2533507.815230582</v>
      </c>
      <c r="V29" s="20" t="str">
        <f t="shared" si="8"/>
        <v>ingen</v>
      </c>
      <c r="X29" s="19" t="s">
        <v>25</v>
      </c>
      <c r="Y29" s="19">
        <v>0</v>
      </c>
      <c r="Z29" s="19">
        <v>14</v>
      </c>
      <c r="AA29" s="19">
        <v>2</v>
      </c>
      <c r="AB29" s="19">
        <v>0</v>
      </c>
      <c r="AC29" s="19">
        <v>2</v>
      </c>
      <c r="AD29" s="19">
        <v>0</v>
      </c>
      <c r="AE29" s="19">
        <v>13</v>
      </c>
      <c r="AF29" s="19">
        <v>6000</v>
      </c>
      <c r="AG29" s="19">
        <v>11</v>
      </c>
      <c r="AH29" s="19">
        <v>186</v>
      </c>
      <c r="AI29" s="19">
        <v>71</v>
      </c>
      <c r="AJ29" s="19">
        <v>0</v>
      </c>
      <c r="AK29" s="20">
        <v>11773</v>
      </c>
      <c r="AL29" s="5">
        <v>0</v>
      </c>
      <c r="AM29" s="21">
        <f t="shared" si="9"/>
        <v>1931388</v>
      </c>
      <c r="AN29" s="19">
        <f t="shared" si="10"/>
        <v>175799</v>
      </c>
      <c r="AO29" s="19">
        <f t="shared" si="11"/>
        <v>144360</v>
      </c>
      <c r="AP29" s="19">
        <f t="shared" si="12"/>
        <v>7720190</v>
      </c>
      <c r="AQ29" s="19">
        <f t="shared" si="13"/>
        <v>1463383.9</v>
      </c>
      <c r="AR29" s="19"/>
      <c r="AS29" s="19">
        <f t="shared" si="14"/>
        <v>11435120.9</v>
      </c>
      <c r="AT29" s="21">
        <f t="shared" si="15"/>
        <v>16803566.936479677</v>
      </c>
      <c r="AU29" s="5">
        <v>54.497691147680875</v>
      </c>
      <c r="AX29" s="5" t="str">
        <f t="shared" si="25"/>
        <v>Gladsaxe Spildevand A/S</v>
      </c>
      <c r="AY29" s="5">
        <f t="shared" si="26"/>
        <v>0</v>
      </c>
      <c r="AZ29" s="5">
        <f t="shared" si="27"/>
        <v>16.889965719557892</v>
      </c>
      <c r="BA29" s="5">
        <f t="shared" si="28"/>
        <v>1.5373602215259483</v>
      </c>
      <c r="BB29" s="5">
        <f t="shared" si="29"/>
        <v>1.2624265301821165</v>
      </c>
      <c r="BC29" s="5">
        <f t="shared" si="30"/>
        <v>67.51297225025404</v>
      </c>
      <c r="BD29" s="5">
        <f t="shared" si="31"/>
        <v>12.797275278480003</v>
      </c>
      <c r="BF29" s="5">
        <f t="shared" si="40"/>
        <v>81.84760775025998</v>
      </c>
      <c r="BH29" s="5">
        <f t="shared" si="32"/>
        <v>48.641283345293196</v>
      </c>
      <c r="BI29" s="5">
        <f t="shared" si="33"/>
        <v>-0.37947801798144454</v>
      </c>
      <c r="BJ29" s="5">
        <f t="shared" si="34"/>
        <v>0.5739984637050348</v>
      </c>
      <c r="BK29" s="5">
        <f t="shared" si="35"/>
        <v>-0.4312791750915178</v>
      </c>
      <c r="BL29" s="5">
        <f t="shared" si="36"/>
        <v>-42.777650681549595</v>
      </c>
      <c r="BM29" s="5">
        <f t="shared" si="37"/>
        <v>-5.6268739343756815</v>
      </c>
      <c r="BO29" s="5">
        <f t="shared" si="38"/>
        <v>-49.94188483745122</v>
      </c>
      <c r="BP29" s="5">
        <f t="shared" si="39"/>
        <v>-6.295158712747669</v>
      </c>
    </row>
    <row r="30" spans="1:68" ht="15">
      <c r="A30" s="2" t="s">
        <v>26</v>
      </c>
      <c r="B30" s="5">
        <v>9227411</v>
      </c>
      <c r="C30" s="5">
        <f t="shared" si="17"/>
        <v>9273548.055</v>
      </c>
      <c r="D30" s="5">
        <v>6504271.0323108</v>
      </c>
      <c r="E30" s="5">
        <v>2834555.462037117</v>
      </c>
      <c r="F30" s="5" t="str">
        <f t="shared" si="18"/>
        <v>ingen</v>
      </c>
      <c r="G30" s="5">
        <f t="shared" si="19"/>
        <v>6504271.0323108</v>
      </c>
      <c r="H30" s="5">
        <f t="shared" si="20"/>
        <v>5972280.04</v>
      </c>
      <c r="I30" s="5">
        <f t="shared" si="21"/>
        <v>7879826.371792827</v>
      </c>
      <c r="J30" s="5">
        <f t="shared" si="22"/>
        <v>7923561.34969324</v>
      </c>
      <c r="K30" s="5">
        <f t="shared" si="23"/>
        <v>9831107.681486066</v>
      </c>
      <c r="L30" s="5">
        <f>'Potentialer og krav'!R17</f>
        <v>167877.69007604537</v>
      </c>
      <c r="M30" s="5">
        <f t="shared" si="0"/>
        <v>46137.055</v>
      </c>
      <c r="N30" s="5">
        <f t="shared" si="1"/>
        <v>213291.605265</v>
      </c>
      <c r="O30" s="5">
        <f t="shared" si="2"/>
        <v>3669715.5702736825</v>
      </c>
      <c r="P30" s="5">
        <f t="shared" si="3"/>
        <v>149598.2337431484</v>
      </c>
      <c r="Q30" s="5">
        <f t="shared" si="4"/>
        <v>6653869.266053948</v>
      </c>
      <c r="R30" s="5">
        <f t="shared" si="5"/>
        <v>9486839.660264999</v>
      </c>
      <c r="S30" s="5">
        <f t="shared" si="6"/>
        <v>149598.2337431484</v>
      </c>
      <c r="T30" s="5">
        <f t="shared" si="7"/>
        <v>6653869.266053948</v>
      </c>
      <c r="U30" s="20">
        <f t="shared" si="24"/>
        <v>2832970.394211051</v>
      </c>
      <c r="V30" s="20" t="str">
        <f t="shared" si="8"/>
        <v>ingen</v>
      </c>
      <c r="X30" s="19" t="s">
        <v>26</v>
      </c>
      <c r="Y30" s="19">
        <v>0</v>
      </c>
      <c r="Z30" s="19">
        <v>7</v>
      </c>
      <c r="AA30" s="19"/>
      <c r="AB30" s="19"/>
      <c r="AC30" s="19"/>
      <c r="AD30" s="19"/>
      <c r="AE30" s="19">
        <v>19</v>
      </c>
      <c r="AF30" s="19">
        <v>1484</v>
      </c>
      <c r="AG30" s="19">
        <v>4</v>
      </c>
      <c r="AH30" s="19">
        <v>159</v>
      </c>
      <c r="AI30" s="19">
        <v>38</v>
      </c>
      <c r="AJ30" s="19"/>
      <c r="AK30" s="20">
        <v>3730</v>
      </c>
      <c r="AL30" s="5">
        <v>0</v>
      </c>
      <c r="AM30" s="21">
        <f t="shared" si="9"/>
        <v>122024</v>
      </c>
      <c r="AN30" s="19">
        <f t="shared" si="10"/>
        <v>256937</v>
      </c>
      <c r="AO30" s="19">
        <f t="shared" si="11"/>
        <v>35705.04</v>
      </c>
      <c r="AP30" s="19">
        <f t="shared" si="12"/>
        <v>4447380</v>
      </c>
      <c r="AQ30" s="19">
        <f t="shared" si="13"/>
        <v>463639</v>
      </c>
      <c r="AR30" s="19"/>
      <c r="AS30" s="19">
        <f t="shared" si="14"/>
        <v>5972280.04</v>
      </c>
      <c r="AT30" s="21">
        <f t="shared" si="15"/>
        <v>7879826.371792827</v>
      </c>
      <c r="AU30" s="5">
        <v>42.95384727462448</v>
      </c>
      <c r="AV30" s="5">
        <f>152152+385334+109109</f>
        <v>646595</v>
      </c>
      <c r="AX30" s="5" t="str">
        <f t="shared" si="25"/>
        <v>Glostrup Spildevand a/s</v>
      </c>
      <c r="AY30" s="5">
        <f t="shared" si="26"/>
        <v>0</v>
      </c>
      <c r="AZ30" s="5">
        <f t="shared" si="27"/>
        <v>2.291235758095075</v>
      </c>
      <c r="BA30" s="5">
        <f t="shared" si="28"/>
        <v>4.824487330178279</v>
      </c>
      <c r="BB30" s="5">
        <f t="shared" si="29"/>
        <v>0.6704309348342538</v>
      </c>
      <c r="BC30" s="5">
        <f t="shared" si="30"/>
        <v>83.50813025172815</v>
      </c>
      <c r="BD30" s="5">
        <f t="shared" si="31"/>
        <v>8.70571572516425</v>
      </c>
      <c r="BF30" s="5">
        <f t="shared" si="40"/>
        <v>97.03833330707067</v>
      </c>
      <c r="BH30" s="5">
        <f t="shared" si="32"/>
        <v>48.641283345293196</v>
      </c>
      <c r="BI30" s="5">
        <f t="shared" si="33"/>
        <v>14.219251943481373</v>
      </c>
      <c r="BJ30" s="5">
        <f t="shared" si="34"/>
        <v>-2.7131286449472958</v>
      </c>
      <c r="BK30" s="5">
        <f t="shared" si="35"/>
        <v>0.16071642025634492</v>
      </c>
      <c r="BL30" s="5">
        <f t="shared" si="36"/>
        <v>-58.772808683023705</v>
      </c>
      <c r="BM30" s="5">
        <f t="shared" si="37"/>
        <v>-1.535314381059929</v>
      </c>
      <c r="BO30" s="5">
        <f t="shared" si="38"/>
        <v>-65.13261039426192</v>
      </c>
      <c r="BP30" s="5">
        <f t="shared" si="39"/>
        <v>-9.766999038756753</v>
      </c>
    </row>
    <row r="31" spans="1:68" ht="15">
      <c r="A31" s="2" t="s">
        <v>27</v>
      </c>
      <c r="B31" s="5">
        <v>43231028</v>
      </c>
      <c r="C31" s="5">
        <f t="shared" si="17"/>
        <v>43447183.13999999</v>
      </c>
      <c r="D31" s="5">
        <v>17710235.9070028</v>
      </c>
      <c r="E31" s="5">
        <v>1065932.1641780254</v>
      </c>
      <c r="F31" s="5" t="str">
        <f t="shared" si="18"/>
        <v>ingen</v>
      </c>
      <c r="G31" s="5">
        <f t="shared" si="19"/>
        <v>17710235.9070028</v>
      </c>
      <c r="H31" s="5">
        <f t="shared" si="20"/>
        <v>25006326.353854142</v>
      </c>
      <c r="I31" s="5">
        <f t="shared" si="21"/>
        <v>31599775.195375625</v>
      </c>
      <c r="J31" s="5">
        <f t="shared" si="22"/>
        <v>30319397.125954982</v>
      </c>
      <c r="K31" s="5">
        <f t="shared" si="23"/>
        <v>36912845.967476465</v>
      </c>
      <c r="L31" s="5">
        <f>'Potentialer og krav'!R18</f>
        <v>0</v>
      </c>
      <c r="M31" s="5">
        <f t="shared" si="0"/>
        <v>216155.14</v>
      </c>
      <c r="N31" s="5">
        <f t="shared" si="1"/>
        <v>999285.2122199999</v>
      </c>
      <c r="O31" s="5">
        <f t="shared" si="2"/>
        <v>16644303.742824774</v>
      </c>
      <c r="P31" s="5">
        <f t="shared" si="3"/>
        <v>407335.4258610644</v>
      </c>
      <c r="Q31" s="5">
        <f t="shared" si="4"/>
        <v>18117571.332863864</v>
      </c>
      <c r="R31" s="5">
        <f t="shared" si="5"/>
        <v>44446468.35221999</v>
      </c>
      <c r="S31" s="5">
        <f t="shared" si="6"/>
        <v>407335.4258610644</v>
      </c>
      <c r="T31" s="5">
        <f t="shared" si="7"/>
        <v>18117571.332863864</v>
      </c>
      <c r="U31" s="20">
        <f t="shared" si="24"/>
        <v>26328897.019356128</v>
      </c>
      <c r="V31" s="20" t="str">
        <f t="shared" si="8"/>
        <v>ingen</v>
      </c>
      <c r="X31" s="19" t="s">
        <v>27</v>
      </c>
      <c r="Y31" s="19">
        <v>14</v>
      </c>
      <c r="Z31" s="19">
        <v>51</v>
      </c>
      <c r="AA31" s="19">
        <v>7</v>
      </c>
      <c r="AB31" s="19">
        <v>0</v>
      </c>
      <c r="AC31" s="19">
        <v>0</v>
      </c>
      <c r="AD31" s="19">
        <v>1</v>
      </c>
      <c r="AE31" s="19">
        <v>50</v>
      </c>
      <c r="AF31" s="19">
        <v>9600</v>
      </c>
      <c r="AG31" s="19">
        <v>28</v>
      </c>
      <c r="AH31" s="19">
        <v>743</v>
      </c>
      <c r="AI31" s="19">
        <v>42</v>
      </c>
      <c r="AJ31" s="19">
        <v>0</v>
      </c>
      <c r="AK31" s="20">
        <v>13377</v>
      </c>
      <c r="AL31" s="5">
        <v>12032453.253854139</v>
      </c>
      <c r="AM31" s="21">
        <f t="shared" si="9"/>
        <v>2250646</v>
      </c>
      <c r="AN31" s="19">
        <f t="shared" si="10"/>
        <v>676150</v>
      </c>
      <c r="AO31" s="19">
        <f t="shared" si="11"/>
        <v>230976</v>
      </c>
      <c r="AP31" s="19">
        <f t="shared" si="12"/>
        <v>8153340</v>
      </c>
      <c r="AQ31" s="19">
        <f t="shared" si="13"/>
        <v>1662761.0999999999</v>
      </c>
      <c r="AR31" s="19"/>
      <c r="AS31" s="19">
        <f t="shared" si="14"/>
        <v>25006326.353854142</v>
      </c>
      <c r="AT31" s="21">
        <f t="shared" si="15"/>
        <v>31599775.195375625</v>
      </c>
      <c r="AU31" s="5">
        <v>38.66701773543323</v>
      </c>
      <c r="AX31" s="5" t="str">
        <f t="shared" si="25"/>
        <v>Greve Spildevand A/S</v>
      </c>
      <c r="AY31" s="5">
        <f t="shared" si="26"/>
        <v>48.11763664757425</v>
      </c>
      <c r="AZ31" s="5">
        <f t="shared" si="27"/>
        <v>9.000306435067843</v>
      </c>
      <c r="BA31" s="5">
        <f t="shared" si="28"/>
        <v>2.7039157628836885</v>
      </c>
      <c r="BB31" s="5">
        <f t="shared" si="29"/>
        <v>0.9236702614032725</v>
      </c>
      <c r="BC31" s="5">
        <f t="shared" si="30"/>
        <v>32.60510914168467</v>
      </c>
      <c r="BD31" s="5">
        <f t="shared" si="31"/>
        <v>6.649361751386261</v>
      </c>
      <c r="BF31" s="5">
        <f t="shared" si="40"/>
        <v>41.95838665595462</v>
      </c>
      <c r="BH31" s="5">
        <f t="shared" si="32"/>
        <v>0.5236466977189451</v>
      </c>
      <c r="BI31" s="5">
        <f t="shared" si="33"/>
        <v>7.510181266508605</v>
      </c>
      <c r="BJ31" s="5">
        <f t="shared" si="34"/>
        <v>-0.5925570776527054</v>
      </c>
      <c r="BK31" s="5">
        <f t="shared" si="35"/>
        <v>-0.09252290631267379</v>
      </c>
      <c r="BL31" s="5">
        <f t="shared" si="36"/>
        <v>-7.869787572980229</v>
      </c>
      <c r="BM31" s="5">
        <f t="shared" si="37"/>
        <v>0.5210395927180604</v>
      </c>
      <c r="BO31" s="5">
        <f t="shared" si="38"/>
        <v>-10.052663743145857</v>
      </c>
      <c r="BP31" s="5">
        <f t="shared" si="39"/>
        <v>0</v>
      </c>
    </row>
    <row r="32" spans="1:68" ht="15">
      <c r="A32" s="2" t="s">
        <v>28</v>
      </c>
      <c r="B32" s="5">
        <f>30792854+2060986+450000</f>
        <v>33303840</v>
      </c>
      <c r="C32" s="5">
        <f t="shared" si="17"/>
        <v>33470359.199999996</v>
      </c>
      <c r="D32" s="5">
        <v>36551904.935917</v>
      </c>
      <c r="E32" s="5">
        <v>13984758.828481844</v>
      </c>
      <c r="F32" s="5">
        <f t="shared" si="18"/>
        <v>3081545.735917002</v>
      </c>
      <c r="G32" s="5">
        <f t="shared" si="19"/>
        <v>33470359.199999996</v>
      </c>
      <c r="H32" s="5">
        <f t="shared" si="20"/>
        <v>35818840.50547621</v>
      </c>
      <c r="I32" s="5">
        <f t="shared" si="21"/>
        <v>43236343.10072433</v>
      </c>
      <c r="J32" s="5">
        <f t="shared" si="22"/>
        <v>45859948.265476204</v>
      </c>
      <c r="K32" s="5">
        <f t="shared" si="23"/>
        <v>53277450.86072433</v>
      </c>
      <c r="L32" s="5" t="e">
        <f>'Potentialer og krav'!#REF!</f>
        <v>#REF!</v>
      </c>
      <c r="M32" s="5">
        <f>0.005*B32</f>
        <v>166519.2</v>
      </c>
      <c r="N32" s="5">
        <f>0.023*C32</f>
        <v>769818.2615999999</v>
      </c>
      <c r="O32" s="5">
        <f t="shared" si="2"/>
        <v>22567146.107435152</v>
      </c>
      <c r="P32" s="5">
        <f t="shared" si="3"/>
        <v>769818.2615999999</v>
      </c>
      <c r="Q32" s="5">
        <f t="shared" si="4"/>
        <v>34240177.46159999</v>
      </c>
      <c r="R32" s="5">
        <f>1.023*C32</f>
        <v>34240177.46159999</v>
      </c>
      <c r="S32" s="5">
        <f t="shared" si="6"/>
        <v>840693.8135260909</v>
      </c>
      <c r="T32" s="5">
        <f t="shared" si="7"/>
        <v>37392598.749443084</v>
      </c>
      <c r="U32" s="20">
        <f t="shared" si="24"/>
        <v>-3152421.2878430933</v>
      </c>
      <c r="V32" s="20" t="str">
        <f t="shared" si="8"/>
        <v>tal til venstre</v>
      </c>
      <c r="X32" s="19" t="s">
        <v>28</v>
      </c>
      <c r="Y32" s="19">
        <v>466</v>
      </c>
      <c r="Z32" s="19">
        <v>218</v>
      </c>
      <c r="AA32" s="19"/>
      <c r="AB32" s="19"/>
      <c r="AC32" s="19"/>
      <c r="AD32" s="19"/>
      <c r="AE32" s="19">
        <v>27</v>
      </c>
      <c r="AF32" s="19">
        <v>19873</v>
      </c>
      <c r="AG32" s="19">
        <f>389+22</f>
        <v>411</v>
      </c>
      <c r="AH32" s="19">
        <v>319</v>
      </c>
      <c r="AI32" s="19">
        <v>16</v>
      </c>
      <c r="AJ32" s="19">
        <v>0</v>
      </c>
      <c r="AK32" s="20">
        <v>16726</v>
      </c>
      <c r="AL32" s="20">
        <v>19007384.32547621</v>
      </c>
      <c r="AM32" s="21">
        <f t="shared" si="9"/>
        <v>7520254</v>
      </c>
      <c r="AN32" s="19">
        <f t="shared" si="10"/>
        <v>365121</v>
      </c>
      <c r="AO32" s="19">
        <f t="shared" si="11"/>
        <v>478144.37999999995</v>
      </c>
      <c r="AP32" s="19">
        <f t="shared" si="12"/>
        <v>5496880</v>
      </c>
      <c r="AQ32" s="19">
        <f t="shared" si="13"/>
        <v>2079041.8</v>
      </c>
      <c r="AR32" s="19"/>
      <c r="AS32" s="19">
        <f t="shared" si="14"/>
        <v>35818840.50547621</v>
      </c>
      <c r="AT32" s="21">
        <f t="shared" si="15"/>
        <v>43236343.10072433</v>
      </c>
      <c r="AU32" s="5">
        <v>34.31414059144503</v>
      </c>
      <c r="AV32" s="5">
        <v>872015</v>
      </c>
      <c r="AX32" s="5" t="str">
        <f t="shared" si="25"/>
        <v>Gribvand Spildevand A/S</v>
      </c>
      <c r="AY32" s="5">
        <f t="shared" si="26"/>
        <v>54.389444679310664</v>
      </c>
      <c r="AZ32" s="5">
        <f t="shared" si="27"/>
        <v>21.519133401177076</v>
      </c>
      <c r="BA32" s="5">
        <f t="shared" si="28"/>
        <v>1.0447901768439172</v>
      </c>
      <c r="BB32" s="5">
        <f t="shared" si="29"/>
        <v>1.3682054752729234</v>
      </c>
      <c r="BC32" s="5">
        <f t="shared" si="30"/>
        <v>15.729268454265274</v>
      </c>
      <c r="BD32" s="5">
        <f t="shared" si="31"/>
        <v>5.949157813130157</v>
      </c>
      <c r="BF32" s="5">
        <f t="shared" si="40"/>
        <v>22.72321644423935</v>
      </c>
      <c r="BH32" s="5">
        <f t="shared" si="32"/>
        <v>-5.7481613340174675</v>
      </c>
      <c r="BI32" s="5">
        <f t="shared" si="33"/>
        <v>-5.008645699600628</v>
      </c>
      <c r="BJ32" s="5">
        <f t="shared" si="34"/>
        <v>1.066568508387066</v>
      </c>
      <c r="BK32" s="5">
        <f t="shared" si="35"/>
        <v>-0.5370581201823247</v>
      </c>
      <c r="BL32" s="5">
        <f t="shared" si="36"/>
        <v>9.006053114439169</v>
      </c>
      <c r="BM32" s="5">
        <f t="shared" si="37"/>
        <v>1.2212435309741645</v>
      </c>
      <c r="BO32" s="5">
        <f t="shared" si="38"/>
        <v>9.182506468569414</v>
      </c>
      <c r="BP32" s="5">
        <f t="shared" si="39"/>
        <v>0</v>
      </c>
    </row>
    <row r="33" spans="1:68" ht="15">
      <c r="A33" s="2" t="s">
        <v>29</v>
      </c>
      <c r="B33" s="5">
        <f>36472926+1362977</f>
        <v>37835903</v>
      </c>
      <c r="C33" s="5">
        <f t="shared" si="17"/>
        <v>38025082.51499999</v>
      </c>
      <c r="D33" s="5">
        <v>42188796.945306204</v>
      </c>
      <c r="E33" s="5">
        <v>6482010</v>
      </c>
      <c r="F33" s="5">
        <f t="shared" si="18"/>
        <v>4163714.430306211</v>
      </c>
      <c r="G33" s="5">
        <f>IF(F33="ingen",D33,IF(E33&lt;F33,D33-E33,C33))</f>
        <v>38025082.51499999</v>
      </c>
      <c r="H33" s="5">
        <f t="shared" si="20"/>
        <v>53690789.14100843</v>
      </c>
      <c r="I33" s="5">
        <f t="shared" si="21"/>
        <v>67776222.89043169</v>
      </c>
      <c r="J33" s="5">
        <f t="shared" si="22"/>
        <v>65098313.89550842</v>
      </c>
      <c r="K33" s="5">
        <f t="shared" si="23"/>
        <v>79183747.64493169</v>
      </c>
      <c r="L33" s="5" t="e">
        <f>'Potentialer og krav'!#REF!</f>
        <v>#REF!</v>
      </c>
      <c r="M33" s="5">
        <f t="shared" si="0"/>
        <v>189179.515</v>
      </c>
      <c r="N33" s="5">
        <f t="shared" si="1"/>
        <v>874576.8978449998</v>
      </c>
      <c r="O33" s="5">
        <f t="shared" si="2"/>
        <v>35706786.945306204</v>
      </c>
      <c r="P33" s="5">
        <f t="shared" si="3"/>
        <v>874576.8978449998</v>
      </c>
      <c r="Q33" s="5">
        <f>1.023*G33</f>
        <v>38899659.41284499</v>
      </c>
      <c r="R33" s="5">
        <f t="shared" si="5"/>
        <v>38899659.41284499</v>
      </c>
      <c r="S33" s="5">
        <f t="shared" si="6"/>
        <v>970342.3297420427</v>
      </c>
      <c r="T33" s="5">
        <f>1.023*D33</f>
        <v>43159139.27504824</v>
      </c>
      <c r="U33" s="20">
        <f>R33-T33</f>
        <v>-4259479.862203248</v>
      </c>
      <c r="V33" s="20" t="str">
        <f t="shared" si="8"/>
        <v>tal til venstre</v>
      </c>
      <c r="X33" s="19" t="s">
        <v>29</v>
      </c>
      <c r="Y33" s="19">
        <v>300</v>
      </c>
      <c r="Z33" s="19">
        <v>560</v>
      </c>
      <c r="AA33" s="19">
        <v>20</v>
      </c>
      <c r="AB33" s="19"/>
      <c r="AC33" s="19"/>
      <c r="AD33" s="19">
        <v>2</v>
      </c>
      <c r="AE33" s="19">
        <v>48</v>
      </c>
      <c r="AF33" s="19">
        <v>1118</v>
      </c>
      <c r="AG33" s="19">
        <v>795</v>
      </c>
      <c r="AH33" s="19">
        <v>559</v>
      </c>
      <c r="AI33" s="19">
        <v>28</v>
      </c>
      <c r="AJ33" s="19"/>
      <c r="AK33" s="20">
        <v>27058</v>
      </c>
      <c r="AL33" s="5">
        <v>24550010.661008436</v>
      </c>
      <c r="AM33" s="21">
        <f t="shared" si="9"/>
        <v>15062706</v>
      </c>
      <c r="AN33" s="19">
        <f t="shared" si="10"/>
        <v>649104</v>
      </c>
      <c r="AO33" s="19">
        <f t="shared" si="11"/>
        <v>26899.079999999998</v>
      </c>
      <c r="AP33" s="19">
        <f t="shared" si="12"/>
        <v>10038760</v>
      </c>
      <c r="AQ33" s="19">
        <f t="shared" si="13"/>
        <v>3363309.4</v>
      </c>
      <c r="AR33" s="19"/>
      <c r="AS33" s="19">
        <f t="shared" si="14"/>
        <v>53690789.14100843</v>
      </c>
      <c r="AT33" s="21">
        <f t="shared" si="15"/>
        <v>67776222.89043169</v>
      </c>
      <c r="AU33" s="5">
        <v>38.56489064479456</v>
      </c>
      <c r="AX33" s="5" t="str">
        <f t="shared" si="25"/>
        <v>Guldborgsund Spildevand A/S</v>
      </c>
      <c r="AY33" s="5">
        <f t="shared" si="26"/>
        <v>45.724808768469764</v>
      </c>
      <c r="AZ33" s="5">
        <f t="shared" si="27"/>
        <v>28.054543881708888</v>
      </c>
      <c r="BA33" s="5">
        <f t="shared" si="28"/>
        <v>1.2089671438712783</v>
      </c>
      <c r="BB33" s="5">
        <f t="shared" si="29"/>
        <v>0.05009999001757041</v>
      </c>
      <c r="BC33" s="5">
        <f t="shared" si="30"/>
        <v>18.697359753150856</v>
      </c>
      <c r="BD33" s="5">
        <f t="shared" si="31"/>
        <v>6.264220462781653</v>
      </c>
      <c r="BF33" s="5">
        <f t="shared" si="40"/>
        <v>26.170547359803784</v>
      </c>
      <c r="BH33" s="5">
        <f t="shared" si="32"/>
        <v>2.9164745768234326</v>
      </c>
      <c r="BI33" s="5">
        <f t="shared" si="33"/>
        <v>-11.54405618013244</v>
      </c>
      <c r="BJ33" s="5">
        <f t="shared" si="34"/>
        <v>0.9023915413597048</v>
      </c>
      <c r="BK33" s="5">
        <f t="shared" si="35"/>
        <v>0.7810473650730283</v>
      </c>
      <c r="BL33" s="5">
        <f t="shared" si="36"/>
        <v>6.037961815553587</v>
      </c>
      <c r="BM33" s="5">
        <f t="shared" si="37"/>
        <v>0.9061808813226682</v>
      </c>
      <c r="BO33" s="5">
        <f t="shared" si="38"/>
        <v>5.735175553004979</v>
      </c>
      <c r="BP33" s="5">
        <f t="shared" si="39"/>
        <v>0</v>
      </c>
    </row>
    <row r="34" spans="1:68" ht="15">
      <c r="A34" s="2" t="s">
        <v>30</v>
      </c>
      <c r="B34" s="5">
        <v>39574727</v>
      </c>
      <c r="C34" s="5">
        <f t="shared" si="17"/>
        <v>39772600.635</v>
      </c>
      <c r="D34" s="5">
        <v>36220625.8808114</v>
      </c>
      <c r="E34" s="5">
        <v>5638059.318883941</v>
      </c>
      <c r="F34" s="5" t="str">
        <f t="shared" si="18"/>
        <v>ingen</v>
      </c>
      <c r="G34" s="5">
        <f t="shared" si="19"/>
        <v>36220625.8808114</v>
      </c>
      <c r="H34" s="5">
        <f t="shared" si="20"/>
        <v>47282526.81711181</v>
      </c>
      <c r="I34" s="5">
        <f t="shared" si="21"/>
        <v>55854799.88022222</v>
      </c>
      <c r="J34" s="5">
        <f t="shared" si="22"/>
        <v>58148714.58135523</v>
      </c>
      <c r="K34" s="5">
        <f t="shared" si="23"/>
        <v>66720987.64446564</v>
      </c>
      <c r="L34" s="5">
        <f>'Potentialer og krav'!R19</f>
        <v>0</v>
      </c>
      <c r="M34" s="5">
        <f t="shared" si="0"/>
        <v>197873.635</v>
      </c>
      <c r="N34" s="5">
        <f t="shared" si="1"/>
        <v>914769.814605</v>
      </c>
      <c r="O34" s="5">
        <f t="shared" si="2"/>
        <v>30582566.56192746</v>
      </c>
      <c r="P34" s="5">
        <f t="shared" si="3"/>
        <v>833074.3952586622</v>
      </c>
      <c r="Q34" s="5">
        <f t="shared" si="4"/>
        <v>37053700.27607006</v>
      </c>
      <c r="R34" s="5">
        <f t="shared" si="5"/>
        <v>40687370.449604996</v>
      </c>
      <c r="S34" s="5">
        <f t="shared" si="6"/>
        <v>833074.3952586622</v>
      </c>
      <c r="T34" s="5">
        <f t="shared" si="7"/>
        <v>37053700.27607006</v>
      </c>
      <c r="U34" s="20">
        <f t="shared" si="24"/>
        <v>3633670.173534937</v>
      </c>
      <c r="V34" s="20" t="str">
        <f t="shared" si="8"/>
        <v>ingen</v>
      </c>
      <c r="X34" s="19" t="s">
        <v>30</v>
      </c>
      <c r="Y34" s="19">
        <v>105</v>
      </c>
      <c r="Z34" s="19">
        <v>321</v>
      </c>
      <c r="AA34" s="19">
        <v>3</v>
      </c>
      <c r="AB34" s="19">
        <v>0</v>
      </c>
      <c r="AC34" s="19">
        <v>0</v>
      </c>
      <c r="AD34" s="19">
        <v>0</v>
      </c>
      <c r="AE34" s="19">
        <v>59</v>
      </c>
      <c r="AF34" s="19">
        <v>9273</v>
      </c>
      <c r="AG34" s="19">
        <v>480</v>
      </c>
      <c r="AH34" s="19">
        <v>613</v>
      </c>
      <c r="AI34" s="19">
        <v>0</v>
      </c>
      <c r="AJ34" s="19">
        <v>0</v>
      </c>
      <c r="AK34" s="20">
        <v>20320</v>
      </c>
      <c r="AL34" s="5">
        <v>31109167.43711181</v>
      </c>
      <c r="AM34" s="21">
        <f t="shared" si="9"/>
        <v>6636978</v>
      </c>
      <c r="AN34" s="19">
        <f t="shared" si="10"/>
        <v>797857</v>
      </c>
      <c r="AO34" s="19">
        <f t="shared" si="11"/>
        <v>223108.37999999998</v>
      </c>
      <c r="AP34" s="19">
        <f t="shared" si="12"/>
        <v>5989640</v>
      </c>
      <c r="AQ34" s="19">
        <f t="shared" si="13"/>
        <v>2525776</v>
      </c>
      <c r="AR34" s="19"/>
      <c r="AS34" s="19">
        <f t="shared" si="14"/>
        <v>47282526.81711181</v>
      </c>
      <c r="AT34" s="21">
        <f t="shared" si="15"/>
        <v>55854799.88022222</v>
      </c>
      <c r="AU34" s="5">
        <v>32.33068943412281</v>
      </c>
      <c r="AX34" s="5" t="str">
        <f t="shared" si="25"/>
        <v>Haderslev Spildevand A/S</v>
      </c>
      <c r="AY34" s="5">
        <f t="shared" si="26"/>
        <v>65.79421518109989</v>
      </c>
      <c r="AZ34" s="5">
        <f t="shared" si="27"/>
        <v>14.036851341874648</v>
      </c>
      <c r="BA34" s="5">
        <f t="shared" si="28"/>
        <v>1.6874246232357681</v>
      </c>
      <c r="BB34" s="5">
        <f t="shared" si="29"/>
        <v>0.47186221849559823</v>
      </c>
      <c r="BC34" s="5">
        <f t="shared" si="30"/>
        <v>12.667766304385228</v>
      </c>
      <c r="BD34" s="5">
        <f t="shared" si="31"/>
        <v>5.341880330908854</v>
      </c>
      <c r="BF34" s="5">
        <f t="shared" si="40"/>
        <v>19.697071258529853</v>
      </c>
      <c r="BH34" s="5">
        <f t="shared" si="32"/>
        <v>-17.15293183580669</v>
      </c>
      <c r="BI34" s="5">
        <f t="shared" si="33"/>
        <v>2.4736363597018</v>
      </c>
      <c r="BJ34" s="5">
        <f t="shared" si="34"/>
        <v>0.423934061995215</v>
      </c>
      <c r="BK34" s="5">
        <f t="shared" si="35"/>
        <v>0.35928513659500044</v>
      </c>
      <c r="BL34" s="5">
        <f t="shared" si="36"/>
        <v>12.067555264319214</v>
      </c>
      <c r="BM34" s="5">
        <f t="shared" si="37"/>
        <v>1.8285210131954672</v>
      </c>
      <c r="BO34" s="5">
        <f t="shared" si="38"/>
        <v>12.20865165427891</v>
      </c>
      <c r="BP34" s="5">
        <f t="shared" si="39"/>
        <v>0</v>
      </c>
    </row>
    <row r="35" spans="1:68" ht="15">
      <c r="A35" s="2" t="s">
        <v>31</v>
      </c>
      <c r="B35" s="5">
        <v>32182395</v>
      </c>
      <c r="C35" s="5">
        <f t="shared" si="17"/>
        <v>32343306.974999998</v>
      </c>
      <c r="D35" s="5">
        <v>34299086.18887801</v>
      </c>
      <c r="E35" s="5">
        <v>20215881.3997247</v>
      </c>
      <c r="F35" s="5">
        <f t="shared" si="18"/>
        <v>1955779.2138780095</v>
      </c>
      <c r="G35" s="5">
        <f t="shared" si="19"/>
        <v>32343306.974999998</v>
      </c>
      <c r="H35" s="5">
        <f t="shared" si="20"/>
        <v>24811023.566258304</v>
      </c>
      <c r="I35" s="5">
        <f t="shared" si="21"/>
        <v>30052143.70139474</v>
      </c>
      <c r="J35" s="5">
        <f t="shared" si="22"/>
        <v>34514015.658758305</v>
      </c>
      <c r="K35" s="5">
        <f t="shared" si="23"/>
        <v>39755135.79389474</v>
      </c>
      <c r="L35" s="5" t="e">
        <f>'Potentialer og krav'!#REF!</f>
        <v>#REF!</v>
      </c>
      <c r="M35" s="5">
        <f t="shared" si="0"/>
        <v>160911.975</v>
      </c>
      <c r="N35" s="5">
        <f t="shared" si="1"/>
        <v>743896.0604249999</v>
      </c>
      <c r="O35" s="5">
        <f t="shared" si="2"/>
        <v>14083204.789153308</v>
      </c>
      <c r="P35" s="5">
        <f t="shared" si="3"/>
        <v>743896.0604249999</v>
      </c>
      <c r="Q35" s="5">
        <f t="shared" si="4"/>
        <v>33087203.035424996</v>
      </c>
      <c r="R35" s="5">
        <f t="shared" si="5"/>
        <v>33087203.035424996</v>
      </c>
      <c r="S35" s="5">
        <f t="shared" si="6"/>
        <v>788878.9823441942</v>
      </c>
      <c r="T35" s="5">
        <f t="shared" si="7"/>
        <v>35087965.171222195</v>
      </c>
      <c r="U35" s="20">
        <f t="shared" si="24"/>
        <v>-2000762.1357971989</v>
      </c>
      <c r="V35" s="20" t="str">
        <f t="shared" si="8"/>
        <v>tal til venstre</v>
      </c>
      <c r="X35" s="19" t="s">
        <v>31</v>
      </c>
      <c r="Y35" s="19">
        <v>399</v>
      </c>
      <c r="Z35" s="19">
        <v>185</v>
      </c>
      <c r="AA35" s="19">
        <v>3</v>
      </c>
      <c r="AB35" s="19">
        <v>2</v>
      </c>
      <c r="AC35" s="19">
        <v>2</v>
      </c>
      <c r="AD35" s="19"/>
      <c r="AE35" s="19">
        <v>22</v>
      </c>
      <c r="AF35" s="19">
        <v>9240</v>
      </c>
      <c r="AG35" s="19">
        <v>223</v>
      </c>
      <c r="AH35" s="19">
        <v>304.9</v>
      </c>
      <c r="AI35" s="19">
        <v>10.1</v>
      </c>
      <c r="AJ35" s="19"/>
      <c r="AK35" s="20">
        <v>10140</v>
      </c>
      <c r="AL35" s="5">
        <v>10676506.166258305</v>
      </c>
      <c r="AM35" s="21">
        <f t="shared" si="9"/>
        <v>8300568</v>
      </c>
      <c r="AN35" s="19">
        <f t="shared" si="10"/>
        <v>297506</v>
      </c>
      <c r="AO35" s="19">
        <f t="shared" si="11"/>
        <v>222314.4</v>
      </c>
      <c r="AP35" s="19">
        <f t="shared" si="12"/>
        <v>3837545.0000000005</v>
      </c>
      <c r="AQ35" s="19">
        <f t="shared" si="13"/>
        <v>1260402</v>
      </c>
      <c r="AR35" s="19"/>
      <c r="AS35" s="19">
        <f t="shared" si="14"/>
        <v>24811023.566258304</v>
      </c>
      <c r="AT35" s="21">
        <f t="shared" si="15"/>
        <v>30052143.70139474</v>
      </c>
      <c r="AU35" s="5">
        <v>34.63396867072762</v>
      </c>
      <c r="AV35" s="5">
        <v>216182</v>
      </c>
      <c r="AX35" s="5" t="str">
        <f t="shared" si="25"/>
        <v>Halsnaes Forsyning A/S</v>
      </c>
      <c r="AY35" s="5">
        <f t="shared" si="26"/>
        <v>43.40953422080758</v>
      </c>
      <c r="AZ35" s="5">
        <f t="shared" si="27"/>
        <v>33.74922329805759</v>
      </c>
      <c r="BA35" s="5">
        <f t="shared" si="28"/>
        <v>1.2096276334959153</v>
      </c>
      <c r="BB35" s="5">
        <f t="shared" si="29"/>
        <v>0.9039066155441042</v>
      </c>
      <c r="BC35" s="5">
        <f t="shared" si="30"/>
        <v>15.603048263847056</v>
      </c>
      <c r="BD35" s="5">
        <f t="shared" si="31"/>
        <v>5.124659968247761</v>
      </c>
      <c r="BF35" s="5">
        <f t="shared" si="40"/>
        <v>21.937335865590732</v>
      </c>
      <c r="BH35" s="5">
        <f t="shared" si="32"/>
        <v>5.231749124485617</v>
      </c>
      <c r="BI35" s="5">
        <f t="shared" si="33"/>
        <v>-17.238735596481146</v>
      </c>
      <c r="BJ35" s="5">
        <f t="shared" si="34"/>
        <v>0.9017310517350678</v>
      </c>
      <c r="BK35" s="5">
        <f t="shared" si="35"/>
        <v>-0.07275926045350556</v>
      </c>
      <c r="BL35" s="5">
        <f t="shared" si="36"/>
        <v>9.132273304857387</v>
      </c>
      <c r="BM35" s="5">
        <f t="shared" si="37"/>
        <v>2.0457413758565597</v>
      </c>
      <c r="BO35" s="5">
        <f t="shared" si="38"/>
        <v>9.96838704721803</v>
      </c>
      <c r="BP35" s="5">
        <f t="shared" si="39"/>
        <v>0</v>
      </c>
    </row>
    <row r="36" spans="1:68" ht="15">
      <c r="A36" s="2" t="s">
        <v>32</v>
      </c>
      <c r="B36" s="5">
        <v>30123727</v>
      </c>
      <c r="C36" s="5">
        <f t="shared" si="17"/>
        <v>30274345.634999998</v>
      </c>
      <c r="D36" s="5">
        <v>26092628.8843108</v>
      </c>
      <c r="E36" s="5">
        <v>3491817.35855112</v>
      </c>
      <c r="F36" s="5" t="str">
        <f t="shared" si="18"/>
        <v>ingen</v>
      </c>
      <c r="G36" s="5">
        <f t="shared" si="19"/>
        <v>26092628.8843108</v>
      </c>
      <c r="H36" s="5">
        <f t="shared" si="20"/>
        <v>34942244.25787762</v>
      </c>
      <c r="I36" s="5">
        <f t="shared" si="21"/>
        <v>38681474.32438646</v>
      </c>
      <c r="J36" s="5">
        <f t="shared" si="22"/>
        <v>42770032.92317086</v>
      </c>
      <c r="K36" s="5">
        <f t="shared" si="23"/>
        <v>46509262.9896797</v>
      </c>
      <c r="L36" s="5">
        <f>'Potentialer og krav'!R20</f>
        <v>0</v>
      </c>
      <c r="M36" s="5">
        <f aca="true" t="shared" si="41" ref="M36:M67">0.005*B36</f>
        <v>150618.635</v>
      </c>
      <c r="N36" s="5">
        <f aca="true" t="shared" si="42" ref="N36:N67">0.023*C36</f>
        <v>696309.949605</v>
      </c>
      <c r="O36" s="5">
        <f aca="true" t="shared" si="43" ref="O36:O67">D36-E36</f>
        <v>22600811.525759682</v>
      </c>
      <c r="P36" s="5">
        <f aca="true" t="shared" si="44" ref="P36:P67">0.023*G36</f>
        <v>600130.4643391484</v>
      </c>
      <c r="Q36" s="5">
        <f aca="true" t="shared" si="45" ref="Q36:Q67">1.023*G36</f>
        <v>26692759.348649945</v>
      </c>
      <c r="R36" s="5">
        <f aca="true" t="shared" si="46" ref="R36:R67">1.023*C36</f>
        <v>30970655.584604993</v>
      </c>
      <c r="S36" s="5">
        <f aca="true" t="shared" si="47" ref="S36:S67">0.023*D36</f>
        <v>600130.4643391484</v>
      </c>
      <c r="T36" s="5">
        <f aca="true" t="shared" si="48" ref="T36:T67">1.023*D36</f>
        <v>26692759.348649945</v>
      </c>
      <c r="U36" s="20">
        <f t="shared" si="24"/>
        <v>4277896.235955048</v>
      </c>
      <c r="V36" s="20" t="str">
        <f aca="true" t="shared" si="49" ref="V36:V67">IF(F36="ingen","ingen",IF(G36&lt;=O36,Q36-T36,"tal til venstre"))</f>
        <v>ingen</v>
      </c>
      <c r="X36" s="19" t="s">
        <v>32</v>
      </c>
      <c r="Y36" s="19">
        <v>240</v>
      </c>
      <c r="Z36" s="19">
        <v>250</v>
      </c>
      <c r="AA36" s="19">
        <v>46</v>
      </c>
      <c r="AB36" s="19">
        <v>16</v>
      </c>
      <c r="AC36" s="19"/>
      <c r="AD36" s="19"/>
      <c r="AE36" s="19">
        <v>82</v>
      </c>
      <c r="AF36" s="19">
        <v>6186</v>
      </c>
      <c r="AG36" s="19">
        <v>507</v>
      </c>
      <c r="AH36" s="19">
        <v>537</v>
      </c>
      <c r="AI36" s="19">
        <v>1</v>
      </c>
      <c r="AJ36" s="19"/>
      <c r="AK36" s="20">
        <v>16815</v>
      </c>
      <c r="AL36" s="5">
        <v>15308634.597877616</v>
      </c>
      <c r="AM36" s="21">
        <f aca="true" t="shared" si="50" ref="AM36:AM67">7983*Y36+17432*Z36+67697*(AA36+AB36)+775973*(AC36+AD36)</f>
        <v>10471134</v>
      </c>
      <c r="AN36" s="19">
        <f aca="true" t="shared" si="51" ref="AN36:AN67">AE36*13523</f>
        <v>1108886</v>
      </c>
      <c r="AO36" s="19">
        <f aca="true" t="shared" si="52" ref="AO36:AO67">AF36*24.06</f>
        <v>148835.16</v>
      </c>
      <c r="AP36" s="19">
        <f aca="true" t="shared" si="53" ref="AP36:AP67">5.48*(AG36+AH36)*1000+93.53*(AI36+AJ36)*1000</f>
        <v>5814650.000000001</v>
      </c>
      <c r="AQ36" s="19">
        <f aca="true" t="shared" si="54" ref="AQ36:AQ67">124.3*AK36</f>
        <v>2090104.5</v>
      </c>
      <c r="AR36" s="19"/>
      <c r="AS36" s="19">
        <f aca="true" t="shared" si="55" ref="AS36:AS67">SUM(AL36:AR36)+AV36</f>
        <v>34942244.25787762</v>
      </c>
      <c r="AT36" s="21">
        <f aca="true" t="shared" si="56" ref="AT36:AT67">(0.761+0.013*AU36)*AS36</f>
        <v>38681474.32438646</v>
      </c>
      <c r="AU36" s="5">
        <v>26.616287051620446</v>
      </c>
      <c r="AX36" s="5" t="str">
        <f t="shared" si="25"/>
        <v>Hedensted Spildevand</v>
      </c>
      <c r="AY36" s="5">
        <f t="shared" si="26"/>
        <v>43.811251747020606</v>
      </c>
      <c r="AZ36" s="5">
        <f t="shared" si="27"/>
        <v>29.966976141320163</v>
      </c>
      <c r="BA36" s="5">
        <f t="shared" si="28"/>
        <v>3.1734824810229676</v>
      </c>
      <c r="BB36" s="5">
        <f t="shared" si="29"/>
        <v>0.42594619538911155</v>
      </c>
      <c r="BC36" s="5">
        <f t="shared" si="30"/>
        <v>16.640745674740415</v>
      </c>
      <c r="BD36" s="5">
        <f t="shared" si="31"/>
        <v>5.981597760506733</v>
      </c>
      <c r="BF36" s="5">
        <f t="shared" si="40"/>
        <v>25.79582591627012</v>
      </c>
      <c r="BH36" s="5">
        <f t="shared" si="32"/>
        <v>4.8300315982725905</v>
      </c>
      <c r="BI36" s="5">
        <f t="shared" si="33"/>
        <v>-13.456488439743715</v>
      </c>
      <c r="BJ36" s="5">
        <f t="shared" si="34"/>
        <v>-1.0621237957919845</v>
      </c>
      <c r="BK36" s="5">
        <f t="shared" si="35"/>
        <v>0.4052011597014871</v>
      </c>
      <c r="BL36" s="5">
        <f t="shared" si="36"/>
        <v>8.094575893964027</v>
      </c>
      <c r="BM36" s="5">
        <f t="shared" si="37"/>
        <v>1.188803583597588</v>
      </c>
      <c r="BO36" s="5">
        <f t="shared" si="38"/>
        <v>6.1098969965386445</v>
      </c>
      <c r="BP36" s="5">
        <f t="shared" si="39"/>
        <v>0</v>
      </c>
    </row>
    <row r="37" spans="1:68" ht="15">
      <c r="A37" s="4" t="s">
        <v>33</v>
      </c>
      <c r="B37" s="5">
        <v>51160217</v>
      </c>
      <c r="C37" s="5">
        <f t="shared" si="17"/>
        <v>51416018.08499999</v>
      </c>
      <c r="D37" s="5">
        <v>50245913.4501114</v>
      </c>
      <c r="E37" s="5">
        <v>18545766.654436115</v>
      </c>
      <c r="F37" s="5" t="str">
        <f t="shared" si="18"/>
        <v>ingen</v>
      </c>
      <c r="G37" s="5">
        <f t="shared" si="19"/>
        <v>50245913.4501114</v>
      </c>
      <c r="H37" s="5">
        <f t="shared" si="20"/>
        <v>47758699.86832868</v>
      </c>
      <c r="I37" s="5">
        <f t="shared" si="21"/>
        <v>61345245.230160475</v>
      </c>
      <c r="J37" s="5">
        <f t="shared" si="22"/>
        <v>62832473.9033621</v>
      </c>
      <c r="K37" s="5">
        <f t="shared" si="23"/>
        <v>76419019.2651939</v>
      </c>
      <c r="L37" s="5">
        <f>'Potentialer og krav'!R21</f>
        <v>2401391.6361906477</v>
      </c>
      <c r="M37" s="5">
        <f t="shared" si="41"/>
        <v>255801.085</v>
      </c>
      <c r="N37" s="5">
        <f t="shared" si="42"/>
        <v>1182568.4159549999</v>
      </c>
      <c r="O37" s="5">
        <f t="shared" si="43"/>
        <v>31700146.79567528</v>
      </c>
      <c r="P37" s="5">
        <f t="shared" si="44"/>
        <v>1155656.009352562</v>
      </c>
      <c r="Q37" s="5">
        <f t="shared" si="45"/>
        <v>51401569.459463954</v>
      </c>
      <c r="R37" s="5">
        <f t="shared" si="46"/>
        <v>52598586.500954986</v>
      </c>
      <c r="S37" s="5">
        <f t="shared" si="47"/>
        <v>1155656.009352562</v>
      </c>
      <c r="T37" s="5">
        <f t="shared" si="48"/>
        <v>51401569.459463954</v>
      </c>
      <c r="U37" s="20">
        <f t="shared" si="24"/>
        <v>1197017.0414910316</v>
      </c>
      <c r="V37" s="20" t="str">
        <f t="shared" si="49"/>
        <v>ingen</v>
      </c>
      <c r="X37" s="19" t="s">
        <v>33</v>
      </c>
      <c r="Y37" s="19">
        <v>44</v>
      </c>
      <c r="Z37" s="19">
        <v>170</v>
      </c>
      <c r="AA37" s="19">
        <v>11</v>
      </c>
      <c r="AB37" s="19">
        <v>0</v>
      </c>
      <c r="AC37" s="19">
        <v>2</v>
      </c>
      <c r="AD37" s="19">
        <v>2</v>
      </c>
      <c r="AE37" s="19">
        <v>56</v>
      </c>
      <c r="AF37" s="19">
        <v>9391</v>
      </c>
      <c r="AG37" s="19">
        <v>106</v>
      </c>
      <c r="AH37" s="19">
        <v>384</v>
      </c>
      <c r="AI37" s="19">
        <v>156</v>
      </c>
      <c r="AJ37" s="19"/>
      <c r="AK37" s="20">
        <v>17294</v>
      </c>
      <c r="AL37" s="5">
        <v>19516982.20832868</v>
      </c>
      <c r="AM37" s="21">
        <f t="shared" si="50"/>
        <v>7163251</v>
      </c>
      <c r="AN37" s="19">
        <f t="shared" si="51"/>
        <v>757288</v>
      </c>
      <c r="AO37" s="19">
        <f t="shared" si="52"/>
        <v>225947.46</v>
      </c>
      <c r="AP37" s="19">
        <f t="shared" si="53"/>
        <v>17275880</v>
      </c>
      <c r="AQ37" s="19">
        <f t="shared" si="54"/>
        <v>2149644.1999999997</v>
      </c>
      <c r="AR37" s="19"/>
      <c r="AS37" s="19">
        <f t="shared" si="55"/>
        <v>47758699.86832868</v>
      </c>
      <c r="AT37" s="21">
        <f t="shared" si="56"/>
        <v>61345245.230160475</v>
      </c>
      <c r="AU37" s="5">
        <v>40.26793458862358</v>
      </c>
      <c r="AV37" s="5">
        <v>669707</v>
      </c>
      <c r="AX37" s="5" t="str">
        <f t="shared" si="25"/>
        <v>Helsingør Forsyning Spildevand A/S</v>
      </c>
      <c r="AY37" s="5">
        <f t="shared" si="26"/>
        <v>41.44701557517382</v>
      </c>
      <c r="AZ37" s="5">
        <f t="shared" si="27"/>
        <v>15.212155885410517</v>
      </c>
      <c r="BA37" s="5">
        <f t="shared" si="28"/>
        <v>1.6082059816347016</v>
      </c>
      <c r="BB37" s="5">
        <f t="shared" si="29"/>
        <v>0.4798307337593723</v>
      </c>
      <c r="BC37" s="5">
        <f t="shared" si="30"/>
        <v>36.687724556579944</v>
      </c>
      <c r="BD37" s="5">
        <f t="shared" si="31"/>
        <v>4.565067267441638</v>
      </c>
      <c r="BF37" s="5">
        <f t="shared" si="40"/>
        <v>42.86099780565628</v>
      </c>
      <c r="BH37" s="5">
        <f t="shared" si="32"/>
        <v>7.1942677701193745</v>
      </c>
      <c r="BI37" s="5">
        <f t="shared" si="33"/>
        <v>1.2983318161659305</v>
      </c>
      <c r="BJ37" s="5">
        <f t="shared" si="34"/>
        <v>0.5031527035962815</v>
      </c>
      <c r="BK37" s="5">
        <f t="shared" si="35"/>
        <v>0.3513166213312264</v>
      </c>
      <c r="BL37" s="5">
        <f t="shared" si="36"/>
        <v>-11.952402987875502</v>
      </c>
      <c r="BM37" s="5">
        <f t="shared" si="37"/>
        <v>2.6053340766626834</v>
      </c>
      <c r="BO37" s="5">
        <f t="shared" si="38"/>
        <v>-10.95527489284752</v>
      </c>
      <c r="BP37" s="5">
        <f t="shared" si="39"/>
        <v>0</v>
      </c>
    </row>
    <row r="38" spans="1:68" ht="15">
      <c r="A38" s="4" t="s">
        <v>34</v>
      </c>
      <c r="B38" s="5">
        <v>11337179</v>
      </c>
      <c r="C38" s="5">
        <f t="shared" si="17"/>
        <v>11393864.895</v>
      </c>
      <c r="D38" s="5">
        <v>17730142.955062997</v>
      </c>
      <c r="E38" s="5">
        <v>13310419.158190528</v>
      </c>
      <c r="F38" s="5">
        <f t="shared" si="18"/>
        <v>6336278.060062997</v>
      </c>
      <c r="G38" s="5">
        <f t="shared" si="19"/>
        <v>11393864.895</v>
      </c>
      <c r="H38" s="5">
        <f t="shared" si="20"/>
        <v>6021709</v>
      </c>
      <c r="I38" s="5">
        <f t="shared" si="21"/>
        <v>8528236.015849771</v>
      </c>
      <c r="J38" s="5">
        <f t="shared" si="22"/>
        <v>9439868.4685</v>
      </c>
      <c r="K38" s="5">
        <f t="shared" si="23"/>
        <v>11946395.48434977</v>
      </c>
      <c r="L38" s="5" t="e">
        <f>'Potentialer og krav'!#REF!</f>
        <v>#REF!</v>
      </c>
      <c r="M38" s="5">
        <f t="shared" si="41"/>
        <v>56685.895000000004</v>
      </c>
      <c r="N38" s="5">
        <f t="shared" si="42"/>
        <v>262058.892585</v>
      </c>
      <c r="O38" s="5">
        <f t="shared" si="43"/>
        <v>4419723.796872469</v>
      </c>
      <c r="P38" s="5">
        <f t="shared" si="44"/>
        <v>262058.892585</v>
      </c>
      <c r="Q38" s="5">
        <f t="shared" si="45"/>
        <v>11655923.787584998</v>
      </c>
      <c r="R38" s="5">
        <f t="shared" si="46"/>
        <v>11655923.787584998</v>
      </c>
      <c r="S38" s="5">
        <f t="shared" si="47"/>
        <v>407793.28796644893</v>
      </c>
      <c r="T38" s="5">
        <f t="shared" si="48"/>
        <v>18137936.243029445</v>
      </c>
      <c r="U38" s="20">
        <f t="shared" si="24"/>
        <v>-6482012.455444448</v>
      </c>
      <c r="V38" s="20" t="str">
        <f t="shared" si="49"/>
        <v>tal til venstre</v>
      </c>
      <c r="X38" s="19" t="s">
        <v>34</v>
      </c>
      <c r="Y38" s="19"/>
      <c r="Z38" s="19">
        <v>8</v>
      </c>
      <c r="AA38" s="19">
        <v>10</v>
      </c>
      <c r="AB38" s="19"/>
      <c r="AC38" s="19"/>
      <c r="AD38" s="19"/>
      <c r="AE38" s="19">
        <v>12</v>
      </c>
      <c r="AF38" s="19">
        <v>14120</v>
      </c>
      <c r="AG38" s="19">
        <v>2</v>
      </c>
      <c r="AH38" s="19">
        <v>139</v>
      </c>
      <c r="AI38" s="19">
        <v>35</v>
      </c>
      <c r="AJ38" s="19">
        <v>0</v>
      </c>
      <c r="AK38" s="20">
        <v>5286</v>
      </c>
      <c r="AL38" s="5">
        <v>0</v>
      </c>
      <c r="AM38" s="21">
        <f t="shared" si="50"/>
        <v>816426</v>
      </c>
      <c r="AN38" s="19">
        <f t="shared" si="51"/>
        <v>162276</v>
      </c>
      <c r="AO38" s="19">
        <f t="shared" si="52"/>
        <v>339727.19999999995</v>
      </c>
      <c r="AP38" s="19">
        <f t="shared" si="53"/>
        <v>4046230</v>
      </c>
      <c r="AQ38" s="19">
        <f t="shared" si="54"/>
        <v>657049.7999999999</v>
      </c>
      <c r="AR38" s="19"/>
      <c r="AS38" s="19">
        <f t="shared" si="55"/>
        <v>6021709</v>
      </c>
      <c r="AT38" s="21">
        <f>(0.761+0.013*AU38)*AS38</f>
        <v>8528236.015849771</v>
      </c>
      <c r="AU38" s="5">
        <v>50.403726645219706</v>
      </c>
      <c r="AX38" s="5" t="str">
        <f t="shared" si="25"/>
        <v>Herlev Kloak A/S</v>
      </c>
      <c r="AY38" s="5">
        <f t="shared" si="26"/>
        <v>0</v>
      </c>
      <c r="AZ38" s="5">
        <f t="shared" si="27"/>
        <v>13.55804473447654</v>
      </c>
      <c r="BA38" s="5">
        <f t="shared" si="28"/>
        <v>2.6948495850596563</v>
      </c>
      <c r="BB38" s="5">
        <f t="shared" si="29"/>
        <v>5.641707362477994</v>
      </c>
      <c r="BC38" s="5">
        <f t="shared" si="30"/>
        <v>67.19404740415055</v>
      </c>
      <c r="BD38" s="5">
        <f t="shared" si="31"/>
        <v>10.911350913835257</v>
      </c>
      <c r="BF38" s="5">
        <f t="shared" si="40"/>
        <v>80.80024790304546</v>
      </c>
      <c r="BH38" s="5">
        <f t="shared" si="32"/>
        <v>48.641283345293196</v>
      </c>
      <c r="BI38" s="5">
        <f t="shared" si="33"/>
        <v>2.9524429670999073</v>
      </c>
      <c r="BJ38" s="5">
        <f t="shared" si="34"/>
        <v>-0.5834908998286732</v>
      </c>
      <c r="BK38" s="5">
        <f t="shared" si="35"/>
        <v>-4.810560007387395</v>
      </c>
      <c r="BL38" s="5">
        <f t="shared" si="36"/>
        <v>-42.45872583544611</v>
      </c>
      <c r="BM38" s="5">
        <f t="shared" si="37"/>
        <v>-3.740949569730936</v>
      </c>
      <c r="BO38" s="5">
        <f t="shared" si="38"/>
        <v>-48.8945249902367</v>
      </c>
      <c r="BP38" s="5">
        <f t="shared" si="39"/>
        <v>-6.055784619666789</v>
      </c>
    </row>
    <row r="39" spans="1:68" ht="15">
      <c r="A39" s="4" t="s">
        <v>35</v>
      </c>
      <c r="B39" s="5">
        <v>45346597</v>
      </c>
      <c r="C39" s="5">
        <f t="shared" si="17"/>
        <v>45573329.98499999</v>
      </c>
      <c r="D39" s="5">
        <v>45147993.1225022</v>
      </c>
      <c r="E39" s="5">
        <v>6973471.916817102</v>
      </c>
      <c r="F39" s="5" t="str">
        <f t="shared" si="18"/>
        <v>ingen</v>
      </c>
      <c r="G39" s="5">
        <f t="shared" si="19"/>
        <v>45147993.1225022</v>
      </c>
      <c r="H39" s="5">
        <f t="shared" si="20"/>
        <v>59020155.28609191</v>
      </c>
      <c r="I39" s="5">
        <f t="shared" si="21"/>
        <v>69418396.40742712</v>
      </c>
      <c r="J39" s="5">
        <f t="shared" si="22"/>
        <v>72564553.22284257</v>
      </c>
      <c r="K39" s="5">
        <f t="shared" si="23"/>
        <v>82962794.34417778</v>
      </c>
      <c r="L39" s="5">
        <f>'Potentialer og krav'!R22</f>
        <v>0</v>
      </c>
      <c r="M39" s="5">
        <f t="shared" si="41"/>
        <v>226732.98500000002</v>
      </c>
      <c r="N39" s="5">
        <f t="shared" si="42"/>
        <v>1048186.5896549998</v>
      </c>
      <c r="O39" s="5">
        <f t="shared" si="43"/>
        <v>38174521.2056851</v>
      </c>
      <c r="P39" s="5">
        <f t="shared" si="44"/>
        <v>1038403.8418175506</v>
      </c>
      <c r="Q39" s="5">
        <f t="shared" si="45"/>
        <v>46186396.96431974</v>
      </c>
      <c r="R39" s="5">
        <f t="shared" si="46"/>
        <v>46621516.57465499</v>
      </c>
      <c r="S39" s="5">
        <f t="shared" si="47"/>
        <v>1038403.8418175506</v>
      </c>
      <c r="T39" s="5">
        <f t="shared" si="48"/>
        <v>46186396.96431974</v>
      </c>
      <c r="U39" s="20">
        <f t="shared" si="24"/>
        <v>435119.6103352457</v>
      </c>
      <c r="V39" s="20" t="str">
        <f t="shared" si="49"/>
        <v>ingen</v>
      </c>
      <c r="X39" s="19" t="s">
        <v>35</v>
      </c>
      <c r="Y39" s="19">
        <v>144</v>
      </c>
      <c r="Z39" s="19">
        <v>133</v>
      </c>
      <c r="AA39" s="19">
        <v>4</v>
      </c>
      <c r="AB39" s="19"/>
      <c r="AC39" s="19"/>
      <c r="AD39" s="19"/>
      <c r="AE39" s="19">
        <v>91</v>
      </c>
      <c r="AF39" s="19">
        <v>5600</v>
      </c>
      <c r="AG39" s="19">
        <v>274</v>
      </c>
      <c r="AH39" s="19">
        <v>1129</v>
      </c>
      <c r="AI39" s="19">
        <v>67</v>
      </c>
      <c r="AJ39" s="19"/>
      <c r="AK39" s="20">
        <v>32530</v>
      </c>
      <c r="AL39" s="5">
        <v>35917601.28609191</v>
      </c>
      <c r="AM39" s="21">
        <f t="shared" si="50"/>
        <v>3738796</v>
      </c>
      <c r="AN39" s="19">
        <f t="shared" si="51"/>
        <v>1230593</v>
      </c>
      <c r="AO39" s="19">
        <f t="shared" si="52"/>
        <v>134736</v>
      </c>
      <c r="AP39" s="19">
        <f t="shared" si="53"/>
        <v>13954950</v>
      </c>
      <c r="AQ39" s="19">
        <f t="shared" si="54"/>
        <v>4043479</v>
      </c>
      <c r="AR39" s="19"/>
      <c r="AS39" s="19">
        <f t="shared" si="55"/>
        <v>59020155.28609191</v>
      </c>
      <c r="AT39" s="21">
        <f>(0.761+0.013*AU39)*AS39</f>
        <v>69418396.40742712</v>
      </c>
      <c r="AU39" s="5">
        <v>31.937014522908697</v>
      </c>
      <c r="AX39" s="5" t="str">
        <f t="shared" si="25"/>
        <v>Herning Vand A/S</v>
      </c>
      <c r="AY39" s="5">
        <f t="shared" si="26"/>
        <v>60.85650082075587</v>
      </c>
      <c r="AZ39" s="5">
        <f t="shared" si="27"/>
        <v>6.334778317469196</v>
      </c>
      <c r="BA39" s="5">
        <f t="shared" si="28"/>
        <v>2.0850385669689846</v>
      </c>
      <c r="BB39" s="5">
        <f t="shared" si="29"/>
        <v>0.22828811504626878</v>
      </c>
      <c r="BC39" s="5">
        <f t="shared" si="30"/>
        <v>23.644380351687218</v>
      </c>
      <c r="BD39" s="5">
        <f t="shared" si="31"/>
        <v>6.8510138280724675</v>
      </c>
      <c r="BF39" s="5">
        <f t="shared" si="40"/>
        <v>32.58043274672867</v>
      </c>
      <c r="BH39" s="5">
        <f t="shared" si="32"/>
        <v>-12.215217475462673</v>
      </c>
      <c r="BI39" s="5">
        <f t="shared" si="33"/>
        <v>10.175709384107252</v>
      </c>
      <c r="BJ39" s="5">
        <f t="shared" si="34"/>
        <v>0.026320118261998537</v>
      </c>
      <c r="BK39" s="5">
        <f t="shared" si="35"/>
        <v>0.6028592400443299</v>
      </c>
      <c r="BL39" s="5">
        <f t="shared" si="36"/>
        <v>1.0909412170172246</v>
      </c>
      <c r="BM39" s="5">
        <f t="shared" si="37"/>
        <v>0.31938751603185356</v>
      </c>
      <c r="BO39" s="5">
        <f t="shared" si="38"/>
        <v>-0.6747098339199056</v>
      </c>
      <c r="BP39" s="5">
        <f t="shared" si="39"/>
        <v>0</v>
      </c>
    </row>
    <row r="40" spans="1:68" ht="15">
      <c r="A40" s="4" t="s">
        <v>36</v>
      </c>
      <c r="B40" s="5">
        <v>39665828</v>
      </c>
      <c r="C40" s="5">
        <f t="shared" si="17"/>
        <v>39864157.13999999</v>
      </c>
      <c r="D40" s="5">
        <v>40546953</v>
      </c>
      <c r="E40" s="5">
        <v>21546312</v>
      </c>
      <c r="F40" s="5">
        <f t="shared" si="18"/>
        <v>682795.8600000069</v>
      </c>
      <c r="G40" s="5">
        <f t="shared" si="19"/>
        <v>39864157.13999999</v>
      </c>
      <c r="H40" s="5">
        <f t="shared" si="20"/>
        <v>33701966.91827009</v>
      </c>
      <c r="I40" s="5">
        <f t="shared" si="21"/>
        <v>39411229.51337456</v>
      </c>
      <c r="J40" s="5">
        <f t="shared" si="22"/>
        <v>45661214.060270086</v>
      </c>
      <c r="K40" s="5">
        <f t="shared" si="23"/>
        <v>51370476.65537456</v>
      </c>
      <c r="L40" s="5" t="e">
        <f>'Potentialer og krav'!#REF!</f>
        <v>#REF!</v>
      </c>
      <c r="M40" s="5">
        <f t="shared" si="41"/>
        <v>198329.14</v>
      </c>
      <c r="N40" s="5">
        <f t="shared" si="42"/>
        <v>916875.6142199999</v>
      </c>
      <c r="O40" s="5">
        <f t="shared" si="43"/>
        <v>19000641</v>
      </c>
      <c r="P40" s="5">
        <f t="shared" si="44"/>
        <v>916875.6142199999</v>
      </c>
      <c r="Q40" s="5">
        <f t="shared" si="45"/>
        <v>40781032.75421999</v>
      </c>
      <c r="R40" s="5">
        <f t="shared" si="46"/>
        <v>40781032.75421999</v>
      </c>
      <c r="S40" s="5">
        <f t="shared" si="47"/>
        <v>932579.919</v>
      </c>
      <c r="T40" s="5">
        <f t="shared" si="48"/>
        <v>41479532.919</v>
      </c>
      <c r="U40" s="20">
        <f t="shared" si="24"/>
        <v>-698500.1647800133</v>
      </c>
      <c r="V40" s="20" t="str">
        <f t="shared" si="49"/>
        <v>tal til venstre</v>
      </c>
      <c r="X40" s="19" t="s">
        <v>36</v>
      </c>
      <c r="Y40" s="19">
        <v>104</v>
      </c>
      <c r="Z40" s="19">
        <v>202</v>
      </c>
      <c r="AA40" s="19">
        <v>32</v>
      </c>
      <c r="AB40" s="19">
        <v>2</v>
      </c>
      <c r="AC40" s="19">
        <v>0</v>
      </c>
      <c r="AD40" s="19">
        <v>3</v>
      </c>
      <c r="AE40" s="19">
        <v>70</v>
      </c>
      <c r="AF40" s="19">
        <v>28300</v>
      </c>
      <c r="AG40" s="19">
        <v>55</v>
      </c>
      <c r="AH40" s="19">
        <v>384</v>
      </c>
      <c r="AI40" s="19">
        <v>0</v>
      </c>
      <c r="AJ40" s="19">
        <v>0</v>
      </c>
      <c r="AK40" s="20">
        <v>14067</v>
      </c>
      <c r="AL40" s="35">
        <v>14613290.318270085</v>
      </c>
      <c r="AM40" s="21">
        <v>8981113</v>
      </c>
      <c r="AN40" s="19">
        <v>946610</v>
      </c>
      <c r="AO40" s="19">
        <v>680898</v>
      </c>
      <c r="AP40" s="19">
        <v>2405720.0000000005</v>
      </c>
      <c r="AQ40" s="19">
        <v>1748528.0999999999</v>
      </c>
      <c r="AR40" s="19"/>
      <c r="AS40" s="19">
        <f>SUM(AL40:AR40)+AV40</f>
        <v>33701966.91827009</v>
      </c>
      <c r="AT40" s="21">
        <f>(0.761+0.013*AU40)*AS40</f>
        <v>39411229.51337456</v>
      </c>
      <c r="AU40" s="5">
        <v>31.4157256115733</v>
      </c>
      <c r="AV40" s="5">
        <f>1149846+3175961.5</f>
        <v>4325807.5</v>
      </c>
      <c r="AX40" s="5" t="s">
        <v>36</v>
      </c>
      <c r="AY40" s="35">
        <f aca="true" t="shared" si="57" ref="AY40:BD40">(AL40/SUM($AL40:$AQ40))*100</f>
        <v>49.74540786697105</v>
      </c>
      <c r="AZ40" s="35">
        <f t="shared" si="57"/>
        <v>30.572795007417895</v>
      </c>
      <c r="BA40" s="35">
        <f t="shared" si="57"/>
        <v>3.2223749419444845</v>
      </c>
      <c r="BB40" s="35">
        <f t="shared" si="57"/>
        <v>2.317859153421278</v>
      </c>
      <c r="BC40" s="35">
        <f t="shared" si="57"/>
        <v>8.189361875888366</v>
      </c>
      <c r="BD40" s="35">
        <f t="shared" si="57"/>
        <v>5.952201154356914</v>
      </c>
      <c r="BE40" s="35"/>
      <c r="BF40" s="35">
        <f>BA40+BC40+BD40</f>
        <v>17.363937972189763</v>
      </c>
      <c r="BH40" s="35">
        <f>$AY$110-AY40</f>
        <v>-1.1041245216778535</v>
      </c>
      <c r="BI40" s="35">
        <f>$AZ$110-AZ40</f>
        <v>-14.062307305841447</v>
      </c>
      <c r="BJ40" s="35">
        <f>$BA$110-BA40</f>
        <v>-1.1110162567135013</v>
      </c>
      <c r="BK40" s="35">
        <f>$BB$110-BB40</f>
        <v>-1.486711798330679</v>
      </c>
      <c r="BL40" s="35">
        <f>$BC$110-BC40</f>
        <v>16.545959692816076</v>
      </c>
      <c r="BM40" s="35">
        <f>$BD$110-BD40</f>
        <v>1.2182001897474066</v>
      </c>
      <c r="BO40" s="35">
        <f>$BF$110-BF40</f>
        <v>14.541784940619</v>
      </c>
      <c r="BP40" s="35">
        <f>IF(BO40&lt;$BF$113,(BO40-$BF$113)*0.3265*0.7,0)</f>
        <v>0</v>
      </c>
    </row>
    <row r="41" spans="1:68" ht="15">
      <c r="A41" s="4" t="s">
        <v>37</v>
      </c>
      <c r="B41" s="5">
        <v>47505473</v>
      </c>
      <c r="C41" s="5">
        <f t="shared" si="17"/>
        <v>47743000.364999995</v>
      </c>
      <c r="D41" s="5">
        <v>45343407</v>
      </c>
      <c r="E41" s="5">
        <v>1241171.4767889</v>
      </c>
      <c r="F41" s="5" t="str">
        <f t="shared" si="18"/>
        <v>ingen</v>
      </c>
      <c r="G41" s="5">
        <f t="shared" si="19"/>
        <v>45343407</v>
      </c>
      <c r="H41" s="5">
        <f t="shared" si="20"/>
        <v>68183535.0741502</v>
      </c>
      <c r="I41" s="5">
        <f t="shared" si="21"/>
        <v>81402407.37080759</v>
      </c>
      <c r="J41" s="5">
        <f t="shared" si="22"/>
        <v>81786557.1741502</v>
      </c>
      <c r="K41" s="5">
        <f t="shared" si="23"/>
        <v>95005429.47080758</v>
      </c>
      <c r="L41" s="5">
        <f>'Potentialer og krav'!R23</f>
        <v>0</v>
      </c>
      <c r="M41" s="5">
        <f t="shared" si="41"/>
        <v>237527.365</v>
      </c>
      <c r="N41" s="5">
        <f t="shared" si="42"/>
        <v>1098089.008395</v>
      </c>
      <c r="O41" s="5">
        <f t="shared" si="43"/>
        <v>44102235.5232111</v>
      </c>
      <c r="P41" s="5">
        <f t="shared" si="44"/>
        <v>1042898.361</v>
      </c>
      <c r="Q41" s="5">
        <f t="shared" si="45"/>
        <v>46386305.360999994</v>
      </c>
      <c r="R41" s="5">
        <f t="shared" si="46"/>
        <v>48841089.37339499</v>
      </c>
      <c r="S41" s="5">
        <f t="shared" si="47"/>
        <v>1042898.361</v>
      </c>
      <c r="T41" s="5">
        <f t="shared" si="48"/>
        <v>46386305.360999994</v>
      </c>
      <c r="U41" s="20">
        <f t="shared" si="24"/>
        <v>2454784.0123949945</v>
      </c>
      <c r="V41" s="20" t="str">
        <f t="shared" si="49"/>
        <v>ingen</v>
      </c>
      <c r="X41" s="19" t="s">
        <v>37</v>
      </c>
      <c r="Y41" s="19">
        <v>50</v>
      </c>
      <c r="Z41" s="19">
        <v>280</v>
      </c>
      <c r="AA41" s="19">
        <v>37</v>
      </c>
      <c r="AB41" s="19">
        <v>2</v>
      </c>
      <c r="AC41" s="19">
        <v>0</v>
      </c>
      <c r="AD41" s="19">
        <v>0</v>
      </c>
      <c r="AE41" s="19">
        <v>31</v>
      </c>
      <c r="AF41" s="19">
        <v>19858</v>
      </c>
      <c r="AG41" s="19">
        <v>505</v>
      </c>
      <c r="AH41" s="19">
        <v>633</v>
      </c>
      <c r="AI41" s="19">
        <v>17</v>
      </c>
      <c r="AJ41" s="19">
        <v>0</v>
      </c>
      <c r="AK41" s="20">
        <v>23696</v>
      </c>
      <c r="AL41" s="5">
        <v>48594582.79415021</v>
      </c>
      <c r="AM41" s="21">
        <f t="shared" si="50"/>
        <v>7920293</v>
      </c>
      <c r="AN41" s="19">
        <f t="shared" si="51"/>
        <v>419213</v>
      </c>
      <c r="AO41" s="19">
        <f t="shared" si="52"/>
        <v>477783.48</v>
      </c>
      <c r="AP41" s="19">
        <f t="shared" si="53"/>
        <v>7826250.000000001</v>
      </c>
      <c r="AQ41" s="19">
        <f t="shared" si="54"/>
        <v>2945412.8</v>
      </c>
      <c r="AR41" s="19"/>
      <c r="AS41" s="19">
        <f t="shared" si="55"/>
        <v>68183535.0741502</v>
      </c>
      <c r="AT41" s="21">
        <f t="shared" si="56"/>
        <v>81402407.37080759</v>
      </c>
      <c r="AU41" s="5">
        <v>33.297839367594385</v>
      </c>
      <c r="AX41" s="5" t="str">
        <f t="shared" si="25"/>
        <v>Hjørring Vandselskab A/S</v>
      </c>
      <c r="AY41" s="5">
        <f t="shared" si="26"/>
        <v>71.27026010209528</v>
      </c>
      <c r="AZ41" s="5">
        <f t="shared" si="27"/>
        <v>11.616137226365002</v>
      </c>
      <c r="BA41" s="5">
        <f t="shared" si="28"/>
        <v>0.6148302512389568</v>
      </c>
      <c r="BB41" s="5">
        <f t="shared" si="29"/>
        <v>0.7007314588197959</v>
      </c>
      <c r="BC41" s="5">
        <f t="shared" si="30"/>
        <v>11.478210966164902</v>
      </c>
      <c r="BD41" s="5">
        <f t="shared" si="31"/>
        <v>4.319829995316079</v>
      </c>
      <c r="BF41" s="5">
        <f t="shared" si="40"/>
        <v>16.412871212719935</v>
      </c>
      <c r="BH41" s="5">
        <f t="shared" si="32"/>
        <v>-22.628976756802082</v>
      </c>
      <c r="BI41" s="5">
        <f t="shared" si="33"/>
        <v>4.894350475211446</v>
      </c>
      <c r="BJ41" s="5">
        <f t="shared" si="34"/>
        <v>1.4965284339920264</v>
      </c>
      <c r="BK41" s="5">
        <f t="shared" si="35"/>
        <v>0.13041589627080274</v>
      </c>
      <c r="BL41" s="5">
        <f t="shared" si="36"/>
        <v>13.25711060253954</v>
      </c>
      <c r="BM41" s="5">
        <f t="shared" si="37"/>
        <v>2.8505713487882423</v>
      </c>
      <c r="BO41" s="5">
        <f t="shared" si="38"/>
        <v>15.492851700088828</v>
      </c>
      <c r="BP41" s="5">
        <f t="shared" si="39"/>
        <v>0</v>
      </c>
    </row>
    <row r="42" spans="1:68" ht="15">
      <c r="A42" s="4" t="s">
        <v>38</v>
      </c>
      <c r="B42" s="5">
        <f>38756342+269716</f>
        <v>39026058</v>
      </c>
      <c r="C42" s="5">
        <f t="shared" si="17"/>
        <v>39221188.29</v>
      </c>
      <c r="D42" s="5">
        <v>37773311.42452</v>
      </c>
      <c r="E42" s="5">
        <v>13487509.131797634</v>
      </c>
      <c r="F42" s="5" t="str">
        <f t="shared" si="18"/>
        <v>ingen</v>
      </c>
      <c r="G42" s="5">
        <f t="shared" si="19"/>
        <v>37773311.42452</v>
      </c>
      <c r="H42" s="5">
        <f t="shared" si="20"/>
        <v>37547341.64368646</v>
      </c>
      <c r="I42" s="5">
        <f t="shared" si="21"/>
        <v>43915681.86845751</v>
      </c>
      <c r="J42" s="5">
        <f t="shared" si="22"/>
        <v>48879335.071042456</v>
      </c>
      <c r="K42" s="5">
        <f t="shared" si="23"/>
        <v>55247675.29581351</v>
      </c>
      <c r="L42" s="5">
        <f>'Potentialer og krav'!R24</f>
        <v>1539480.3213980848</v>
      </c>
      <c r="M42" s="5">
        <f t="shared" si="41"/>
        <v>195130.29</v>
      </c>
      <c r="N42" s="5">
        <f t="shared" si="42"/>
        <v>902087.3306699999</v>
      </c>
      <c r="O42" s="5">
        <f t="shared" si="43"/>
        <v>24285802.292722367</v>
      </c>
      <c r="P42" s="5">
        <f t="shared" si="44"/>
        <v>868786.16276396</v>
      </c>
      <c r="Q42" s="5">
        <f t="shared" si="45"/>
        <v>38642097.587283954</v>
      </c>
      <c r="R42" s="5">
        <f t="shared" si="46"/>
        <v>40123275.62067</v>
      </c>
      <c r="S42" s="5">
        <f t="shared" si="47"/>
        <v>868786.16276396</v>
      </c>
      <c r="T42" s="5">
        <f t="shared" si="48"/>
        <v>38642097.587283954</v>
      </c>
      <c r="U42" s="20">
        <f t="shared" si="24"/>
        <v>1481178.0333860442</v>
      </c>
      <c r="V42" s="20" t="str">
        <f t="shared" si="49"/>
        <v>ingen</v>
      </c>
      <c r="X42" s="19" t="s">
        <v>38</v>
      </c>
      <c r="Y42" s="19">
        <v>93</v>
      </c>
      <c r="Z42" s="19">
        <v>250</v>
      </c>
      <c r="AA42" s="19">
        <v>9</v>
      </c>
      <c r="AB42" s="19">
        <v>0</v>
      </c>
      <c r="AC42" s="19">
        <v>0</v>
      </c>
      <c r="AD42" s="19">
        <v>0</v>
      </c>
      <c r="AE42" s="19">
        <v>114</v>
      </c>
      <c r="AF42" s="19">
        <v>2620</v>
      </c>
      <c r="AG42" s="19">
        <v>251</v>
      </c>
      <c r="AH42" s="19">
        <v>659</v>
      </c>
      <c r="AI42" s="19">
        <v>27</v>
      </c>
      <c r="AJ42" s="19">
        <v>0</v>
      </c>
      <c r="AK42" s="20">
        <v>19513</v>
      </c>
      <c r="AL42" s="5">
        <v>20295414.54368646</v>
      </c>
      <c r="AM42" s="21">
        <f t="shared" si="50"/>
        <v>5709692</v>
      </c>
      <c r="AN42" s="19">
        <f t="shared" si="51"/>
        <v>1541622</v>
      </c>
      <c r="AO42" s="19">
        <f t="shared" si="52"/>
        <v>63037.2</v>
      </c>
      <c r="AP42" s="19">
        <f t="shared" si="53"/>
        <v>7512110</v>
      </c>
      <c r="AQ42" s="19">
        <f t="shared" si="54"/>
        <v>2425465.9</v>
      </c>
      <c r="AR42" s="19"/>
      <c r="AS42" s="19">
        <f t="shared" si="55"/>
        <v>37547341.64368646</v>
      </c>
      <c r="AT42" s="21">
        <f t="shared" si="56"/>
        <v>43915681.86845751</v>
      </c>
      <c r="AU42" s="5">
        <v>31.431406543125007</v>
      </c>
      <c r="AX42" s="5" t="str">
        <f t="shared" si="25"/>
        <v>Holbæk Spildevand A/S</v>
      </c>
      <c r="AY42" s="5">
        <f t="shared" si="26"/>
        <v>54.05286674163019</v>
      </c>
      <c r="AZ42" s="5">
        <f t="shared" si="27"/>
        <v>15.206647794625102</v>
      </c>
      <c r="BA42" s="5">
        <f t="shared" si="28"/>
        <v>4.105808647199454</v>
      </c>
      <c r="BB42" s="5">
        <f t="shared" si="29"/>
        <v>0.16788725177458635</v>
      </c>
      <c r="BC42" s="5">
        <f t="shared" si="30"/>
        <v>20.007035574682696</v>
      </c>
      <c r="BD42" s="5">
        <f t="shared" si="31"/>
        <v>6.459753990087975</v>
      </c>
      <c r="BF42" s="5">
        <f t="shared" si="40"/>
        <v>30.572598211970124</v>
      </c>
      <c r="BH42" s="5">
        <f t="shared" si="32"/>
        <v>-5.411583396336994</v>
      </c>
      <c r="BI42" s="5">
        <f t="shared" si="33"/>
        <v>1.303839906951346</v>
      </c>
      <c r="BJ42" s="5">
        <f t="shared" si="34"/>
        <v>-1.9944499619684706</v>
      </c>
      <c r="BK42" s="5">
        <f t="shared" si="35"/>
        <v>0.6632601033160124</v>
      </c>
      <c r="BL42" s="5">
        <f t="shared" si="36"/>
        <v>4.728285994021746</v>
      </c>
      <c r="BM42" s="5">
        <f t="shared" si="37"/>
        <v>0.7106473540163458</v>
      </c>
      <c r="BO42" s="5">
        <f t="shared" si="38"/>
        <v>1.3331247008386384</v>
      </c>
      <c r="BP42" s="5">
        <f t="shared" si="39"/>
        <v>0</v>
      </c>
    </row>
    <row r="43" spans="1:68" ht="15">
      <c r="A43" s="4" t="s">
        <v>39</v>
      </c>
      <c r="B43" s="5">
        <v>67673131</v>
      </c>
      <c r="C43" s="5">
        <f t="shared" si="17"/>
        <v>68011496.65499999</v>
      </c>
      <c r="D43" s="5">
        <v>66044891.802008</v>
      </c>
      <c r="E43" s="5">
        <v>30545048.472858544</v>
      </c>
      <c r="F43" s="5" t="str">
        <f t="shared" si="18"/>
        <v>ingen</v>
      </c>
      <c r="G43" s="5">
        <f t="shared" si="19"/>
        <v>66044891.802008</v>
      </c>
      <c r="H43" s="5">
        <f t="shared" si="20"/>
        <v>54884938.69615806</v>
      </c>
      <c r="I43" s="5">
        <f t="shared" si="21"/>
        <v>64991370.199887</v>
      </c>
      <c r="J43" s="5">
        <f t="shared" si="22"/>
        <v>74698406.23676047</v>
      </c>
      <c r="K43" s="5">
        <f t="shared" si="23"/>
        <v>84804837.7404894</v>
      </c>
      <c r="L43" s="5">
        <f>'Potentialer og krav'!R25</f>
        <v>3302244.5901004</v>
      </c>
      <c r="M43" s="5">
        <f t="shared" si="41"/>
        <v>338365.655</v>
      </c>
      <c r="N43" s="5">
        <f t="shared" si="42"/>
        <v>1564264.4230649997</v>
      </c>
      <c r="O43" s="5">
        <f t="shared" si="43"/>
        <v>35499843.329149455</v>
      </c>
      <c r="P43" s="5">
        <f t="shared" si="44"/>
        <v>1519032.511446184</v>
      </c>
      <c r="Q43" s="5">
        <f t="shared" si="45"/>
        <v>67563924.31345418</v>
      </c>
      <c r="R43" s="5">
        <f t="shared" si="46"/>
        <v>69575761.07806498</v>
      </c>
      <c r="S43" s="5">
        <f t="shared" si="47"/>
        <v>1519032.511446184</v>
      </c>
      <c r="T43" s="5">
        <f t="shared" si="48"/>
        <v>67563924.31345418</v>
      </c>
      <c r="U43" s="20">
        <f t="shared" si="24"/>
        <v>2011836.7646107972</v>
      </c>
      <c r="V43" s="20" t="str">
        <f t="shared" si="49"/>
        <v>ingen</v>
      </c>
      <c r="X43" s="19" t="s">
        <v>39</v>
      </c>
      <c r="Y43" s="19">
        <v>68</v>
      </c>
      <c r="Z43" s="19">
        <v>180</v>
      </c>
      <c r="AA43" s="19">
        <v>23</v>
      </c>
      <c r="AB43" s="19">
        <v>0</v>
      </c>
      <c r="AC43" s="19">
        <v>0</v>
      </c>
      <c r="AD43" s="19">
        <v>0</v>
      </c>
      <c r="AE43" s="19">
        <v>84</v>
      </c>
      <c r="AF43" s="19">
        <v>6544</v>
      </c>
      <c r="AG43" s="19">
        <v>326</v>
      </c>
      <c r="AH43" s="19">
        <v>979</v>
      </c>
      <c r="AI43" s="19">
        <v>96</v>
      </c>
      <c r="AJ43" s="19">
        <v>0</v>
      </c>
      <c r="AK43" s="20">
        <v>14643</v>
      </c>
      <c r="AL43" s="5">
        <v>30403518.15615806</v>
      </c>
      <c r="AM43" s="21">
        <f t="shared" si="50"/>
        <v>5237635</v>
      </c>
      <c r="AN43" s="19">
        <f t="shared" si="51"/>
        <v>1135932</v>
      </c>
      <c r="AO43" s="19">
        <f t="shared" si="52"/>
        <v>157448.63999999998</v>
      </c>
      <c r="AP43" s="19">
        <f t="shared" si="53"/>
        <v>16130280.000000004</v>
      </c>
      <c r="AQ43" s="19">
        <f t="shared" si="54"/>
        <v>1820124.9</v>
      </c>
      <c r="AR43" s="19"/>
      <c r="AS43" s="19">
        <f t="shared" si="55"/>
        <v>54884938.69615806</v>
      </c>
      <c r="AT43" s="21">
        <f t="shared" si="56"/>
        <v>64991370.199887</v>
      </c>
      <c r="AU43" s="5">
        <v>32.54911709396263</v>
      </c>
      <c r="AX43" s="5" t="str">
        <f t="shared" si="25"/>
        <v>Horsens Vand A/S</v>
      </c>
      <c r="AY43" s="5">
        <f t="shared" si="26"/>
        <v>55.39501159775606</v>
      </c>
      <c r="AZ43" s="5">
        <f t="shared" si="27"/>
        <v>9.54293677723764</v>
      </c>
      <c r="BA43" s="5">
        <f t="shared" si="28"/>
        <v>2.069660688314689</v>
      </c>
      <c r="BB43" s="5">
        <f t="shared" si="29"/>
        <v>0.2868703942107553</v>
      </c>
      <c r="BC43" s="5">
        <f t="shared" si="30"/>
        <v>29.389264856970904</v>
      </c>
      <c r="BD43" s="5">
        <f t="shared" si="31"/>
        <v>3.316255685509964</v>
      </c>
      <c r="BF43" s="5">
        <f t="shared" si="40"/>
        <v>34.77518123079555</v>
      </c>
      <c r="BH43" s="5">
        <f t="shared" si="32"/>
        <v>-6.753728252462864</v>
      </c>
      <c r="BI43" s="5">
        <f t="shared" si="33"/>
        <v>6.967550924338807</v>
      </c>
      <c r="BJ43" s="5">
        <f t="shared" si="34"/>
        <v>0.041697996916294056</v>
      </c>
      <c r="BK43" s="5">
        <f t="shared" si="35"/>
        <v>0.5442769608798435</v>
      </c>
      <c r="BL43" s="5">
        <f t="shared" si="36"/>
        <v>-4.653943288266461</v>
      </c>
      <c r="BM43" s="5">
        <f>$BD$110-BD43</f>
        <v>3.854145658594357</v>
      </c>
      <c r="BO43" s="5">
        <f t="shared" si="38"/>
        <v>-2.8694583179867905</v>
      </c>
      <c r="BP43" s="5">
        <f t="shared" si="39"/>
        <v>0</v>
      </c>
    </row>
    <row r="44" spans="1:68" ht="15">
      <c r="A44" s="4" t="s">
        <v>40</v>
      </c>
      <c r="B44" s="5">
        <v>10088807</v>
      </c>
      <c r="C44" s="5">
        <f t="shared" si="17"/>
        <v>10139251.034999998</v>
      </c>
      <c r="D44" s="5">
        <v>11181991.8999096</v>
      </c>
      <c r="E44" s="5">
        <v>1866217.5175742796</v>
      </c>
      <c r="F44" s="5">
        <f t="shared" si="18"/>
        <v>1042740.8649096023</v>
      </c>
      <c r="G44" s="5">
        <f t="shared" si="19"/>
        <v>10139251.034999998</v>
      </c>
      <c r="H44" s="5">
        <f t="shared" si="20"/>
        <v>14193433.718356542</v>
      </c>
      <c r="I44" s="5">
        <f t="shared" si="21"/>
        <v>17623577.23026767</v>
      </c>
      <c r="J44" s="5">
        <f t="shared" si="22"/>
        <v>17235209.028856542</v>
      </c>
      <c r="K44" s="5">
        <f t="shared" si="23"/>
        <v>20665352.54076767</v>
      </c>
      <c r="L44" s="5" t="e">
        <f>'Potentialer og krav'!#REF!</f>
        <v>#REF!</v>
      </c>
      <c r="M44" s="5">
        <f t="shared" si="41"/>
        <v>50444.035</v>
      </c>
      <c r="N44" s="5">
        <f t="shared" si="42"/>
        <v>233202.77380499995</v>
      </c>
      <c r="O44" s="5">
        <f t="shared" si="43"/>
        <v>9315774.38233532</v>
      </c>
      <c r="P44" s="5">
        <f t="shared" si="44"/>
        <v>233202.77380499995</v>
      </c>
      <c r="Q44" s="5">
        <f t="shared" si="45"/>
        <v>10372453.808804998</v>
      </c>
      <c r="R44" s="5">
        <f t="shared" si="46"/>
        <v>10372453.808804998</v>
      </c>
      <c r="S44" s="5">
        <f t="shared" si="47"/>
        <v>257185.81369792082</v>
      </c>
      <c r="T44" s="5">
        <f t="shared" si="48"/>
        <v>11439177.71360752</v>
      </c>
      <c r="U44" s="20">
        <f t="shared" si="24"/>
        <v>-1066723.9048025217</v>
      </c>
      <c r="V44" s="20" t="str">
        <f t="shared" si="49"/>
        <v>tal til venstre</v>
      </c>
      <c r="X44" s="19" t="s">
        <v>40</v>
      </c>
      <c r="Y44" s="19">
        <v>76</v>
      </c>
      <c r="Z44" s="19">
        <v>53</v>
      </c>
      <c r="AA44" s="19">
        <v>3</v>
      </c>
      <c r="AB44" s="19">
        <v>0</v>
      </c>
      <c r="AC44" s="19">
        <v>0</v>
      </c>
      <c r="AD44" s="19">
        <v>0</v>
      </c>
      <c r="AE44" s="19">
        <v>55</v>
      </c>
      <c r="AF44" s="19">
        <v>0</v>
      </c>
      <c r="AG44" s="19">
        <v>88</v>
      </c>
      <c r="AH44" s="19">
        <v>392</v>
      </c>
      <c r="AI44" s="19">
        <v>65</v>
      </c>
      <c r="AJ44" s="19">
        <v>0</v>
      </c>
      <c r="AK44" s="20">
        <v>10859</v>
      </c>
      <c r="AL44" s="5">
        <v>1656350.0183565433</v>
      </c>
      <c r="AM44" s="21">
        <f t="shared" si="50"/>
        <v>1733695</v>
      </c>
      <c r="AN44" s="19">
        <f t="shared" si="51"/>
        <v>743765</v>
      </c>
      <c r="AO44" s="19">
        <f t="shared" si="52"/>
        <v>0</v>
      </c>
      <c r="AP44" s="19">
        <f t="shared" si="53"/>
        <v>8709850</v>
      </c>
      <c r="AQ44" s="19">
        <f t="shared" si="54"/>
        <v>1349773.7</v>
      </c>
      <c r="AR44" s="19"/>
      <c r="AS44" s="19">
        <f t="shared" si="55"/>
        <v>14193433.718356542</v>
      </c>
      <c r="AT44" s="21">
        <f t="shared" si="56"/>
        <v>17623577.23026767</v>
      </c>
      <c r="AU44" s="5">
        <v>36.97470418621968</v>
      </c>
      <c r="AX44" s="5" t="str">
        <f t="shared" si="25"/>
        <v>HTK Kloak A/S</v>
      </c>
      <c r="AY44" s="5">
        <f t="shared" si="26"/>
        <v>11.669833045504454</v>
      </c>
      <c r="AZ44" s="5">
        <f t="shared" si="27"/>
        <v>12.214768000485963</v>
      </c>
      <c r="BA44" s="5">
        <f t="shared" si="28"/>
        <v>5.240204835268858</v>
      </c>
      <c r="BB44" s="5">
        <f t="shared" si="29"/>
        <v>0</v>
      </c>
      <c r="BC44" s="5">
        <f t="shared" si="30"/>
        <v>61.365348039322186</v>
      </c>
      <c r="BD44" s="5">
        <f t="shared" si="31"/>
        <v>9.50984607941855</v>
      </c>
      <c r="BF44" s="5">
        <f t="shared" si="40"/>
        <v>76.11539895400959</v>
      </c>
      <c r="BH44" s="5">
        <f t="shared" si="32"/>
        <v>36.97145029978874</v>
      </c>
      <c r="BI44" s="5">
        <f t="shared" si="33"/>
        <v>4.295719701090485</v>
      </c>
      <c r="BJ44" s="5">
        <f t="shared" si="34"/>
        <v>-3.128846150037875</v>
      </c>
      <c r="BK44" s="5">
        <f t="shared" si="35"/>
        <v>0.8311473550905987</v>
      </c>
      <c r="BL44" s="5">
        <f t="shared" si="36"/>
        <v>-36.63002647061774</v>
      </c>
      <c r="BM44" s="5">
        <f t="shared" si="37"/>
        <v>-2.3394447353142285</v>
      </c>
      <c r="BO44" s="5">
        <f t="shared" si="38"/>
        <v>-44.20967604120083</v>
      </c>
      <c r="BP44" s="5">
        <f t="shared" si="39"/>
        <v>-4.985062392364642</v>
      </c>
    </row>
    <row r="45" spans="1:68" ht="15">
      <c r="A45" s="4" t="s">
        <v>41</v>
      </c>
      <c r="B45" s="5">
        <v>5991325</v>
      </c>
      <c r="C45" s="5">
        <f t="shared" si="17"/>
        <v>6021281.624999999</v>
      </c>
      <c r="D45" s="5">
        <v>6861534.429337</v>
      </c>
      <c r="E45" s="5">
        <v>3012275.127537366</v>
      </c>
      <c r="F45" s="5">
        <f t="shared" si="18"/>
        <v>840252.8043370005</v>
      </c>
      <c r="G45" s="5">
        <f t="shared" si="19"/>
        <v>6021281.624999999</v>
      </c>
      <c r="H45" s="5">
        <f t="shared" si="20"/>
        <v>5951190.710618698</v>
      </c>
      <c r="I45" s="5">
        <f t="shared" si="21"/>
        <v>4528856.130780829</v>
      </c>
      <c r="J45" s="5">
        <f t="shared" si="22"/>
        <v>7757575.198118698</v>
      </c>
      <c r="K45" s="5">
        <f t="shared" si="23"/>
        <v>6335240.618280829</v>
      </c>
      <c r="L45" s="5">
        <v>0</v>
      </c>
      <c r="M45" s="5">
        <f t="shared" si="41"/>
        <v>29956.625</v>
      </c>
      <c r="N45" s="5">
        <f t="shared" si="42"/>
        <v>138489.477375</v>
      </c>
      <c r="O45" s="5">
        <f t="shared" si="43"/>
        <v>3849259.3017996335</v>
      </c>
      <c r="P45" s="5">
        <f t="shared" si="44"/>
        <v>138489.477375</v>
      </c>
      <c r="Q45" s="5">
        <f t="shared" si="45"/>
        <v>6159771.102374999</v>
      </c>
      <c r="R45" s="5">
        <f t="shared" si="46"/>
        <v>6159771.102374999</v>
      </c>
      <c r="S45" s="5">
        <f t="shared" si="47"/>
        <v>157815.29187475098</v>
      </c>
      <c r="T45" s="5">
        <f t="shared" si="48"/>
        <v>7019349.72121175</v>
      </c>
      <c r="U45" s="20">
        <f t="shared" si="24"/>
        <v>-859578.6188367512</v>
      </c>
      <c r="V45" s="20" t="str">
        <f t="shared" si="49"/>
        <v>tal til venstre</v>
      </c>
      <c r="X45" s="19" t="s">
        <v>41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20">
        <v>2</v>
      </c>
      <c r="AL45" s="5">
        <v>5950942.110618698</v>
      </c>
      <c r="AM45" s="21">
        <f t="shared" si="50"/>
        <v>0</v>
      </c>
      <c r="AN45" s="19">
        <f t="shared" si="51"/>
        <v>0</v>
      </c>
      <c r="AO45" s="19">
        <f t="shared" si="52"/>
        <v>0</v>
      </c>
      <c r="AP45" s="19">
        <f t="shared" si="53"/>
        <v>0</v>
      </c>
      <c r="AQ45" s="19">
        <f t="shared" si="54"/>
        <v>248.6</v>
      </c>
      <c r="AR45" s="19"/>
      <c r="AS45" s="19">
        <f t="shared" si="55"/>
        <v>5951190.710618698</v>
      </c>
      <c r="AT45" s="21">
        <f t="shared" si="56"/>
        <v>4528856.130780829</v>
      </c>
      <c r="AU45" s="5">
        <v>0</v>
      </c>
      <c r="AX45" s="5" t="str">
        <f t="shared" si="25"/>
        <v>Hunseby Renseanlæg</v>
      </c>
      <c r="AY45" s="5">
        <f t="shared" si="26"/>
        <v>99.99582268470147</v>
      </c>
      <c r="AZ45" s="5">
        <f t="shared" si="27"/>
        <v>0</v>
      </c>
      <c r="BA45" s="5">
        <f t="shared" si="28"/>
        <v>0</v>
      </c>
      <c r="BB45" s="5">
        <f t="shared" si="29"/>
        <v>0</v>
      </c>
      <c r="BC45" s="5">
        <f t="shared" si="30"/>
        <v>0</v>
      </c>
      <c r="BD45" s="5">
        <f t="shared" si="31"/>
        <v>0.004177315298540567</v>
      </c>
      <c r="BF45" s="5">
        <f t="shared" si="40"/>
        <v>0.004177315298540567</v>
      </c>
      <c r="BH45" s="5">
        <f t="shared" si="32"/>
        <v>-51.35453933940827</v>
      </c>
      <c r="BI45" s="5">
        <f t="shared" si="33"/>
        <v>16.510487701576448</v>
      </c>
      <c r="BJ45" s="5">
        <f t="shared" si="34"/>
        <v>2.111358685230983</v>
      </c>
      <c r="BK45" s="5">
        <f t="shared" si="35"/>
        <v>0.8311473550905987</v>
      </c>
      <c r="BL45" s="5">
        <f t="shared" si="36"/>
        <v>24.735321568704443</v>
      </c>
      <c r="BM45" s="5">
        <f t="shared" si="37"/>
        <v>7.166224028805781</v>
      </c>
      <c r="BO45" s="5">
        <f t="shared" si="38"/>
        <v>31.90154559751022</v>
      </c>
      <c r="BP45" s="5">
        <f t="shared" si="39"/>
        <v>0</v>
      </c>
    </row>
    <row r="46" spans="1:68" ht="15">
      <c r="A46" s="4" t="s">
        <v>42</v>
      </c>
      <c r="B46" s="5">
        <v>19051061</v>
      </c>
      <c r="C46" s="5">
        <f t="shared" si="17"/>
        <v>19146316.305</v>
      </c>
      <c r="D46" s="5">
        <v>20516466.6210798</v>
      </c>
      <c r="E46" s="5">
        <f>D46*0.4948403</f>
        <v>10152374.497715114</v>
      </c>
      <c r="F46" s="5">
        <f t="shared" si="18"/>
        <v>1370150.316079799</v>
      </c>
      <c r="G46" s="5">
        <f t="shared" si="19"/>
        <v>19146316.305</v>
      </c>
      <c r="H46" s="5">
        <f t="shared" si="20"/>
        <v>14347129.76</v>
      </c>
      <c r="I46" s="5">
        <f t="shared" si="21"/>
        <v>21027723.26630559</v>
      </c>
      <c r="J46" s="5">
        <f t="shared" si="22"/>
        <v>20091024.6515</v>
      </c>
      <c r="K46" s="5">
        <f t="shared" si="23"/>
        <v>26771618.157805588</v>
      </c>
      <c r="L46" s="5" t="e">
        <f>'Potentialer og krav'!#REF!</f>
        <v>#REF!</v>
      </c>
      <c r="M46" s="5">
        <f t="shared" si="41"/>
        <v>95255.30500000001</v>
      </c>
      <c r="N46" s="5">
        <f t="shared" si="42"/>
        <v>440365.27501499996</v>
      </c>
      <c r="O46" s="5">
        <f t="shared" si="43"/>
        <v>10364092.123364685</v>
      </c>
      <c r="P46" s="5">
        <f t="shared" si="44"/>
        <v>440365.27501499996</v>
      </c>
      <c r="Q46" s="5">
        <f t="shared" si="45"/>
        <v>19586681.580014996</v>
      </c>
      <c r="R46" s="5">
        <f t="shared" si="46"/>
        <v>19586681.580014996</v>
      </c>
      <c r="S46" s="5">
        <f t="shared" si="47"/>
        <v>471878.73228483537</v>
      </c>
      <c r="T46" s="5">
        <f t="shared" si="48"/>
        <v>20988345.35336463</v>
      </c>
      <c r="U46" s="20">
        <f t="shared" si="24"/>
        <v>-1401663.7733496353</v>
      </c>
      <c r="V46" s="20" t="str">
        <f t="shared" si="49"/>
        <v>tal til venstre</v>
      </c>
      <c r="X46" s="19" t="s">
        <v>42</v>
      </c>
      <c r="Y46" s="19">
        <v>1</v>
      </c>
      <c r="Z46" s="19">
        <v>44</v>
      </c>
      <c r="AA46" s="19">
        <v>10</v>
      </c>
      <c r="AB46" s="19">
        <v>15</v>
      </c>
      <c r="AC46" s="19">
        <v>0</v>
      </c>
      <c r="AD46" s="19">
        <v>0</v>
      </c>
      <c r="AE46" s="19">
        <v>16</v>
      </c>
      <c r="AF46" s="19">
        <v>27161</v>
      </c>
      <c r="AG46" s="19">
        <v>8</v>
      </c>
      <c r="AH46" s="19">
        <v>319</v>
      </c>
      <c r="AI46" s="19">
        <v>78</v>
      </c>
      <c r="AJ46" s="19">
        <v>0</v>
      </c>
      <c r="AK46" s="20">
        <v>9817</v>
      </c>
      <c r="AL46" s="5">
        <v>0</v>
      </c>
      <c r="AM46" s="21">
        <f t="shared" si="50"/>
        <v>2467416</v>
      </c>
      <c r="AN46" s="19">
        <f t="shared" si="51"/>
        <v>216368</v>
      </c>
      <c r="AO46" s="19">
        <f t="shared" si="52"/>
        <v>653493.6599999999</v>
      </c>
      <c r="AP46" s="19">
        <f t="shared" si="53"/>
        <v>9087300</v>
      </c>
      <c r="AQ46" s="19">
        <f t="shared" si="54"/>
        <v>1220253.0999999999</v>
      </c>
      <c r="AR46" s="19"/>
      <c r="AS46" s="19">
        <f t="shared" si="55"/>
        <v>14347129.76</v>
      </c>
      <c r="AT46" s="21">
        <f t="shared" si="56"/>
        <v>21027723.26630559</v>
      </c>
      <c r="AU46" s="5">
        <v>54.203055502867514</v>
      </c>
      <c r="AV46" s="5">
        <v>702299</v>
      </c>
      <c r="AX46" s="5" t="str">
        <f t="shared" si="25"/>
        <v>Hvidovre Spildevand A/S</v>
      </c>
      <c r="AY46" s="5">
        <f t="shared" si="26"/>
        <v>0</v>
      </c>
      <c r="AZ46" s="5">
        <f t="shared" si="27"/>
        <v>18.083155763523738</v>
      </c>
      <c r="BA46" s="5">
        <f t="shared" si="28"/>
        <v>1.5857140612860192</v>
      </c>
      <c r="BB46" s="5">
        <f t="shared" si="29"/>
        <v>4.78931304824773</v>
      </c>
      <c r="BC46" s="5">
        <f t="shared" si="30"/>
        <v>66.59884728390725</v>
      </c>
      <c r="BD46" s="5">
        <f t="shared" si="31"/>
        <v>8.942969843035268</v>
      </c>
      <c r="BF46" s="5">
        <f t="shared" si="40"/>
        <v>77.12753118822853</v>
      </c>
      <c r="BH46" s="5">
        <f t="shared" si="32"/>
        <v>48.641283345293196</v>
      </c>
      <c r="BI46" s="5">
        <f t="shared" si="33"/>
        <v>-1.5726680619472901</v>
      </c>
      <c r="BJ46" s="5">
        <f t="shared" si="34"/>
        <v>0.5256446239449639</v>
      </c>
      <c r="BK46" s="5">
        <f t="shared" si="35"/>
        <v>-3.9581656931571314</v>
      </c>
      <c r="BL46" s="5">
        <f t="shared" si="36"/>
        <v>-41.863525715202805</v>
      </c>
      <c r="BM46" s="5">
        <f t="shared" si="37"/>
        <v>-1.772568498930947</v>
      </c>
      <c r="BO46" s="5">
        <f t="shared" si="38"/>
        <v>-45.22180827541977</v>
      </c>
      <c r="BP46" s="5">
        <f t="shared" si="39"/>
        <v>-5.21638521449538</v>
      </c>
    </row>
    <row r="47" spans="1:68" ht="15">
      <c r="A47" s="4" t="s">
        <v>43</v>
      </c>
      <c r="B47" s="5">
        <v>21087917</v>
      </c>
      <c r="C47" s="5">
        <f t="shared" si="17"/>
        <v>21193356.584999997</v>
      </c>
      <c r="D47" s="5">
        <v>19248394.7805618</v>
      </c>
      <c r="E47" s="5">
        <v>8824599.822701583</v>
      </c>
      <c r="F47" s="5" t="str">
        <f t="shared" si="18"/>
        <v>ingen</v>
      </c>
      <c r="G47" s="5">
        <f t="shared" si="19"/>
        <v>19248394.7805618</v>
      </c>
      <c r="H47" s="5">
        <f t="shared" si="20"/>
        <v>14625443.267854782</v>
      </c>
      <c r="I47" s="5">
        <f>AT47</f>
        <v>20113608.392802075</v>
      </c>
      <c r="J47" s="5">
        <f t="shared" si="22"/>
        <v>20399961.70202332</v>
      </c>
      <c r="K47" s="5">
        <f t="shared" si="23"/>
        <v>25888126.826970614</v>
      </c>
      <c r="L47" s="5">
        <f>'Potentialer og krav'!R26</f>
        <v>962419.7390280901</v>
      </c>
      <c r="M47" s="5">
        <f t="shared" si="41"/>
        <v>105439.585</v>
      </c>
      <c r="N47" s="5">
        <f t="shared" si="42"/>
        <v>487447.2014549999</v>
      </c>
      <c r="O47" s="5">
        <f t="shared" si="43"/>
        <v>10423794.957860218</v>
      </c>
      <c r="P47" s="5">
        <f t="shared" si="44"/>
        <v>442713.0799529214</v>
      </c>
      <c r="Q47" s="5">
        <f t="shared" si="45"/>
        <v>19691107.86051472</v>
      </c>
      <c r="R47" s="5">
        <f t="shared" si="46"/>
        <v>21680803.786454994</v>
      </c>
      <c r="S47" s="5">
        <f t="shared" si="47"/>
        <v>442713.0799529214</v>
      </c>
      <c r="T47" s="5">
        <f t="shared" si="48"/>
        <v>19691107.86051472</v>
      </c>
      <c r="U47" s="20">
        <f t="shared" si="24"/>
        <v>1989695.9259402752</v>
      </c>
      <c r="V47" s="20" t="str">
        <f t="shared" si="49"/>
        <v>ingen</v>
      </c>
      <c r="X47" s="19" t="s">
        <v>43</v>
      </c>
      <c r="Y47" s="19">
        <v>21</v>
      </c>
      <c r="Z47" s="19">
        <v>62</v>
      </c>
      <c r="AA47" s="19">
        <v>16</v>
      </c>
      <c r="AB47" s="19">
        <v>0</v>
      </c>
      <c r="AC47" s="19">
        <v>0</v>
      </c>
      <c r="AD47" s="19">
        <v>0</v>
      </c>
      <c r="AE47" s="19">
        <v>4</v>
      </c>
      <c r="AF47" s="19">
        <v>16367</v>
      </c>
      <c r="AG47" s="19">
        <v>15</v>
      </c>
      <c r="AH47" s="19">
        <v>182</v>
      </c>
      <c r="AI47" s="19">
        <v>19</v>
      </c>
      <c r="AJ47" s="19">
        <v>0</v>
      </c>
      <c r="AK47" s="20">
        <v>7110</v>
      </c>
      <c r="AL47" s="5">
        <v>8105579.247854782</v>
      </c>
      <c r="AM47" s="21">
        <f t="shared" si="50"/>
        <v>2331579</v>
      </c>
      <c r="AN47" s="19">
        <f t="shared" si="51"/>
        <v>54092</v>
      </c>
      <c r="AO47" s="19">
        <f t="shared" si="52"/>
        <v>393790.01999999996</v>
      </c>
      <c r="AP47" s="19">
        <f t="shared" si="53"/>
        <v>2856630</v>
      </c>
      <c r="AQ47" s="19">
        <f t="shared" si="54"/>
        <v>883773</v>
      </c>
      <c r="AR47" s="19"/>
      <c r="AS47" s="19">
        <f t="shared" si="55"/>
        <v>14625443.267854782</v>
      </c>
      <c r="AT47" s="21">
        <f t="shared" si="56"/>
        <v>20113608.392802075</v>
      </c>
      <c r="AU47" s="5">
        <v>47.24982926847401</v>
      </c>
      <c r="AX47" s="5" t="str">
        <f t="shared" si="25"/>
        <v>Hørsholm Vand ApS</v>
      </c>
      <c r="AY47" s="5">
        <f t="shared" si="26"/>
        <v>55.42108433506429</v>
      </c>
      <c r="AZ47" s="5">
        <f t="shared" si="27"/>
        <v>15.941937330026573</v>
      </c>
      <c r="BA47" s="5">
        <f t="shared" si="28"/>
        <v>0.36984861935014746</v>
      </c>
      <c r="BB47" s="5">
        <f t="shared" si="29"/>
        <v>2.69249972659297</v>
      </c>
      <c r="BC47" s="5">
        <f t="shared" si="30"/>
        <v>19.5319208292208</v>
      </c>
      <c r="BD47" s="5">
        <f t="shared" si="31"/>
        <v>6.042709159745209</v>
      </c>
      <c r="BF47" s="5">
        <f t="shared" si="40"/>
        <v>25.94447860831616</v>
      </c>
      <c r="BH47" s="5">
        <f t="shared" si="32"/>
        <v>-6.779800989771097</v>
      </c>
      <c r="BI47" s="5">
        <f t="shared" si="33"/>
        <v>0.5685503715498754</v>
      </c>
      <c r="BJ47" s="5">
        <f t="shared" si="34"/>
        <v>1.7415100658808358</v>
      </c>
      <c r="BK47" s="5">
        <f t="shared" si="35"/>
        <v>-1.8613523715023712</v>
      </c>
      <c r="BL47" s="5">
        <f t="shared" si="36"/>
        <v>5.203400739483641</v>
      </c>
      <c r="BM47" s="5">
        <f t="shared" si="37"/>
        <v>1.1276921843591117</v>
      </c>
      <c r="BO47" s="5">
        <f t="shared" si="38"/>
        <v>5.9612443044926025</v>
      </c>
      <c r="BP47" s="5">
        <f t="shared" si="39"/>
        <v>0</v>
      </c>
    </row>
    <row r="48" spans="1:68" ht="15">
      <c r="A48" s="4" t="s">
        <v>44</v>
      </c>
      <c r="B48" s="5">
        <v>24931940</v>
      </c>
      <c r="C48" s="5">
        <f t="shared" si="17"/>
        <v>25056599.699999996</v>
      </c>
      <c r="D48" s="5">
        <v>31149259.568462003</v>
      </c>
      <c r="E48" s="5">
        <v>14248727.033727743</v>
      </c>
      <c r="F48" s="5">
        <f t="shared" si="18"/>
        <v>6092659.8684620075</v>
      </c>
      <c r="G48" s="5">
        <f t="shared" si="19"/>
        <v>25056599.699999996</v>
      </c>
      <c r="H48" s="5">
        <f t="shared" si="20"/>
        <v>26129261.927389253</v>
      </c>
      <c r="I48" s="5">
        <f t="shared" si="21"/>
        <v>30505560.415343158</v>
      </c>
      <c r="J48" s="5">
        <f t="shared" si="22"/>
        <v>33646241.83738925</v>
      </c>
      <c r="K48" s="5">
        <f t="shared" si="23"/>
        <v>38022540.325343154</v>
      </c>
      <c r="L48" s="5" t="e">
        <f>'Potentialer og krav'!#REF!</f>
        <v>#REF!</v>
      </c>
      <c r="M48" s="5">
        <f t="shared" si="41"/>
        <v>124659.7</v>
      </c>
      <c r="N48" s="5">
        <f t="shared" si="42"/>
        <v>576301.7930999999</v>
      </c>
      <c r="O48" s="5">
        <f t="shared" si="43"/>
        <v>16900532.53473426</v>
      </c>
      <c r="P48" s="5">
        <f t="shared" si="44"/>
        <v>576301.7930999999</v>
      </c>
      <c r="Q48" s="5">
        <f t="shared" si="45"/>
        <v>25632901.493099995</v>
      </c>
      <c r="R48" s="5">
        <f t="shared" si="46"/>
        <v>25632901.493099995</v>
      </c>
      <c r="S48" s="5">
        <f t="shared" si="47"/>
        <v>716432.970074626</v>
      </c>
      <c r="T48" s="5">
        <f t="shared" si="48"/>
        <v>31865692.538536627</v>
      </c>
      <c r="U48" s="20">
        <f t="shared" si="24"/>
        <v>-6232791.045436632</v>
      </c>
      <c r="V48" s="20" t="str">
        <f t="shared" si="49"/>
        <v>tal til venstre</v>
      </c>
      <c r="X48" s="19" t="s">
        <v>44</v>
      </c>
      <c r="Y48" s="19">
        <v>23</v>
      </c>
      <c r="Z48" s="19">
        <v>136</v>
      </c>
      <c r="AA48" s="19">
        <v>7</v>
      </c>
      <c r="AB48" s="19"/>
      <c r="AC48" s="19"/>
      <c r="AD48" s="19"/>
      <c r="AE48" s="19">
        <v>42</v>
      </c>
      <c r="AF48" s="19">
        <v>12602</v>
      </c>
      <c r="AG48" s="19">
        <v>175</v>
      </c>
      <c r="AH48" s="19">
        <v>539</v>
      </c>
      <c r="AI48" s="19">
        <v>13</v>
      </c>
      <c r="AJ48" s="19">
        <v>0</v>
      </c>
      <c r="AK48" s="20">
        <v>15000</v>
      </c>
      <c r="AL48" s="5">
        <v>15236741.80738925</v>
      </c>
      <c r="AM48" s="21">
        <f t="shared" si="50"/>
        <v>3028240</v>
      </c>
      <c r="AN48" s="19">
        <f t="shared" si="51"/>
        <v>567966</v>
      </c>
      <c r="AO48" s="19">
        <f t="shared" si="52"/>
        <v>303204.12</v>
      </c>
      <c r="AP48" s="19">
        <f t="shared" si="53"/>
        <v>5128610</v>
      </c>
      <c r="AQ48" s="19">
        <f t="shared" si="54"/>
        <v>1864500</v>
      </c>
      <c r="AR48" s="19"/>
      <c r="AS48" s="19">
        <f t="shared" si="55"/>
        <v>26129261.927389253</v>
      </c>
      <c r="AT48" s="21">
        <f t="shared" si="56"/>
        <v>30505560.415343158</v>
      </c>
      <c r="AU48" s="5">
        <v>31.26819189598832</v>
      </c>
      <c r="AX48" s="5" t="str">
        <f t="shared" si="25"/>
        <v>Ikast-Brande Spildevand A/S</v>
      </c>
      <c r="AY48" s="5">
        <f t="shared" si="26"/>
        <v>58.31294373997519</v>
      </c>
      <c r="AZ48" s="5">
        <f t="shared" si="27"/>
        <v>11.589458624645397</v>
      </c>
      <c r="BA48" s="5">
        <f t="shared" si="28"/>
        <v>2.1736779308130623</v>
      </c>
      <c r="BB48" s="5">
        <f t="shared" si="29"/>
        <v>1.1604006299243184</v>
      </c>
      <c r="BC48" s="5">
        <f t="shared" si="30"/>
        <v>19.627841055181435</v>
      </c>
      <c r="BD48" s="5">
        <f t="shared" si="31"/>
        <v>7.135678019460593</v>
      </c>
      <c r="BF48" s="5">
        <f t="shared" si="40"/>
        <v>28.93719700545509</v>
      </c>
      <c r="BH48" s="5">
        <f t="shared" si="32"/>
        <v>-9.671660394681993</v>
      </c>
      <c r="BI48" s="5">
        <f t="shared" si="33"/>
        <v>4.921029076931051</v>
      </c>
      <c r="BJ48" s="5">
        <f t="shared" si="34"/>
        <v>-0.06231924558207913</v>
      </c>
      <c r="BK48" s="5">
        <f t="shared" si="35"/>
        <v>-0.3292532748337197</v>
      </c>
      <c r="BL48" s="5">
        <f t="shared" si="36"/>
        <v>5.107480513523008</v>
      </c>
      <c r="BM48" s="5">
        <f t="shared" si="37"/>
        <v>0.034723324643728404</v>
      </c>
      <c r="BO48" s="5">
        <f t="shared" si="38"/>
        <v>2.9685259073536727</v>
      </c>
      <c r="BP48" s="5">
        <f t="shared" si="39"/>
        <v>0</v>
      </c>
    </row>
    <row r="49" spans="1:68" ht="15">
      <c r="A49" s="4" t="s">
        <v>45</v>
      </c>
      <c r="B49" s="5">
        <v>8734111</v>
      </c>
      <c r="C49" s="5">
        <f t="shared" si="17"/>
        <v>8777781.555</v>
      </c>
      <c r="D49" s="5">
        <v>9069573.116352001</v>
      </c>
      <c r="E49" s="5">
        <v>5473988.204682224</v>
      </c>
      <c r="F49" s="5">
        <f t="shared" si="18"/>
        <v>291791.5613520015</v>
      </c>
      <c r="G49" s="5">
        <f t="shared" si="19"/>
        <v>8777781.555</v>
      </c>
      <c r="H49" s="5">
        <f t="shared" si="20"/>
        <v>5981073.2</v>
      </c>
      <c r="I49" s="5">
        <f t="shared" si="21"/>
        <v>7322156.970097499</v>
      </c>
      <c r="J49" s="5">
        <f t="shared" si="22"/>
        <v>8614407.6665</v>
      </c>
      <c r="K49" s="5">
        <f t="shared" si="23"/>
        <v>9955491.436597498</v>
      </c>
      <c r="L49" s="5" t="e">
        <f>'Potentialer og krav'!#REF!</f>
        <v>#REF!</v>
      </c>
      <c r="M49" s="5">
        <f t="shared" si="41"/>
        <v>43670.555</v>
      </c>
      <c r="N49" s="5">
        <f t="shared" si="42"/>
        <v>201888.97576499998</v>
      </c>
      <c r="O49" s="5">
        <f t="shared" si="43"/>
        <v>3595584.911669777</v>
      </c>
      <c r="P49" s="5">
        <f t="shared" si="44"/>
        <v>201888.97576499998</v>
      </c>
      <c r="Q49" s="5">
        <f t="shared" si="45"/>
        <v>8979670.530764999</v>
      </c>
      <c r="R49" s="5">
        <f t="shared" si="46"/>
        <v>8979670.530764999</v>
      </c>
      <c r="S49" s="5">
        <f t="shared" si="47"/>
        <v>208600.18167609602</v>
      </c>
      <c r="T49" s="5">
        <f t="shared" si="48"/>
        <v>9278173.298028097</v>
      </c>
      <c r="U49" s="20">
        <f t="shared" si="24"/>
        <v>-298502.7672630977</v>
      </c>
      <c r="V49" s="20" t="str">
        <f t="shared" si="49"/>
        <v>tal til venstre</v>
      </c>
      <c r="X49" s="19" t="s">
        <v>45</v>
      </c>
      <c r="Y49" s="19">
        <v>50</v>
      </c>
      <c r="Z49" s="19">
        <v>61</v>
      </c>
      <c r="AA49" s="19">
        <v>0</v>
      </c>
      <c r="AB49" s="19">
        <v>4</v>
      </c>
      <c r="AC49" s="19">
        <v>0</v>
      </c>
      <c r="AD49" s="19">
        <v>0</v>
      </c>
      <c r="AE49" s="19">
        <v>13</v>
      </c>
      <c r="AF49" s="19">
        <v>0</v>
      </c>
      <c r="AG49" s="19">
        <v>55</v>
      </c>
      <c r="AH49" s="19">
        <v>96</v>
      </c>
      <c r="AI49" s="19">
        <v>25</v>
      </c>
      <c r="AJ49" s="19">
        <v>0</v>
      </c>
      <c r="AK49" s="20">
        <v>3744</v>
      </c>
      <c r="AL49" s="5">
        <v>0</v>
      </c>
      <c r="AM49" s="21">
        <f t="shared" si="50"/>
        <v>1733290</v>
      </c>
      <c r="AN49" s="19">
        <f t="shared" si="51"/>
        <v>175799</v>
      </c>
      <c r="AO49" s="19">
        <f t="shared" si="52"/>
        <v>0</v>
      </c>
      <c r="AP49" s="19">
        <f t="shared" si="53"/>
        <v>3165730</v>
      </c>
      <c r="AQ49" s="19">
        <f t="shared" si="54"/>
        <v>465379.2</v>
      </c>
      <c r="AR49" s="19"/>
      <c r="AS49" s="19">
        <f t="shared" si="55"/>
        <v>5981073.2</v>
      </c>
      <c r="AT49" s="21">
        <f t="shared" si="56"/>
        <v>7322156.970097499</v>
      </c>
      <c r="AU49" s="5">
        <v>35.632404628776435</v>
      </c>
      <c r="AV49" s="5">
        <v>440875</v>
      </c>
      <c r="AX49" s="5" t="str">
        <f t="shared" si="25"/>
        <v>Ishøj Spildevand A/S</v>
      </c>
      <c r="AY49" s="5">
        <f t="shared" si="26"/>
        <v>0</v>
      </c>
      <c r="AZ49" s="5">
        <f t="shared" si="27"/>
        <v>31.28570382193186</v>
      </c>
      <c r="BA49" s="5">
        <f t="shared" si="28"/>
        <v>3.1731536247205017</v>
      </c>
      <c r="BB49" s="5">
        <f t="shared" si="29"/>
        <v>0</v>
      </c>
      <c r="BC49" s="5">
        <f t="shared" si="30"/>
        <v>57.14109650445357</v>
      </c>
      <c r="BD49" s="5">
        <f t="shared" si="31"/>
        <v>8.400046048894062</v>
      </c>
      <c r="BF49" s="5">
        <f t="shared" si="40"/>
        <v>68.71429617806814</v>
      </c>
      <c r="BH49" s="5">
        <f t="shared" si="32"/>
        <v>48.641283345293196</v>
      </c>
      <c r="BI49" s="5">
        <f t="shared" si="33"/>
        <v>-14.775216120355413</v>
      </c>
      <c r="BJ49" s="5">
        <f t="shared" si="34"/>
        <v>-1.0617949394895185</v>
      </c>
      <c r="BK49" s="5">
        <f t="shared" si="35"/>
        <v>0.8311473550905987</v>
      </c>
      <c r="BL49" s="5">
        <f t="shared" si="36"/>
        <v>-32.40577493574913</v>
      </c>
      <c r="BM49" s="5">
        <f t="shared" si="37"/>
        <v>-1.2296447047897408</v>
      </c>
      <c r="BO49" s="5">
        <f t="shared" si="38"/>
        <v>-36.808573265259376</v>
      </c>
      <c r="BP49" s="5">
        <f t="shared" si="39"/>
        <v>-3.293540352923223</v>
      </c>
    </row>
    <row r="50" spans="1:68" ht="15">
      <c r="A50" s="4" t="s">
        <v>46</v>
      </c>
      <c r="B50" s="5">
        <f>21252106-651100</f>
        <v>20601006</v>
      </c>
      <c r="C50" s="5">
        <f t="shared" si="17"/>
        <v>20704011.029999997</v>
      </c>
      <c r="D50" s="5">
        <v>22600890.862942</v>
      </c>
      <c r="E50" s="5">
        <v>5031618.929060485</v>
      </c>
      <c r="F50" s="5">
        <f t="shared" si="18"/>
        <v>1896879.8329420015</v>
      </c>
      <c r="G50" s="5">
        <f t="shared" si="19"/>
        <v>20704011.029999997</v>
      </c>
      <c r="H50" s="5">
        <f t="shared" si="20"/>
        <v>27163174.38683273</v>
      </c>
      <c r="I50" s="5">
        <f t="shared" si="21"/>
        <v>31250346.14583658</v>
      </c>
      <c r="J50" s="5">
        <f t="shared" si="22"/>
        <v>33374377.69583273</v>
      </c>
      <c r="K50" s="5">
        <f t="shared" si="23"/>
        <v>37461549.45483658</v>
      </c>
      <c r="L50" s="5" t="e">
        <f>'Potentialer og krav'!#REF!</f>
        <v>#REF!</v>
      </c>
      <c r="M50" s="5">
        <f t="shared" si="41"/>
        <v>103005.03</v>
      </c>
      <c r="N50" s="5">
        <f t="shared" si="42"/>
        <v>476192.2536899999</v>
      </c>
      <c r="O50" s="5">
        <f t="shared" si="43"/>
        <v>17569271.933881514</v>
      </c>
      <c r="P50" s="5">
        <f t="shared" si="44"/>
        <v>476192.2536899999</v>
      </c>
      <c r="Q50" s="5">
        <f t="shared" si="45"/>
        <v>21180203.283689994</v>
      </c>
      <c r="R50" s="5">
        <f t="shared" si="46"/>
        <v>21180203.283689994</v>
      </c>
      <c r="S50" s="5">
        <f t="shared" si="47"/>
        <v>519820.48984766594</v>
      </c>
      <c r="T50" s="5">
        <f t="shared" si="48"/>
        <v>23120711.352789663</v>
      </c>
      <c r="U50" s="20">
        <f t="shared" si="24"/>
        <v>-1940508.0690996684</v>
      </c>
      <c r="V50" s="20" t="str">
        <f t="shared" si="49"/>
        <v>tal til venstre</v>
      </c>
      <c r="X50" s="19" t="s">
        <v>46</v>
      </c>
      <c r="Y50" s="19">
        <v>51</v>
      </c>
      <c r="Z50" s="19">
        <v>289</v>
      </c>
      <c r="AA50" s="19">
        <v>0</v>
      </c>
      <c r="AB50" s="19">
        <v>0</v>
      </c>
      <c r="AC50" s="19">
        <v>0</v>
      </c>
      <c r="AD50" s="19">
        <v>0</v>
      </c>
      <c r="AE50" s="19">
        <v>22</v>
      </c>
      <c r="AF50" s="19">
        <v>8357</v>
      </c>
      <c r="AG50" s="19">
        <v>417</v>
      </c>
      <c r="AH50" s="19">
        <v>379</v>
      </c>
      <c r="AI50" s="19">
        <v>0</v>
      </c>
      <c r="AJ50" s="19">
        <v>0</v>
      </c>
      <c r="AK50" s="20">
        <v>18950</v>
      </c>
      <c r="AL50" s="5">
        <v>14502052.966832727</v>
      </c>
      <c r="AM50" s="21">
        <f t="shared" si="50"/>
        <v>5444981</v>
      </c>
      <c r="AN50" s="19">
        <f t="shared" si="51"/>
        <v>297506</v>
      </c>
      <c r="AO50" s="19">
        <f t="shared" si="52"/>
        <v>201069.41999999998</v>
      </c>
      <c r="AP50" s="19">
        <f t="shared" si="53"/>
        <v>4362080</v>
      </c>
      <c r="AQ50" s="19">
        <f t="shared" si="54"/>
        <v>2355485</v>
      </c>
      <c r="AR50" s="19"/>
      <c r="AS50" s="19">
        <f t="shared" si="55"/>
        <v>27163174.38683273</v>
      </c>
      <c r="AT50" s="21">
        <f t="shared" si="56"/>
        <v>31250346.14583658</v>
      </c>
      <c r="AU50" s="5">
        <v>29.959029447505035</v>
      </c>
      <c r="AX50" s="5" t="str">
        <f t="shared" si="25"/>
        <v>Jammerbugt Forsyning A/S</v>
      </c>
      <c r="AY50" s="5">
        <f t="shared" si="26"/>
        <v>53.3886531828274</v>
      </c>
      <c r="AZ50" s="5">
        <f t="shared" si="27"/>
        <v>20.045451693007717</v>
      </c>
      <c r="BA50" s="5">
        <f t="shared" si="28"/>
        <v>1.0952549056424539</v>
      </c>
      <c r="BB50" s="5">
        <f t="shared" si="29"/>
        <v>0.7402279907957584</v>
      </c>
      <c r="BC50" s="5">
        <f t="shared" si="30"/>
        <v>16.058800557988192</v>
      </c>
      <c r="BD50" s="5">
        <f t="shared" si="31"/>
        <v>8.671611669738477</v>
      </c>
      <c r="BF50" s="5">
        <f t="shared" si="40"/>
        <v>25.825667133369123</v>
      </c>
      <c r="BH50" s="5">
        <f t="shared" si="32"/>
        <v>-4.747369837534201</v>
      </c>
      <c r="BI50" s="5">
        <f t="shared" si="33"/>
        <v>-3.534963991431269</v>
      </c>
      <c r="BJ50" s="5">
        <f t="shared" si="34"/>
        <v>1.0161037795885293</v>
      </c>
      <c r="BK50" s="5">
        <f t="shared" si="35"/>
        <v>0.09091936429484027</v>
      </c>
      <c r="BL50" s="5">
        <f t="shared" si="36"/>
        <v>8.67652101071625</v>
      </c>
      <c r="BM50" s="5">
        <f t="shared" si="37"/>
        <v>-1.5012103256341556</v>
      </c>
      <c r="BO50" s="5">
        <f t="shared" si="38"/>
        <v>6.08005577943964</v>
      </c>
      <c r="BP50" s="5">
        <f t="shared" si="39"/>
        <v>0</v>
      </c>
    </row>
    <row r="51" spans="1:68" ht="15">
      <c r="A51" s="4" t="s">
        <v>47</v>
      </c>
      <c r="B51" s="5">
        <f>24072037+613896</f>
        <v>24685933</v>
      </c>
      <c r="C51" s="5">
        <f>B51*1.005</f>
        <v>24809362.665</v>
      </c>
      <c r="D51" s="5">
        <v>25413036.6073668</v>
      </c>
      <c r="E51" s="5">
        <v>9573932.061506778</v>
      </c>
      <c r="F51" s="5">
        <f t="shared" si="18"/>
        <v>603673.9423668012</v>
      </c>
      <c r="G51" s="5">
        <f t="shared" si="19"/>
        <v>24809362.665</v>
      </c>
      <c r="H51" s="5">
        <f t="shared" si="20"/>
        <v>25496792.754082415</v>
      </c>
      <c r="I51" s="5">
        <f t="shared" si="21"/>
        <v>29870289.92213815</v>
      </c>
      <c r="J51" s="5">
        <f t="shared" si="22"/>
        <v>32939601.553582415</v>
      </c>
      <c r="K51" s="5">
        <f t="shared" si="23"/>
        <v>37313098.72163815</v>
      </c>
      <c r="L51" s="5">
        <f>'Potentialer og krav'!R27</f>
        <v>905896.8028159374</v>
      </c>
      <c r="M51" s="5">
        <f t="shared" si="41"/>
        <v>123429.66500000001</v>
      </c>
      <c r="N51" s="5">
        <f t="shared" si="42"/>
        <v>570615.3412949999</v>
      </c>
      <c r="O51" s="5">
        <f t="shared" si="43"/>
        <v>15839104.545860022</v>
      </c>
      <c r="P51" s="5">
        <f t="shared" si="44"/>
        <v>570615.3412949999</v>
      </c>
      <c r="Q51" s="5">
        <f t="shared" si="45"/>
        <v>25379978.006294996</v>
      </c>
      <c r="R51" s="5">
        <f>1.023*C51</f>
        <v>25379978.006294996</v>
      </c>
      <c r="S51" s="5">
        <f t="shared" si="47"/>
        <v>584499.8419694364</v>
      </c>
      <c r="T51" s="5">
        <f>1.023*D51</f>
        <v>25997536.449336234</v>
      </c>
      <c r="U51" s="20">
        <f>R51-T51</f>
        <v>-617558.4430412389</v>
      </c>
      <c r="V51" s="20" t="str">
        <f t="shared" si="49"/>
        <v>tal til venstre</v>
      </c>
      <c r="X51" s="19" t="s">
        <v>47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1</v>
      </c>
      <c r="AE51" s="19">
        <v>0</v>
      </c>
      <c r="AF51" s="19">
        <v>0</v>
      </c>
      <c r="AG51" s="19">
        <v>9</v>
      </c>
      <c r="AH51" s="19">
        <v>2</v>
      </c>
      <c r="AI51" s="19">
        <v>0</v>
      </c>
      <c r="AJ51" s="19">
        <v>0</v>
      </c>
      <c r="AK51" s="20">
        <v>26169</v>
      </c>
      <c r="AL51" s="5">
        <v>20399168.054082416</v>
      </c>
      <c r="AM51" s="21">
        <f t="shared" si="50"/>
        <v>775973</v>
      </c>
      <c r="AN51" s="19">
        <f t="shared" si="51"/>
        <v>0</v>
      </c>
      <c r="AO51" s="19">
        <f t="shared" si="52"/>
        <v>0</v>
      </c>
      <c r="AP51" s="19">
        <f t="shared" si="53"/>
        <v>60280</v>
      </c>
      <c r="AQ51" s="19">
        <f t="shared" si="54"/>
        <v>3252806.6999999997</v>
      </c>
      <c r="AR51" s="19"/>
      <c r="AS51" s="19">
        <f t="shared" si="55"/>
        <v>25496792.754082415</v>
      </c>
      <c r="AT51" s="21">
        <f t="shared" si="56"/>
        <v>29870289.92213815</v>
      </c>
      <c r="AU51" s="5">
        <v>31.579328238346545</v>
      </c>
      <c r="AV51" s="5">
        <f>613825+464400*0.85</f>
        <v>1008565</v>
      </c>
      <c r="AX51" s="5" t="str">
        <f t="shared" si="25"/>
        <v>Kalundborg Renseanlæg A/S</v>
      </c>
      <c r="AY51" s="5">
        <f t="shared" si="26"/>
        <v>83.30193699167016</v>
      </c>
      <c r="AZ51" s="5">
        <f t="shared" si="27"/>
        <v>3.1687593230205815</v>
      </c>
      <c r="BA51" s="5">
        <f t="shared" si="28"/>
        <v>0</v>
      </c>
      <c r="BB51" s="5">
        <f t="shared" si="29"/>
        <v>0</v>
      </c>
      <c r="BC51" s="5">
        <f t="shared" si="30"/>
        <v>0.24615909573101205</v>
      </c>
      <c r="BD51" s="5">
        <f t="shared" si="31"/>
        <v>13.283144589578258</v>
      </c>
      <c r="BF51" s="5">
        <f t="shared" si="40"/>
        <v>13.529303685309271</v>
      </c>
      <c r="BH51" s="5">
        <f t="shared" si="32"/>
        <v>-34.660653646376964</v>
      </c>
      <c r="BI51" s="5">
        <f t="shared" si="33"/>
        <v>13.341728378555867</v>
      </c>
      <c r="BJ51" s="5">
        <f t="shared" si="34"/>
        <v>2.111358685230983</v>
      </c>
      <c r="BK51" s="5">
        <f t="shared" si="35"/>
        <v>0.8311473550905987</v>
      </c>
      <c r="BL51" s="5">
        <f t="shared" si="36"/>
        <v>24.48916247297343</v>
      </c>
      <c r="BM51" s="5">
        <f t="shared" si="37"/>
        <v>-6.112743245473937</v>
      </c>
      <c r="BO51" s="5">
        <f t="shared" si="38"/>
        <v>18.37641922749949</v>
      </c>
      <c r="BP51" s="5">
        <f t="shared" si="39"/>
        <v>0</v>
      </c>
    </row>
    <row r="52" spans="1:68" ht="15">
      <c r="A52" s="4" t="s">
        <v>48</v>
      </c>
      <c r="B52" s="5">
        <f>16393853+691925</f>
        <v>17085778</v>
      </c>
      <c r="C52" s="5">
        <f t="shared" si="17"/>
        <v>17171206.889999997</v>
      </c>
      <c r="D52" s="5">
        <v>20004680.498159003</v>
      </c>
      <c r="E52" s="5">
        <v>9852615.384548198</v>
      </c>
      <c r="F52" s="5">
        <f t="shared" si="18"/>
        <v>2833473.6081590056</v>
      </c>
      <c r="G52" s="5">
        <f t="shared" si="19"/>
        <v>17171206.889999997</v>
      </c>
      <c r="H52" s="5">
        <f t="shared" si="20"/>
        <v>15695716.28</v>
      </c>
      <c r="I52" s="5">
        <f t="shared" si="21"/>
        <v>18211470.406840414</v>
      </c>
      <c r="J52" s="5">
        <f t="shared" si="22"/>
        <v>20847078.347</v>
      </c>
      <c r="K52" s="5">
        <f t="shared" si="23"/>
        <v>23362832.47384041</v>
      </c>
      <c r="L52" s="5" t="e">
        <f>'Potentialer og krav'!#REF!</f>
        <v>#REF!</v>
      </c>
      <c r="M52" s="5">
        <f t="shared" si="41"/>
        <v>85428.89</v>
      </c>
      <c r="N52" s="5">
        <f t="shared" si="42"/>
        <v>394937.75846999994</v>
      </c>
      <c r="O52" s="5">
        <f t="shared" si="43"/>
        <v>10152065.113610804</v>
      </c>
      <c r="P52" s="5">
        <f t="shared" si="44"/>
        <v>394937.75846999994</v>
      </c>
      <c r="Q52" s="5">
        <f t="shared" si="45"/>
        <v>17566144.648469996</v>
      </c>
      <c r="R52" s="5">
        <f t="shared" si="46"/>
        <v>17566144.648469996</v>
      </c>
      <c r="S52" s="5">
        <f t="shared" si="47"/>
        <v>460107.65145765705</v>
      </c>
      <c r="T52" s="5">
        <f t="shared" si="48"/>
        <v>20464788.14961666</v>
      </c>
      <c r="U52" s="20">
        <f t="shared" si="24"/>
        <v>-2898643.501146663</v>
      </c>
      <c r="V52" s="20" t="str">
        <f t="shared" si="49"/>
        <v>tal til venstre</v>
      </c>
      <c r="X52" s="19" t="s">
        <v>48</v>
      </c>
      <c r="Y52" s="19">
        <v>60</v>
      </c>
      <c r="Z52" s="19">
        <v>295</v>
      </c>
      <c r="AA52" s="19">
        <v>40</v>
      </c>
      <c r="AB52" s="19">
        <v>0</v>
      </c>
      <c r="AC52" s="19">
        <v>0</v>
      </c>
      <c r="AD52" s="19">
        <v>0</v>
      </c>
      <c r="AE52" s="19">
        <v>102</v>
      </c>
      <c r="AF52" s="19">
        <v>303</v>
      </c>
      <c r="AG52" s="19">
        <v>288</v>
      </c>
      <c r="AH52" s="19">
        <v>456</v>
      </c>
      <c r="AI52" s="19">
        <v>0</v>
      </c>
      <c r="AJ52" s="19">
        <v>0</v>
      </c>
      <c r="AK52" s="20">
        <v>15307</v>
      </c>
      <c r="AL52" s="5">
        <v>0</v>
      </c>
      <c r="AM52" s="21">
        <f t="shared" si="50"/>
        <v>8329300</v>
      </c>
      <c r="AN52" s="19">
        <f t="shared" si="51"/>
        <v>1379346</v>
      </c>
      <c r="AO52" s="19">
        <f t="shared" si="52"/>
        <v>7290.179999999999</v>
      </c>
      <c r="AP52" s="19">
        <f t="shared" si="53"/>
        <v>4077120.0000000005</v>
      </c>
      <c r="AQ52" s="19">
        <f t="shared" si="54"/>
        <v>1902660.0999999999</v>
      </c>
      <c r="AR52" s="19"/>
      <c r="AS52" s="19">
        <f t="shared" si="55"/>
        <v>15695716.28</v>
      </c>
      <c r="AT52" s="21">
        <f t="shared" si="56"/>
        <v>18211470.406840414</v>
      </c>
      <c r="AU52" s="5">
        <v>30.714065329189275</v>
      </c>
      <c r="AX52" s="5" t="str">
        <f t="shared" si="25"/>
        <v>Kalundborg Spildevandsanlæg A/S</v>
      </c>
      <c r="AY52" s="5">
        <f t="shared" si="26"/>
        <v>0</v>
      </c>
      <c r="AZ52" s="5">
        <f t="shared" si="27"/>
        <v>53.06734558277834</v>
      </c>
      <c r="BA52" s="5">
        <f t="shared" si="28"/>
        <v>8.788041115126477</v>
      </c>
      <c r="BB52" s="5">
        <f t="shared" si="29"/>
        <v>0.046446940489676077</v>
      </c>
      <c r="BC52" s="5">
        <f t="shared" si="30"/>
        <v>25.97600470897401</v>
      </c>
      <c r="BD52" s="5">
        <f t="shared" si="31"/>
        <v>12.122161652631505</v>
      </c>
      <c r="BF52" s="5">
        <f t="shared" si="40"/>
        <v>46.88620747673199</v>
      </c>
      <c r="BH52" s="5">
        <f t="shared" si="32"/>
        <v>48.641283345293196</v>
      </c>
      <c r="BI52" s="5">
        <f t="shared" si="33"/>
        <v>-36.55685788120189</v>
      </c>
      <c r="BJ52" s="5">
        <f t="shared" si="34"/>
        <v>-6.676682429895494</v>
      </c>
      <c r="BK52" s="5">
        <f t="shared" si="35"/>
        <v>0.7847004146009225</v>
      </c>
      <c r="BL52" s="5">
        <f t="shared" si="36"/>
        <v>-1.2406831402695673</v>
      </c>
      <c r="BM52" s="5">
        <f t="shared" si="37"/>
        <v>-4.9517603085271835</v>
      </c>
      <c r="BO52" s="5">
        <f t="shared" si="38"/>
        <v>-14.980484563923227</v>
      </c>
      <c r="BP52" s="5">
        <f t="shared" si="39"/>
        <v>0</v>
      </c>
    </row>
    <row r="53" spans="1:68" ht="15">
      <c r="A53" s="4" t="s">
        <v>49</v>
      </c>
      <c r="B53" s="5">
        <v>101685019</v>
      </c>
      <c r="C53" s="5">
        <f t="shared" si="17"/>
        <v>102193444.09499998</v>
      </c>
      <c r="D53" s="5">
        <v>146526431.3576616</v>
      </c>
      <c r="E53" s="5">
        <v>61028258.66046605</v>
      </c>
      <c r="F53" s="5">
        <f t="shared" si="18"/>
        <v>44332987.26266162</v>
      </c>
      <c r="G53" s="5">
        <f t="shared" si="19"/>
        <v>102193444.09499998</v>
      </c>
      <c r="H53" s="5">
        <f t="shared" si="20"/>
        <v>101822782.84000002</v>
      </c>
      <c r="I53" s="5">
        <f t="shared" si="21"/>
        <v>165097762.97249195</v>
      </c>
      <c r="J53" s="5">
        <f t="shared" si="22"/>
        <v>132480816.06850001</v>
      </c>
      <c r="K53" s="5">
        <f t="shared" si="23"/>
        <v>195755796.20099193</v>
      </c>
      <c r="L53" s="5" t="e">
        <f>'Potentialer og krav'!#REF!</f>
        <v>#REF!</v>
      </c>
      <c r="M53" s="5">
        <f t="shared" si="41"/>
        <v>508425.09500000003</v>
      </c>
      <c r="N53" s="5">
        <f t="shared" si="42"/>
        <v>2350449.2141849995</v>
      </c>
      <c r="O53" s="5">
        <f t="shared" si="43"/>
        <v>85498172.69719556</v>
      </c>
      <c r="P53" s="5">
        <f t="shared" si="44"/>
        <v>2350449.2141849995</v>
      </c>
      <c r="Q53" s="5">
        <f t="shared" si="45"/>
        <v>104543893.30918497</v>
      </c>
      <c r="R53" s="5">
        <f t="shared" si="46"/>
        <v>104543893.30918497</v>
      </c>
      <c r="S53" s="5">
        <f t="shared" si="47"/>
        <v>3370107.921226217</v>
      </c>
      <c r="T53" s="5">
        <f t="shared" si="48"/>
        <v>149896539.2788878</v>
      </c>
      <c r="U53" s="20">
        <f t="shared" si="24"/>
        <v>-45352645.96970284</v>
      </c>
      <c r="V53" s="20" t="str">
        <f t="shared" si="49"/>
        <v>tal til venstre</v>
      </c>
      <c r="X53" s="19" t="s">
        <v>49</v>
      </c>
      <c r="Y53" s="19">
        <v>13</v>
      </c>
      <c r="Z53" s="19">
        <v>102</v>
      </c>
      <c r="AA53" s="19">
        <v>62</v>
      </c>
      <c r="AB53" s="19">
        <v>11</v>
      </c>
      <c r="AC53" s="19">
        <v>0</v>
      </c>
      <c r="AD53" s="19">
        <v>16</v>
      </c>
      <c r="AE53" s="19">
        <v>0</v>
      </c>
      <c r="AF53" s="19">
        <v>132469</v>
      </c>
      <c r="AG53" s="19">
        <v>13.9</v>
      </c>
      <c r="AH53" s="19">
        <v>594.145</v>
      </c>
      <c r="AI53" s="19">
        <v>440.872</v>
      </c>
      <c r="AJ53" s="19">
        <v>265.058</v>
      </c>
      <c r="AK53" s="20">
        <v>34904</v>
      </c>
      <c r="AL53" s="5">
        <v>0</v>
      </c>
      <c r="AM53" s="21">
        <f t="shared" si="50"/>
        <v>19239292</v>
      </c>
      <c r="AN53" s="19">
        <f t="shared" si="51"/>
        <v>0</v>
      </c>
      <c r="AO53" s="19">
        <f t="shared" si="52"/>
        <v>3187204.1399999997</v>
      </c>
      <c r="AP53" s="19">
        <f t="shared" si="53"/>
        <v>69357719.50000001</v>
      </c>
      <c r="AQ53" s="19">
        <f t="shared" si="54"/>
        <v>4338567.2</v>
      </c>
      <c r="AR53" s="19">
        <v>5700000</v>
      </c>
      <c r="AS53" s="19">
        <f>SUM(AL53:AR53)+AV53</f>
        <v>101822782.84000002</v>
      </c>
      <c r="AT53" s="21">
        <f t="shared" si="56"/>
        <v>165097762.97249195</v>
      </c>
      <c r="AU53" s="5">
        <v>66.18635511594955</v>
      </c>
      <c r="AX53" s="5" t="str">
        <f t="shared" si="25"/>
        <v>KE Afløb A/S</v>
      </c>
      <c r="AY53" s="5">
        <f t="shared" si="26"/>
        <v>0</v>
      </c>
      <c r="AZ53" s="5">
        <f t="shared" si="27"/>
        <v>20.015329801702187</v>
      </c>
      <c r="BA53" s="5">
        <f t="shared" si="28"/>
        <v>0</v>
      </c>
      <c r="BB53" s="5">
        <f t="shared" si="29"/>
        <v>3.3157634910604084</v>
      </c>
      <c r="BC53" s="5">
        <f t="shared" si="30"/>
        <v>72.15533867288106</v>
      </c>
      <c r="BD53" s="5">
        <f t="shared" si="31"/>
        <v>4.513568034356338</v>
      </c>
      <c r="BF53" s="5">
        <f t="shared" si="40"/>
        <v>76.6689067072374</v>
      </c>
      <c r="BH53" s="5">
        <f t="shared" si="32"/>
        <v>48.641283345293196</v>
      </c>
      <c r="BI53" s="5">
        <f t="shared" si="33"/>
        <v>-3.504842100125739</v>
      </c>
      <c r="BJ53" s="5">
        <f t="shared" si="34"/>
        <v>2.111358685230983</v>
      </c>
      <c r="BK53" s="5">
        <f t="shared" si="35"/>
        <v>-2.4846161359698096</v>
      </c>
      <c r="BL53" s="5">
        <f t="shared" si="36"/>
        <v>-47.420017104176615</v>
      </c>
      <c r="BM53" s="5">
        <f t="shared" si="37"/>
        <v>2.6568333097479835</v>
      </c>
      <c r="BO53" s="5">
        <f t="shared" si="38"/>
        <v>-44.763183794428635</v>
      </c>
      <c r="BP53" s="5">
        <f t="shared" si="39"/>
        <v>-5.111566589364857</v>
      </c>
    </row>
    <row r="54" spans="1:68" ht="15">
      <c r="A54" s="4" t="s">
        <v>50</v>
      </c>
      <c r="B54" s="5">
        <v>13962592</v>
      </c>
      <c r="C54" s="5">
        <f t="shared" si="17"/>
        <v>14032404.959999999</v>
      </c>
      <c r="D54" s="5">
        <v>16360347.067868998</v>
      </c>
      <c r="E54" s="5">
        <v>6054964.449818316</v>
      </c>
      <c r="F54" s="5">
        <f t="shared" si="18"/>
        <v>2327942.1078689992</v>
      </c>
      <c r="G54" s="5">
        <f t="shared" si="19"/>
        <v>14032404.959999999</v>
      </c>
      <c r="H54" s="5">
        <f t="shared" si="20"/>
        <v>15938080.349456046</v>
      </c>
      <c r="I54" s="5">
        <f t="shared" si="21"/>
        <v>19211655.104135193</v>
      </c>
      <c r="J54" s="5">
        <f t="shared" si="22"/>
        <v>20147801.837456048</v>
      </c>
      <c r="K54" s="5">
        <f t="shared" si="23"/>
        <v>23421376.59213519</v>
      </c>
      <c r="L54" s="5" t="e">
        <f>'Potentialer og krav'!#REF!</f>
        <v>#REF!</v>
      </c>
      <c r="M54" s="5">
        <f t="shared" si="41"/>
        <v>69812.96</v>
      </c>
      <c r="N54" s="5">
        <f t="shared" si="42"/>
        <v>322745.31408</v>
      </c>
      <c r="O54" s="5">
        <f t="shared" si="43"/>
        <v>10305382.618050683</v>
      </c>
      <c r="P54" s="5">
        <f t="shared" si="44"/>
        <v>322745.31408</v>
      </c>
      <c r="Q54" s="5">
        <f t="shared" si="45"/>
        <v>14355150.274079997</v>
      </c>
      <c r="R54" s="5">
        <f t="shared" si="46"/>
        <v>14355150.274079997</v>
      </c>
      <c r="S54" s="5">
        <f t="shared" si="47"/>
        <v>376287.98256098694</v>
      </c>
      <c r="T54" s="5">
        <f t="shared" si="48"/>
        <v>16736635.050429983</v>
      </c>
      <c r="U54" s="20">
        <f t="shared" si="24"/>
        <v>-2381484.776349986</v>
      </c>
      <c r="V54" s="20" t="str">
        <f t="shared" si="49"/>
        <v>tal til venstre</v>
      </c>
      <c r="X54" s="19" t="s">
        <v>50</v>
      </c>
      <c r="Y54" s="19">
        <v>150</v>
      </c>
      <c r="Z54" s="19">
        <v>196</v>
      </c>
      <c r="AA54" s="19">
        <v>32</v>
      </c>
      <c r="AB54" s="19"/>
      <c r="AC54" s="19"/>
      <c r="AD54" s="19"/>
      <c r="AE54" s="19">
        <v>31</v>
      </c>
      <c r="AF54" s="19">
        <v>4284</v>
      </c>
      <c r="AG54" s="19">
        <v>146</v>
      </c>
      <c r="AH54" s="19">
        <v>323</v>
      </c>
      <c r="AI54" s="19"/>
      <c r="AJ54" s="19"/>
      <c r="AK54" s="20">
        <v>10226</v>
      </c>
      <c r="AL54" s="5">
        <v>4794156.509456046</v>
      </c>
      <c r="AM54" s="21">
        <f t="shared" si="50"/>
        <v>6780426</v>
      </c>
      <c r="AN54" s="19">
        <f t="shared" si="51"/>
        <v>419213</v>
      </c>
      <c r="AO54" s="19">
        <f t="shared" si="52"/>
        <v>103073.04</v>
      </c>
      <c r="AP54" s="19">
        <f t="shared" si="53"/>
        <v>2570120.0000000005</v>
      </c>
      <c r="AQ54" s="19">
        <f t="shared" si="54"/>
        <v>1271091.8</v>
      </c>
      <c r="AR54" s="19"/>
      <c r="AS54" s="19">
        <f t="shared" si="55"/>
        <v>15938080.349456046</v>
      </c>
      <c r="AT54" s="21">
        <f t="shared" si="56"/>
        <v>19211655.104135193</v>
      </c>
      <c r="AU54" s="5">
        <v>34.18409920866454</v>
      </c>
      <c r="AX54" s="5" t="str">
        <f t="shared" si="25"/>
        <v>Kerteminde Forsyning - Spildevand A/S</v>
      </c>
      <c r="AY54" s="5">
        <f t="shared" si="26"/>
        <v>30.07988668861032</v>
      </c>
      <c r="AZ54" s="5">
        <f t="shared" si="27"/>
        <v>42.542300272889584</v>
      </c>
      <c r="BA54" s="5">
        <f t="shared" si="28"/>
        <v>2.6302602999131413</v>
      </c>
      <c r="BB54" s="5">
        <f t="shared" si="29"/>
        <v>0.6467092506753349</v>
      </c>
      <c r="BC54" s="5">
        <f t="shared" si="30"/>
        <v>16.12565593627288</v>
      </c>
      <c r="BD54" s="5">
        <f t="shared" si="31"/>
        <v>7.975187551638747</v>
      </c>
      <c r="BF54" s="5">
        <f t="shared" si="40"/>
        <v>26.73110378782477</v>
      </c>
      <c r="BH54" s="5">
        <f t="shared" si="32"/>
        <v>18.561396656682877</v>
      </c>
      <c r="BI54" s="5">
        <f t="shared" si="33"/>
        <v>-26.031812571313136</v>
      </c>
      <c r="BJ54" s="5">
        <f t="shared" si="34"/>
        <v>-0.5189016146821581</v>
      </c>
      <c r="BK54" s="5">
        <f t="shared" si="35"/>
        <v>0.18443810441526376</v>
      </c>
      <c r="BL54" s="5">
        <f t="shared" si="36"/>
        <v>8.609665632431561</v>
      </c>
      <c r="BM54" s="5">
        <f t="shared" si="37"/>
        <v>-0.8047862075344261</v>
      </c>
      <c r="BO54" s="5">
        <f t="shared" si="38"/>
        <v>5.174619124983991</v>
      </c>
      <c r="BP54" s="5">
        <f t="shared" si="39"/>
        <v>0</v>
      </c>
    </row>
    <row r="55" spans="1:68" ht="15">
      <c r="A55" s="4" t="s">
        <v>51</v>
      </c>
      <c r="B55" s="5">
        <v>53978112</v>
      </c>
      <c r="C55" s="5">
        <f t="shared" si="17"/>
        <v>54248002.559999995</v>
      </c>
      <c r="D55" s="5">
        <v>67953386.2079464</v>
      </c>
      <c r="E55" s="5">
        <v>10933533.640513217</v>
      </c>
      <c r="F55" s="5">
        <f t="shared" si="18"/>
        <v>13705383.64794641</v>
      </c>
      <c r="G55" s="5">
        <f t="shared" si="19"/>
        <v>57019852.567433186</v>
      </c>
      <c r="H55" s="5">
        <f t="shared" si="20"/>
        <v>88156195.4305153</v>
      </c>
      <c r="I55" s="5">
        <f t="shared" si="21"/>
        <v>105731538.49027027</v>
      </c>
      <c r="J55" s="5">
        <f t="shared" si="22"/>
        <v>105262151.20074525</v>
      </c>
      <c r="K55" s="5">
        <f t="shared" si="23"/>
        <v>122837494.26050022</v>
      </c>
      <c r="L55" s="5" t="e">
        <f>'Potentialer og krav'!#REF!</f>
        <v>#REF!</v>
      </c>
      <c r="M55" s="5">
        <f t="shared" si="41"/>
        <v>269890.56</v>
      </c>
      <c r="N55" s="5">
        <f t="shared" si="42"/>
        <v>1247704.05888</v>
      </c>
      <c r="O55" s="5">
        <f t="shared" si="43"/>
        <v>57019852.567433186</v>
      </c>
      <c r="P55" s="5">
        <f t="shared" si="44"/>
        <v>1311456.6090509633</v>
      </c>
      <c r="Q55" s="5">
        <f t="shared" si="45"/>
        <v>58331309.176484145</v>
      </c>
      <c r="R55" s="5">
        <f t="shared" si="46"/>
        <v>55495706.61887999</v>
      </c>
      <c r="S55" s="5">
        <f t="shared" si="47"/>
        <v>1562927.8827827673</v>
      </c>
      <c r="T55" s="5">
        <f t="shared" si="48"/>
        <v>69516314.09072916</v>
      </c>
      <c r="U55" s="20">
        <f t="shared" si="24"/>
        <v>-14020607.471849173</v>
      </c>
      <c r="V55" s="20">
        <f t="shared" si="49"/>
        <v>-11185004.914245017</v>
      </c>
      <c r="X55" s="19" t="s">
        <v>51</v>
      </c>
      <c r="Y55" s="19">
        <v>492</v>
      </c>
      <c r="Z55" s="19">
        <v>367</v>
      </c>
      <c r="AA55" s="19">
        <v>18</v>
      </c>
      <c r="AB55" s="19">
        <v>9</v>
      </c>
      <c r="AC55" s="19">
        <v>0</v>
      </c>
      <c r="AD55" s="19">
        <v>0</v>
      </c>
      <c r="AE55" s="19">
        <v>126</v>
      </c>
      <c r="AF55" s="19">
        <v>30895</v>
      </c>
      <c r="AG55" s="19">
        <v>528</v>
      </c>
      <c r="AH55" s="19">
        <v>1083</v>
      </c>
      <c r="AI55" s="19">
        <v>60</v>
      </c>
      <c r="AJ55" s="19">
        <v>0</v>
      </c>
      <c r="AK55" s="20">
        <v>30135</v>
      </c>
      <c r="AL55" s="5">
        <v>55370104.230515294</v>
      </c>
      <c r="AM55" s="21">
        <f t="shared" si="50"/>
        <v>12152999</v>
      </c>
      <c r="AN55" s="19">
        <f t="shared" si="51"/>
        <v>1703898</v>
      </c>
      <c r="AO55" s="19">
        <f t="shared" si="52"/>
        <v>743333.7</v>
      </c>
      <c r="AP55" s="19">
        <f t="shared" si="53"/>
        <v>14440080</v>
      </c>
      <c r="AQ55" s="19">
        <f t="shared" si="54"/>
        <v>3745780.5</v>
      </c>
      <c r="AR55" s="19"/>
      <c r="AS55" s="19">
        <f t="shared" si="55"/>
        <v>88156195.4305153</v>
      </c>
      <c r="AT55" s="21">
        <f t="shared" si="56"/>
        <v>105731538.49027027</v>
      </c>
      <c r="AU55" s="5">
        <v>33.7204571769328</v>
      </c>
      <c r="AX55" s="5" t="str">
        <f t="shared" si="25"/>
        <v>Kolding Spildevand A/S</v>
      </c>
      <c r="AY55" s="5">
        <f t="shared" si="26"/>
        <v>62.80909011568904</v>
      </c>
      <c r="AZ55" s="5">
        <f t="shared" si="27"/>
        <v>13.785757133290751</v>
      </c>
      <c r="BA55" s="5">
        <f t="shared" si="28"/>
        <v>1.9328170773238647</v>
      </c>
      <c r="BB55" s="5">
        <f t="shared" si="29"/>
        <v>0.8432007488184938</v>
      </c>
      <c r="BC55" s="5">
        <f t="shared" si="30"/>
        <v>16.38010797707538</v>
      </c>
      <c r="BD55" s="5">
        <f t="shared" si="31"/>
        <v>4.249026947802465</v>
      </c>
      <c r="BF55" s="5">
        <f t="shared" si="40"/>
        <v>22.561952002201707</v>
      </c>
      <c r="BH55" s="5">
        <f t="shared" si="32"/>
        <v>-14.167806770395842</v>
      </c>
      <c r="BI55" s="5">
        <f t="shared" si="33"/>
        <v>2.724730568285697</v>
      </c>
      <c r="BJ55" s="5">
        <f t="shared" si="34"/>
        <v>0.17854160790711848</v>
      </c>
      <c r="BK55" s="5">
        <f t="shared" si="35"/>
        <v>-0.012053393727895156</v>
      </c>
      <c r="BL55" s="5">
        <f t="shared" si="36"/>
        <v>8.355213591629063</v>
      </c>
      <c r="BM55" s="5">
        <f t="shared" si="37"/>
        <v>2.9213743963018564</v>
      </c>
      <c r="BO55" s="5">
        <f t="shared" si="38"/>
        <v>9.343770910607056</v>
      </c>
      <c r="BP55" s="5">
        <f t="shared" si="39"/>
        <v>0</v>
      </c>
    </row>
    <row r="56" spans="1:68" ht="15">
      <c r="A56" s="4" t="s">
        <v>52</v>
      </c>
      <c r="B56" s="5">
        <v>39804681</v>
      </c>
      <c r="C56" s="5">
        <f t="shared" si="17"/>
        <v>40003704.404999994</v>
      </c>
      <c r="D56" s="5">
        <v>43409207.672929004</v>
      </c>
      <c r="E56" s="5">
        <v>24005355.75615582</v>
      </c>
      <c r="F56" s="5">
        <f t="shared" si="18"/>
        <v>3405503.26792901</v>
      </c>
      <c r="G56" s="5">
        <f t="shared" si="19"/>
        <v>40003704.404999994</v>
      </c>
      <c r="H56" s="5">
        <f t="shared" si="20"/>
        <v>29705041.64966191</v>
      </c>
      <c r="I56" s="5">
        <f t="shared" si="21"/>
        <v>36663238.52231082</v>
      </c>
      <c r="J56" s="5">
        <f t="shared" si="22"/>
        <v>41706152.97116191</v>
      </c>
      <c r="K56" s="5">
        <f t="shared" si="23"/>
        <v>48664349.84381082</v>
      </c>
      <c r="L56" s="5" t="e">
        <f>'Potentialer og krav'!#REF!</f>
        <v>#REF!</v>
      </c>
      <c r="M56" s="5">
        <f t="shared" si="41"/>
        <v>199023.405</v>
      </c>
      <c r="N56" s="5">
        <f t="shared" si="42"/>
        <v>920085.2013149998</v>
      </c>
      <c r="O56" s="5">
        <f t="shared" si="43"/>
        <v>19403851.916773185</v>
      </c>
      <c r="P56" s="5">
        <f t="shared" si="44"/>
        <v>920085.2013149998</v>
      </c>
      <c r="Q56" s="5">
        <f t="shared" si="45"/>
        <v>40923789.60631499</v>
      </c>
      <c r="R56" s="5">
        <f t="shared" si="46"/>
        <v>40923789.60631499</v>
      </c>
      <c r="S56" s="5">
        <f t="shared" si="47"/>
        <v>998411.776477367</v>
      </c>
      <c r="T56" s="5">
        <f t="shared" si="48"/>
        <v>44407619.44940637</v>
      </c>
      <c r="U56" s="20">
        <f t="shared" si="24"/>
        <v>-3483829.8430913836</v>
      </c>
      <c r="V56" s="20" t="str">
        <f t="shared" si="49"/>
        <v>tal til venstre</v>
      </c>
      <c r="X56" s="19" t="s">
        <v>52</v>
      </c>
      <c r="Y56" s="19"/>
      <c r="Z56" s="19">
        <v>216</v>
      </c>
      <c r="AA56" s="19"/>
      <c r="AB56" s="19"/>
      <c r="AC56" s="19"/>
      <c r="AD56" s="19"/>
      <c r="AE56" s="19">
        <v>60</v>
      </c>
      <c r="AF56" s="19">
        <v>1633</v>
      </c>
      <c r="AG56" s="19">
        <v>239</v>
      </c>
      <c r="AH56" s="19">
        <v>882</v>
      </c>
      <c r="AI56" s="19"/>
      <c r="AJ56" s="19"/>
      <c r="AK56" s="20">
        <v>17103</v>
      </c>
      <c r="AL56" s="5">
        <v>16820076.76966191</v>
      </c>
      <c r="AM56" s="21">
        <f t="shared" si="50"/>
        <v>3765312</v>
      </c>
      <c r="AN56" s="19">
        <f t="shared" si="51"/>
        <v>811380</v>
      </c>
      <c r="AO56" s="19">
        <f t="shared" si="52"/>
        <v>39289.979999999996</v>
      </c>
      <c r="AP56" s="19">
        <f t="shared" si="53"/>
        <v>6143080.000000001</v>
      </c>
      <c r="AQ56" s="19">
        <f t="shared" si="54"/>
        <v>2125902.9</v>
      </c>
      <c r="AR56" s="19"/>
      <c r="AS56" s="19">
        <f t="shared" si="55"/>
        <v>29705041.64966191</v>
      </c>
      <c r="AT56" s="21">
        <f t="shared" si="56"/>
        <v>36663238.52231082</v>
      </c>
      <c r="AU56" s="5">
        <v>36.403304588734976</v>
      </c>
      <c r="AX56" s="5" t="str">
        <f t="shared" si="25"/>
        <v>Køge Afløb A/S</v>
      </c>
      <c r="AY56" s="5">
        <f t="shared" si="26"/>
        <v>56.623643110944265</v>
      </c>
      <c r="AZ56" s="5">
        <f t="shared" si="27"/>
        <v>12.675666455572381</v>
      </c>
      <c r="BA56" s="5">
        <f t="shared" si="28"/>
        <v>2.7314555204780695</v>
      </c>
      <c r="BB56" s="5">
        <f t="shared" si="29"/>
        <v>0.13226704228656477</v>
      </c>
      <c r="BC56" s="5">
        <f t="shared" si="30"/>
        <v>20.680260517560725</v>
      </c>
      <c r="BD56" s="5">
        <f t="shared" si="31"/>
        <v>7.156707353157998</v>
      </c>
      <c r="BF56" s="5">
        <f t="shared" si="40"/>
        <v>30.56842339119679</v>
      </c>
      <c r="BH56" s="5">
        <f t="shared" si="32"/>
        <v>-7.9823597656510685</v>
      </c>
      <c r="BI56" s="5">
        <f t="shared" si="33"/>
        <v>3.8348212460040667</v>
      </c>
      <c r="BJ56" s="5">
        <f t="shared" si="34"/>
        <v>-0.6200968352470864</v>
      </c>
      <c r="BK56" s="5">
        <f t="shared" si="35"/>
        <v>0.698880312804034</v>
      </c>
      <c r="BL56" s="5">
        <f t="shared" si="36"/>
        <v>4.055061051143717</v>
      </c>
      <c r="BM56" s="5">
        <f t="shared" si="37"/>
        <v>0.013693990946323176</v>
      </c>
      <c r="BO56" s="5">
        <f t="shared" si="38"/>
        <v>1.3372995216119712</v>
      </c>
      <c r="BP56" s="5">
        <f t="shared" si="39"/>
        <v>0</v>
      </c>
    </row>
    <row r="57" spans="1:68" ht="15">
      <c r="A57" s="4" t="s">
        <v>53</v>
      </c>
      <c r="B57" s="5">
        <v>11692950</v>
      </c>
      <c r="C57" s="5">
        <f t="shared" si="17"/>
        <v>11751414.749999998</v>
      </c>
      <c r="D57" s="5">
        <v>11642027.635945</v>
      </c>
      <c r="E57" s="5">
        <v>2604160.69400896</v>
      </c>
      <c r="F57" s="5" t="str">
        <f t="shared" si="18"/>
        <v>ingen</v>
      </c>
      <c r="G57" s="5">
        <f t="shared" si="19"/>
        <v>11642027.635945</v>
      </c>
      <c r="H57" s="5">
        <f t="shared" si="20"/>
        <v>13973098.318244955</v>
      </c>
      <c r="I57" s="5">
        <f t="shared" si="21"/>
        <v>16511038.848611774</v>
      </c>
      <c r="J57" s="5">
        <f t="shared" si="22"/>
        <v>17465706.609028455</v>
      </c>
      <c r="K57" s="5">
        <f t="shared" si="23"/>
        <v>20003647.139395274</v>
      </c>
      <c r="L57" s="5">
        <f>'Potentialer og krav'!R28</f>
        <v>0</v>
      </c>
      <c r="M57" s="5">
        <f t="shared" si="41"/>
        <v>58464.75</v>
      </c>
      <c r="N57" s="5">
        <f t="shared" si="42"/>
        <v>270282.53925</v>
      </c>
      <c r="O57" s="5">
        <f t="shared" si="43"/>
        <v>9037866.94193604</v>
      </c>
      <c r="P57" s="5">
        <f t="shared" si="44"/>
        <v>267766.635626735</v>
      </c>
      <c r="Q57" s="5">
        <f t="shared" si="45"/>
        <v>11909794.271571733</v>
      </c>
      <c r="R57" s="5">
        <f t="shared" si="46"/>
        <v>12021697.289249998</v>
      </c>
      <c r="S57" s="5">
        <f t="shared" si="47"/>
        <v>267766.635626735</v>
      </c>
      <c r="T57" s="5">
        <f t="shared" si="48"/>
        <v>11909794.271571733</v>
      </c>
      <c r="U57" s="20">
        <f t="shared" si="24"/>
        <v>111903.01767826453</v>
      </c>
      <c r="V57" s="20" t="str">
        <f t="shared" si="49"/>
        <v>ingen</v>
      </c>
      <c r="X57" s="19" t="s">
        <v>53</v>
      </c>
      <c r="Y57" s="19">
        <v>272</v>
      </c>
      <c r="Z57" s="19">
        <v>83</v>
      </c>
      <c r="AA57" s="19">
        <v>0</v>
      </c>
      <c r="AB57" s="19">
        <v>0</v>
      </c>
      <c r="AC57" s="19">
        <v>0</v>
      </c>
      <c r="AD57" s="19">
        <v>0</v>
      </c>
      <c r="AE57" s="19">
        <v>31</v>
      </c>
      <c r="AF57" s="19">
        <v>76</v>
      </c>
      <c r="AG57" s="19">
        <v>269</v>
      </c>
      <c r="AH57" s="19">
        <v>155</v>
      </c>
      <c r="AI57" s="19">
        <v>0</v>
      </c>
      <c r="AJ57" s="19">
        <v>0</v>
      </c>
      <c r="AK57" s="20">
        <v>8486</v>
      </c>
      <c r="AL57" s="5">
        <v>6555494.958244954</v>
      </c>
      <c r="AM57" s="21">
        <f t="shared" si="50"/>
        <v>3618232</v>
      </c>
      <c r="AN57" s="19">
        <f t="shared" si="51"/>
        <v>419213</v>
      </c>
      <c r="AO57" s="19">
        <f t="shared" si="52"/>
        <v>1828.56</v>
      </c>
      <c r="AP57" s="19">
        <f t="shared" si="53"/>
        <v>2323520</v>
      </c>
      <c r="AQ57" s="19">
        <f t="shared" si="54"/>
        <v>1054809.8</v>
      </c>
      <c r="AR57" s="19"/>
      <c r="AS57" s="19">
        <f t="shared" si="55"/>
        <v>13973098.318244955</v>
      </c>
      <c r="AT57" s="21">
        <f t="shared" si="56"/>
        <v>16511038.848611774</v>
      </c>
      <c r="AU57" s="5">
        <v>32.3561906356598</v>
      </c>
      <c r="AX57" s="5" t="str">
        <f t="shared" si="25"/>
        <v>Langeland Spildevand ApS</v>
      </c>
      <c r="AY57" s="5">
        <f t="shared" si="26"/>
        <v>46.91511366298277</v>
      </c>
      <c r="AZ57" s="5">
        <f t="shared" si="27"/>
        <v>25.89427138915642</v>
      </c>
      <c r="BA57" s="5">
        <f t="shared" si="28"/>
        <v>3.0001434932482023</v>
      </c>
      <c r="BB57" s="5">
        <f t="shared" si="29"/>
        <v>0.013086288798329092</v>
      </c>
      <c r="BC57" s="5">
        <f t="shared" si="30"/>
        <v>16.628523947091487</v>
      </c>
      <c r="BD57" s="5">
        <f t="shared" si="31"/>
        <v>7.548861218722792</v>
      </c>
      <c r="BF57" s="5">
        <f t="shared" si="40"/>
        <v>27.17752865906248</v>
      </c>
      <c r="BH57" s="5">
        <f t="shared" si="32"/>
        <v>1.7261696823104273</v>
      </c>
      <c r="BI57" s="5">
        <f t="shared" si="33"/>
        <v>-9.383783687579971</v>
      </c>
      <c r="BJ57" s="5">
        <f t="shared" si="34"/>
        <v>-0.8887848080172192</v>
      </c>
      <c r="BK57" s="5">
        <f t="shared" si="35"/>
        <v>0.8180610662922696</v>
      </c>
      <c r="BL57" s="5">
        <f t="shared" si="36"/>
        <v>8.106797621612955</v>
      </c>
      <c r="BM57" s="5">
        <f t="shared" si="37"/>
        <v>-0.3784598746184713</v>
      </c>
      <c r="BO57" s="5">
        <f t="shared" si="38"/>
        <v>4.728194253746281</v>
      </c>
      <c r="BP57" s="5">
        <f t="shared" si="39"/>
        <v>0</v>
      </c>
    </row>
    <row r="58" spans="1:68" ht="15">
      <c r="A58" s="4" t="s">
        <v>54</v>
      </c>
      <c r="B58" s="5">
        <v>21240607</v>
      </c>
      <c r="C58" s="5">
        <f t="shared" si="17"/>
        <v>21346810.034999996</v>
      </c>
      <c r="D58" s="5">
        <v>19567513.411129598</v>
      </c>
      <c r="E58" s="5">
        <v>6629086.175788184</v>
      </c>
      <c r="F58" s="5" t="str">
        <f t="shared" si="18"/>
        <v>ingen</v>
      </c>
      <c r="G58" s="5">
        <f t="shared" si="19"/>
        <v>19567513.411129598</v>
      </c>
      <c r="H58" s="5">
        <f t="shared" si="20"/>
        <v>20003602.842049003</v>
      </c>
      <c r="I58" s="5">
        <f t="shared" si="21"/>
        <v>23552617.08990661</v>
      </c>
      <c r="J58" s="5">
        <f t="shared" si="22"/>
        <v>25873856.865387883</v>
      </c>
      <c r="K58" s="5">
        <f t="shared" si="23"/>
        <v>29422871.11324549</v>
      </c>
      <c r="L58" s="5">
        <f>'Potentialer og krav'!R29</f>
        <v>708044.3693229064</v>
      </c>
      <c r="M58" s="5">
        <f t="shared" si="41"/>
        <v>106203.035</v>
      </c>
      <c r="N58" s="5">
        <f t="shared" si="42"/>
        <v>490976.6308049999</v>
      </c>
      <c r="O58" s="5">
        <f t="shared" si="43"/>
        <v>12938427.235341415</v>
      </c>
      <c r="P58" s="5">
        <f t="shared" si="44"/>
        <v>450052.80845598073</v>
      </c>
      <c r="Q58" s="5">
        <f t="shared" si="45"/>
        <v>20017566.219585575</v>
      </c>
      <c r="R58" s="5">
        <f t="shared" si="46"/>
        <v>21837786.665804993</v>
      </c>
      <c r="S58" s="5">
        <f t="shared" si="47"/>
        <v>450052.80845598073</v>
      </c>
      <c r="T58" s="5">
        <f t="shared" si="48"/>
        <v>20017566.219585575</v>
      </c>
      <c r="U58" s="20">
        <f t="shared" si="24"/>
        <v>1820220.4462194182</v>
      </c>
      <c r="V58" s="20" t="str">
        <f t="shared" si="49"/>
        <v>ingen</v>
      </c>
      <c r="X58" s="19" t="s">
        <v>54</v>
      </c>
      <c r="Y58" s="19">
        <v>88</v>
      </c>
      <c r="Z58" s="19">
        <v>112</v>
      </c>
      <c r="AA58" s="19">
        <v>8</v>
      </c>
      <c r="AB58" s="19">
        <v>0</v>
      </c>
      <c r="AC58" s="19">
        <v>0</v>
      </c>
      <c r="AD58" s="19">
        <v>0</v>
      </c>
      <c r="AE58" s="19">
        <v>39</v>
      </c>
      <c r="AF58" s="19">
        <v>1616</v>
      </c>
      <c r="AG58" s="19">
        <v>282</v>
      </c>
      <c r="AH58" s="19">
        <v>293</v>
      </c>
      <c r="AI58" s="19">
        <v>0</v>
      </c>
      <c r="AJ58" s="19">
        <v>0</v>
      </c>
      <c r="AK58" s="20">
        <v>18420</v>
      </c>
      <c r="AL58" s="20">
        <v>10800254.882049002</v>
      </c>
      <c r="AM58" s="21">
        <f t="shared" si="50"/>
        <v>3196464</v>
      </c>
      <c r="AN58" s="19">
        <f t="shared" si="51"/>
        <v>527397</v>
      </c>
      <c r="AO58" s="19">
        <f t="shared" si="52"/>
        <v>38880.96</v>
      </c>
      <c r="AP58" s="19">
        <f t="shared" si="53"/>
        <v>3151000.0000000005</v>
      </c>
      <c r="AQ58" s="19">
        <f t="shared" si="54"/>
        <v>2289606</v>
      </c>
      <c r="AR58" s="19"/>
      <c r="AS58" s="19">
        <f t="shared" si="55"/>
        <v>20003602.842049003</v>
      </c>
      <c r="AT58" s="21">
        <f t="shared" si="56"/>
        <v>23552617.08990661</v>
      </c>
      <c r="AU58" s="5">
        <v>32.03221167737816</v>
      </c>
      <c r="AX58" s="5" t="str">
        <f t="shared" si="25"/>
        <v>Lejre Spildevand A/S</v>
      </c>
      <c r="AY58" s="5">
        <f t="shared" si="26"/>
        <v>53.99154825922705</v>
      </c>
      <c r="AZ58" s="5">
        <f t="shared" si="27"/>
        <v>15.979441429824853</v>
      </c>
      <c r="BA58" s="5">
        <f t="shared" si="28"/>
        <v>2.636510053535825</v>
      </c>
      <c r="BB58" s="5">
        <f t="shared" si="29"/>
        <v>0.19436978581812994</v>
      </c>
      <c r="BC58" s="5">
        <f t="shared" si="30"/>
        <v>15.75216237235211</v>
      </c>
      <c r="BD58" s="5">
        <f t="shared" si="31"/>
        <v>11.445968099242025</v>
      </c>
      <c r="BF58" s="5">
        <f t="shared" si="40"/>
        <v>29.834640525129963</v>
      </c>
      <c r="BH58" s="5">
        <f t="shared" si="32"/>
        <v>-5.350264913933856</v>
      </c>
      <c r="BI58" s="5">
        <f t="shared" si="33"/>
        <v>0.5310462717515954</v>
      </c>
      <c r="BJ58" s="5">
        <f t="shared" si="34"/>
        <v>-0.5251513683048419</v>
      </c>
      <c r="BK58" s="5">
        <f t="shared" si="35"/>
        <v>0.6367775692724688</v>
      </c>
      <c r="BL58" s="5">
        <f t="shared" si="36"/>
        <v>8.983159196352332</v>
      </c>
      <c r="BM58" s="5">
        <f t="shared" si="37"/>
        <v>-4.275566755137704</v>
      </c>
      <c r="BO58" s="5">
        <f t="shared" si="38"/>
        <v>2.0710823876788</v>
      </c>
      <c r="BP58" s="5">
        <f t="shared" si="39"/>
        <v>0</v>
      </c>
    </row>
    <row r="59" spans="1:68" ht="15">
      <c r="A59" s="4" t="s">
        <v>55</v>
      </c>
      <c r="B59" s="5">
        <v>25522255</v>
      </c>
      <c r="C59" s="5">
        <f t="shared" si="17"/>
        <v>25649866.275</v>
      </c>
      <c r="D59" s="5">
        <v>14222295.318774201</v>
      </c>
      <c r="E59" s="5">
        <v>0</v>
      </c>
      <c r="F59" s="5" t="str">
        <f t="shared" si="18"/>
        <v>ingen</v>
      </c>
      <c r="G59" s="5">
        <f t="shared" si="19"/>
        <v>14222295.318774201</v>
      </c>
      <c r="H59" s="5">
        <f t="shared" si="20"/>
        <v>27801307.73675913</v>
      </c>
      <c r="I59" s="5">
        <f t="shared" si="21"/>
        <v>30444507.365308937</v>
      </c>
      <c r="J59" s="5">
        <f t="shared" si="22"/>
        <v>32067996.33239139</v>
      </c>
      <c r="K59" s="5">
        <f t="shared" si="23"/>
        <v>34711195.960941195</v>
      </c>
      <c r="L59" s="5">
        <f>'Potentialer og krav'!R30</f>
        <v>0</v>
      </c>
      <c r="M59" s="5">
        <f t="shared" si="41"/>
        <v>127611.27500000001</v>
      </c>
      <c r="N59" s="5">
        <f t="shared" si="42"/>
        <v>589946.9243249999</v>
      </c>
      <c r="O59" s="5">
        <f t="shared" si="43"/>
        <v>14222295.318774201</v>
      </c>
      <c r="P59" s="5">
        <f t="shared" si="44"/>
        <v>327112.7923318066</v>
      </c>
      <c r="Q59" s="5">
        <f t="shared" si="45"/>
        <v>14549408.111106006</v>
      </c>
      <c r="R59" s="5">
        <f t="shared" si="46"/>
        <v>26239813.199324995</v>
      </c>
      <c r="S59" s="5">
        <f t="shared" si="47"/>
        <v>327112.7923318066</v>
      </c>
      <c r="T59" s="5">
        <f t="shared" si="48"/>
        <v>14549408.111106006</v>
      </c>
      <c r="U59" s="20">
        <f t="shared" si="24"/>
        <v>11690405.088218989</v>
      </c>
      <c r="V59" s="20" t="str">
        <f t="shared" si="49"/>
        <v>ingen</v>
      </c>
      <c r="X59" s="19" t="s">
        <v>55</v>
      </c>
      <c r="Y59" s="19">
        <v>61</v>
      </c>
      <c r="Z59" s="19">
        <v>212</v>
      </c>
      <c r="AA59" s="19"/>
      <c r="AB59" s="19"/>
      <c r="AC59" s="19"/>
      <c r="AD59" s="19"/>
      <c r="AE59" s="19">
        <v>30</v>
      </c>
      <c r="AF59" s="19">
        <v>120</v>
      </c>
      <c r="AG59" s="19">
        <v>238</v>
      </c>
      <c r="AH59" s="19">
        <v>336</v>
      </c>
      <c r="AI59" s="19"/>
      <c r="AJ59" s="19"/>
      <c r="AK59" s="20">
        <v>8198</v>
      </c>
      <c r="AL59" s="5">
        <v>19045652.136759132</v>
      </c>
      <c r="AM59" s="21">
        <f t="shared" si="50"/>
        <v>4182547</v>
      </c>
      <c r="AN59" s="19">
        <f t="shared" si="51"/>
        <v>405690</v>
      </c>
      <c r="AO59" s="19">
        <f t="shared" si="52"/>
        <v>2887.2</v>
      </c>
      <c r="AP59" s="19">
        <f t="shared" si="53"/>
        <v>3145520.0000000005</v>
      </c>
      <c r="AQ59" s="19">
        <f t="shared" si="54"/>
        <v>1019011.4</v>
      </c>
      <c r="AR59" s="19"/>
      <c r="AS59" s="19">
        <f t="shared" si="55"/>
        <v>27801307.73675913</v>
      </c>
      <c r="AT59" s="21">
        <f t="shared" si="56"/>
        <v>30444507.365308937</v>
      </c>
      <c r="AU59" s="5">
        <v>25.698050071759607</v>
      </c>
      <c r="AX59" s="5" t="str">
        <f t="shared" si="25"/>
        <v>Lemvig Vand og Spildevand A/S</v>
      </c>
      <c r="AY59" s="5">
        <f t="shared" si="26"/>
        <v>68.5063174620984</v>
      </c>
      <c r="AZ59" s="5">
        <f t="shared" si="27"/>
        <v>15.04442539035601</v>
      </c>
      <c r="BA59" s="5">
        <f t="shared" si="28"/>
        <v>1.4592479024416292</v>
      </c>
      <c r="BB59" s="5">
        <f t="shared" si="29"/>
        <v>0.010385122985356977</v>
      </c>
      <c r="BC59" s="5">
        <f t="shared" si="30"/>
        <v>11.314287909704932</v>
      </c>
      <c r="BD59" s="5">
        <f t="shared" si="31"/>
        <v>3.6653362124136857</v>
      </c>
      <c r="BF59" s="5">
        <f t="shared" si="40"/>
        <v>16.438872024560247</v>
      </c>
      <c r="BH59" s="5">
        <f t="shared" si="32"/>
        <v>-19.865034116805198</v>
      </c>
      <c r="BI59" s="5">
        <f t="shared" si="33"/>
        <v>1.4660623112204387</v>
      </c>
      <c r="BJ59" s="5">
        <f t="shared" si="34"/>
        <v>0.652110782789354</v>
      </c>
      <c r="BK59" s="5">
        <f t="shared" si="35"/>
        <v>0.8207622321052417</v>
      </c>
      <c r="BL59" s="5">
        <f t="shared" si="36"/>
        <v>13.42103365899951</v>
      </c>
      <c r="BM59" s="5">
        <f t="shared" si="37"/>
        <v>3.5050651316906354</v>
      </c>
      <c r="BO59" s="5">
        <f t="shared" si="38"/>
        <v>15.466850888248516</v>
      </c>
      <c r="BP59" s="5">
        <f t="shared" si="39"/>
        <v>0</v>
      </c>
    </row>
    <row r="60" spans="1:68" ht="15">
      <c r="A60" s="4" t="s">
        <v>56</v>
      </c>
      <c r="B60" s="5">
        <v>33554894</v>
      </c>
      <c r="C60" s="5">
        <f t="shared" si="17"/>
        <v>33722668.47</v>
      </c>
      <c r="D60" s="5">
        <v>34519487.9008882</v>
      </c>
      <c r="E60" s="5">
        <v>11249901.106899465</v>
      </c>
      <c r="F60" s="5">
        <f t="shared" si="18"/>
        <v>796819.4308881983</v>
      </c>
      <c r="G60" s="5">
        <f t="shared" si="19"/>
        <v>33722668.47</v>
      </c>
      <c r="H60" s="5">
        <f t="shared" si="20"/>
        <v>36048504.734850004</v>
      </c>
      <c r="I60" s="5">
        <f t="shared" si="21"/>
        <v>43411825.07501009</v>
      </c>
      <c r="J60" s="5">
        <f t="shared" si="22"/>
        <v>46165305.275850005</v>
      </c>
      <c r="K60" s="5">
        <f t="shared" si="23"/>
        <v>53528625.61601009</v>
      </c>
      <c r="L60" s="5" t="e">
        <f>'Potentialer og krav'!#REF!</f>
        <v>#REF!</v>
      </c>
      <c r="M60" s="5">
        <f t="shared" si="41"/>
        <v>167774.47</v>
      </c>
      <c r="N60" s="5">
        <f t="shared" si="42"/>
        <v>775621.37481</v>
      </c>
      <c r="O60" s="5">
        <f t="shared" si="43"/>
        <v>23269586.793988734</v>
      </c>
      <c r="P60" s="5">
        <f t="shared" si="44"/>
        <v>775621.37481</v>
      </c>
      <c r="Q60" s="5">
        <f t="shared" si="45"/>
        <v>34498289.844809994</v>
      </c>
      <c r="R60" s="5">
        <f t="shared" si="46"/>
        <v>34498289.844809994</v>
      </c>
      <c r="S60" s="5">
        <f t="shared" si="47"/>
        <v>793948.2217204286</v>
      </c>
      <c r="T60" s="5">
        <f t="shared" si="48"/>
        <v>35313436.122608624</v>
      </c>
      <c r="U60" s="20">
        <f t="shared" si="24"/>
        <v>-815146.2777986303</v>
      </c>
      <c r="V60" s="20" t="str">
        <f t="shared" si="49"/>
        <v>tal til venstre</v>
      </c>
      <c r="X60" s="19" t="s">
        <v>56</v>
      </c>
      <c r="Y60" s="19">
        <v>408</v>
      </c>
      <c r="Z60" s="19">
        <v>212</v>
      </c>
      <c r="AA60" s="19">
        <v>22</v>
      </c>
      <c r="AB60" s="19">
        <v>0</v>
      </c>
      <c r="AC60" s="19">
        <v>0</v>
      </c>
      <c r="AD60" s="19">
        <v>0</v>
      </c>
      <c r="AE60" s="19">
        <v>10</v>
      </c>
      <c r="AF60" s="19">
        <v>1752</v>
      </c>
      <c r="AG60" s="19">
        <v>554</v>
      </c>
      <c r="AH60" s="19">
        <v>503</v>
      </c>
      <c r="AI60" s="19">
        <v>0</v>
      </c>
      <c r="AJ60" s="19">
        <v>0</v>
      </c>
      <c r="AK60" s="20">
        <v>20130</v>
      </c>
      <c r="AL60" s="5">
        <v>19134620.61485</v>
      </c>
      <c r="AM60" s="21">
        <f t="shared" si="50"/>
        <v>8441982</v>
      </c>
      <c r="AN60" s="19">
        <f t="shared" si="51"/>
        <v>135230</v>
      </c>
      <c r="AO60" s="19">
        <f t="shared" si="52"/>
        <v>42153.119999999995</v>
      </c>
      <c r="AP60" s="19">
        <f t="shared" si="53"/>
        <v>5792360.000000001</v>
      </c>
      <c r="AQ60" s="19">
        <f t="shared" si="54"/>
        <v>2502159</v>
      </c>
      <c r="AR60" s="19"/>
      <c r="AS60" s="19">
        <f t="shared" si="55"/>
        <v>36048504.734850004</v>
      </c>
      <c r="AT60" s="21">
        <f t="shared" si="56"/>
        <v>43411825.07501009</v>
      </c>
      <c r="AU60" s="5">
        <v>34.09703566671973</v>
      </c>
      <c r="AX60" s="5" t="str">
        <f t="shared" si="25"/>
        <v>Lolland Spildevand A/S</v>
      </c>
      <c r="AY60" s="5">
        <f t="shared" si="26"/>
        <v>53.080206115599424</v>
      </c>
      <c r="AZ60" s="5">
        <f t="shared" si="27"/>
        <v>23.41839713489888</v>
      </c>
      <c r="BA60" s="5">
        <f t="shared" si="28"/>
        <v>0.37513345142792004</v>
      </c>
      <c r="BB60" s="5">
        <f t="shared" si="29"/>
        <v>0.11693444793355974</v>
      </c>
      <c r="BC60" s="5">
        <f t="shared" si="30"/>
        <v>16.06823928649728</v>
      </c>
      <c r="BD60" s="5">
        <f t="shared" si="31"/>
        <v>6.941089563642927</v>
      </c>
      <c r="BF60" s="5">
        <f t="shared" si="40"/>
        <v>23.384462301568128</v>
      </c>
      <c r="BH60" s="5">
        <f t="shared" si="32"/>
        <v>-4.4389227703062275</v>
      </c>
      <c r="BI60" s="5">
        <f t="shared" si="33"/>
        <v>-6.9079094333224305</v>
      </c>
      <c r="BJ60" s="5">
        <f t="shared" si="34"/>
        <v>1.736225233803063</v>
      </c>
      <c r="BK60" s="5">
        <f t="shared" si="35"/>
        <v>0.7142129071570389</v>
      </c>
      <c r="BL60" s="5">
        <f t="shared" si="36"/>
        <v>8.667082282207161</v>
      </c>
      <c r="BM60" s="5">
        <f t="shared" si="37"/>
        <v>0.22931178046139422</v>
      </c>
      <c r="BO60" s="5">
        <f t="shared" si="38"/>
        <v>8.521260611240635</v>
      </c>
      <c r="BP60" s="5">
        <f t="shared" si="39"/>
        <v>0</v>
      </c>
    </row>
    <row r="61" spans="1:68" ht="15">
      <c r="A61" s="4" t="s">
        <v>57</v>
      </c>
      <c r="B61" s="5">
        <v>172350635</v>
      </c>
      <c r="C61" s="5">
        <f t="shared" si="17"/>
        <v>173212388.17499998</v>
      </c>
      <c r="D61" s="5">
        <v>165537989.1169046</v>
      </c>
      <c r="E61" s="5">
        <v>63046070.16791217</v>
      </c>
      <c r="F61" s="5" t="str">
        <f t="shared" si="18"/>
        <v>ingen</v>
      </c>
      <c r="G61" s="5">
        <f t="shared" si="19"/>
        <v>165537989.1169046</v>
      </c>
      <c r="H61" s="5">
        <f t="shared" si="20"/>
        <v>193080835.19256216</v>
      </c>
      <c r="I61" s="5">
        <f t="shared" si="21"/>
        <v>146934515.5815398</v>
      </c>
      <c r="J61" s="5">
        <f t="shared" si="22"/>
        <v>242742231.92763352</v>
      </c>
      <c r="K61" s="5">
        <f t="shared" si="23"/>
        <v>196595912.31661117</v>
      </c>
      <c r="L61" s="5">
        <f>'Potentialer og krav'!R31</f>
        <v>2132785.6579525797</v>
      </c>
      <c r="M61" s="5">
        <f t="shared" si="41"/>
        <v>861753.175</v>
      </c>
      <c r="N61" s="5">
        <f t="shared" si="42"/>
        <v>3983884.9280249993</v>
      </c>
      <c r="O61" s="5">
        <f t="shared" si="43"/>
        <v>102491918.94899242</v>
      </c>
      <c r="P61" s="5">
        <f t="shared" si="44"/>
        <v>3807373.7496888055</v>
      </c>
      <c r="Q61" s="5">
        <f t="shared" si="45"/>
        <v>169345362.8665934</v>
      </c>
      <c r="R61" s="5">
        <f t="shared" si="46"/>
        <v>177196273.10302496</v>
      </c>
      <c r="S61" s="5">
        <f t="shared" si="47"/>
        <v>3807373.7496888055</v>
      </c>
      <c r="T61" s="5">
        <f t="shared" si="48"/>
        <v>169345362.8665934</v>
      </c>
      <c r="U61" s="20">
        <f t="shared" si="24"/>
        <v>7850910.236431569</v>
      </c>
      <c r="V61" s="20" t="str">
        <f t="shared" si="49"/>
        <v>ingen</v>
      </c>
      <c r="X61" s="4" t="s">
        <v>57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>
        <v>0</v>
      </c>
      <c r="AL61" s="19">
        <v>158458807.19256216</v>
      </c>
      <c r="AM61" s="21">
        <f t="shared" si="50"/>
        <v>0</v>
      </c>
      <c r="AN61" s="19">
        <f t="shared" si="51"/>
        <v>0</v>
      </c>
      <c r="AO61" s="19">
        <f t="shared" si="52"/>
        <v>0</v>
      </c>
      <c r="AP61" s="19">
        <f t="shared" si="53"/>
        <v>0</v>
      </c>
      <c r="AQ61" s="19">
        <f t="shared" si="54"/>
        <v>0</v>
      </c>
      <c r="AR61" s="19"/>
      <c r="AS61" s="19">
        <f t="shared" si="55"/>
        <v>193080835.19256216</v>
      </c>
      <c r="AT61" s="21">
        <f t="shared" si="56"/>
        <v>146934515.5815398</v>
      </c>
      <c r="AU61" s="5">
        <v>0</v>
      </c>
      <c r="AV61" s="5">
        <v>34622028</v>
      </c>
      <c r="AX61" s="5" t="str">
        <f t="shared" si="25"/>
        <v>Lynettefællesskabet I/S</v>
      </c>
      <c r="AY61" s="5">
        <f t="shared" si="26"/>
        <v>100</v>
      </c>
      <c r="AZ61" s="5">
        <f t="shared" si="27"/>
        <v>0</v>
      </c>
      <c r="BA61" s="5">
        <f t="shared" si="28"/>
        <v>0</v>
      </c>
      <c r="BB61" s="5">
        <f t="shared" si="29"/>
        <v>0</v>
      </c>
      <c r="BC61" s="5">
        <f t="shared" si="30"/>
        <v>0</v>
      </c>
      <c r="BD61" s="5">
        <f t="shared" si="31"/>
        <v>0</v>
      </c>
      <c r="BF61" s="5">
        <f t="shared" si="40"/>
        <v>0</v>
      </c>
      <c r="BH61" s="5">
        <f t="shared" si="32"/>
        <v>-51.358716654706804</v>
      </c>
      <c r="BI61" s="5">
        <f t="shared" si="33"/>
        <v>16.510487701576448</v>
      </c>
      <c r="BJ61" s="5">
        <f t="shared" si="34"/>
        <v>2.111358685230983</v>
      </c>
      <c r="BK61" s="5">
        <f t="shared" si="35"/>
        <v>0.8311473550905987</v>
      </c>
      <c r="BL61" s="5">
        <f t="shared" si="36"/>
        <v>24.735321568704443</v>
      </c>
      <c r="BM61" s="5">
        <f t="shared" si="37"/>
        <v>7.170401344104321</v>
      </c>
      <c r="BO61" s="5">
        <f t="shared" si="38"/>
        <v>31.905722912808763</v>
      </c>
      <c r="BP61" s="5">
        <f t="shared" si="39"/>
        <v>0</v>
      </c>
    </row>
    <row r="62" spans="1:68" ht="15">
      <c r="A62" s="4" t="s">
        <v>58</v>
      </c>
      <c r="B62" s="5">
        <v>14367167</v>
      </c>
      <c r="C62" s="5">
        <f>B62*1.005</f>
        <v>14439002.834999999</v>
      </c>
      <c r="D62" s="5">
        <v>40612172.2803538</v>
      </c>
      <c r="E62" s="5">
        <v>28277191.519896608</v>
      </c>
      <c r="F62" s="5">
        <f t="shared" si="18"/>
        <v>26173169.4453538</v>
      </c>
      <c r="G62" s="5">
        <f t="shared" si="19"/>
        <v>14439002.834999999</v>
      </c>
      <c r="H62" s="5">
        <f t="shared" si="20"/>
        <v>15684784.496</v>
      </c>
      <c r="I62" s="5">
        <f t="shared" si="21"/>
        <v>22767368.53733147</v>
      </c>
      <c r="J62" s="5">
        <f t="shared" si="22"/>
        <v>20016485.346499998</v>
      </c>
      <c r="K62" s="5">
        <f t="shared" si="23"/>
        <v>27099069.387831468</v>
      </c>
      <c r="L62" s="5" t="e">
        <f>'Potentialer og krav'!#REF!</f>
        <v>#REF!</v>
      </c>
      <c r="M62" s="5">
        <f t="shared" si="41"/>
        <v>71835.835</v>
      </c>
      <c r="N62" s="5">
        <f t="shared" si="42"/>
        <v>332097.065205</v>
      </c>
      <c r="O62" s="5">
        <f t="shared" si="43"/>
        <v>12334980.760457192</v>
      </c>
      <c r="P62" s="5">
        <f t="shared" si="44"/>
        <v>332097.065205</v>
      </c>
      <c r="Q62" s="5">
        <f t="shared" si="45"/>
        <v>14771099.900204998</v>
      </c>
      <c r="R62" s="5">
        <f t="shared" si="46"/>
        <v>14771099.900204998</v>
      </c>
      <c r="S62" s="5">
        <f t="shared" si="47"/>
        <v>934079.9624481373</v>
      </c>
      <c r="T62" s="5">
        <f t="shared" si="48"/>
        <v>41546252.242801934</v>
      </c>
      <c r="U62" s="20">
        <f t="shared" si="24"/>
        <v>-26775152.342596937</v>
      </c>
      <c r="V62" s="20" t="str">
        <f t="shared" si="49"/>
        <v>tal til venstre</v>
      </c>
      <c r="X62" s="19" t="s">
        <v>58</v>
      </c>
      <c r="Y62" s="19">
        <v>26</v>
      </c>
      <c r="Z62" s="19">
        <v>27</v>
      </c>
      <c r="AA62" s="19">
        <v>3</v>
      </c>
      <c r="AB62" s="19">
        <v>1</v>
      </c>
      <c r="AC62" s="19">
        <v>0</v>
      </c>
      <c r="AD62" s="19">
        <v>0.012</v>
      </c>
      <c r="AE62" s="19">
        <v>6</v>
      </c>
      <c r="AF62" s="19">
        <v>8452</v>
      </c>
      <c r="AG62" s="19">
        <f>11.52+26.88</f>
        <v>38.4</v>
      </c>
      <c r="AH62" s="19">
        <f>123.81+164.13</f>
        <v>287.94</v>
      </c>
      <c r="AI62" s="19">
        <f>36.08+84.18</f>
        <v>120.26</v>
      </c>
      <c r="AJ62" s="19"/>
      <c r="AK62" s="20">
        <v>11309</v>
      </c>
      <c r="AL62" s="5">
        <v>0</v>
      </c>
      <c r="AM62" s="21">
        <f t="shared" si="50"/>
        <v>958321.676</v>
      </c>
      <c r="AN62" s="19">
        <f t="shared" si="51"/>
        <v>81138</v>
      </c>
      <c r="AO62" s="19">
        <f t="shared" si="52"/>
        <v>203355.12</v>
      </c>
      <c r="AP62" s="19">
        <f t="shared" si="53"/>
        <v>13036261</v>
      </c>
      <c r="AQ62" s="19">
        <f t="shared" si="54"/>
        <v>1405708.7</v>
      </c>
      <c r="AR62" s="19"/>
      <c r="AS62" s="19">
        <f t="shared" si="55"/>
        <v>15684784.496</v>
      </c>
      <c r="AT62" s="21">
        <f t="shared" si="56"/>
        <v>22767368.53733147</v>
      </c>
      <c r="AU62" s="5">
        <v>53.11981733555317</v>
      </c>
      <c r="AX62" s="5" t="str">
        <f t="shared" si="25"/>
        <v>Lyngby-Taarbæk Spildevand A/S</v>
      </c>
      <c r="AY62" s="5">
        <f t="shared" si="26"/>
        <v>0</v>
      </c>
      <c r="AZ62" s="5">
        <f t="shared" si="27"/>
        <v>6.109881052203141</v>
      </c>
      <c r="BA62" s="5">
        <f t="shared" si="28"/>
        <v>0.5173038878582754</v>
      </c>
      <c r="BB62" s="5">
        <f t="shared" si="29"/>
        <v>1.2965120435786701</v>
      </c>
      <c r="BC62" s="5">
        <f t="shared" si="30"/>
        <v>83.1140587447954</v>
      </c>
      <c r="BD62" s="5">
        <f t="shared" si="31"/>
        <v>8.96224427156452</v>
      </c>
      <c r="BF62" s="5">
        <f t="shared" si="40"/>
        <v>92.59360690421819</v>
      </c>
      <c r="BH62" s="5">
        <f t="shared" si="32"/>
        <v>48.641283345293196</v>
      </c>
      <c r="BI62" s="5">
        <f t="shared" si="33"/>
        <v>10.400606649373307</v>
      </c>
      <c r="BJ62" s="5">
        <f t="shared" si="34"/>
        <v>1.5940547973727077</v>
      </c>
      <c r="BK62" s="5">
        <f t="shared" si="35"/>
        <v>-0.46536468848807144</v>
      </c>
      <c r="BL62" s="5">
        <f t="shared" si="36"/>
        <v>-58.37873717609096</v>
      </c>
      <c r="BM62" s="5">
        <f t="shared" si="37"/>
        <v>-1.7918429274601992</v>
      </c>
      <c r="BO62" s="5">
        <f t="shared" si="38"/>
        <v>-60.68788399140943</v>
      </c>
      <c r="BP62" s="5">
        <f t="shared" si="39"/>
        <v>-8.751156819384818</v>
      </c>
    </row>
    <row r="63" spans="1:68" ht="15">
      <c r="A63" s="4" t="s">
        <v>59</v>
      </c>
      <c r="B63" s="5">
        <v>35738665</v>
      </c>
      <c r="C63" s="5">
        <f t="shared" si="17"/>
        <v>35917358.324999996</v>
      </c>
      <c r="D63" s="5">
        <v>33686469.0522822</v>
      </c>
      <c r="E63" s="5">
        <v>14366389.728015378</v>
      </c>
      <c r="F63" s="5" t="str">
        <f t="shared" si="18"/>
        <v>ingen</v>
      </c>
      <c r="G63" s="5">
        <f t="shared" si="19"/>
        <v>33686469.0522822</v>
      </c>
      <c r="H63" s="5">
        <f t="shared" si="20"/>
        <v>31126355.717237324</v>
      </c>
      <c r="I63" s="5">
        <f t="shared" si="21"/>
        <v>36374122.88639856</v>
      </c>
      <c r="J63" s="5">
        <f t="shared" si="22"/>
        <v>41232296.43292198</v>
      </c>
      <c r="K63" s="5">
        <f t="shared" si="23"/>
        <v>46480063.60208322</v>
      </c>
      <c r="L63" s="5">
        <f>'Potentialer og krav'!R32</f>
        <v>1684323.45261411</v>
      </c>
      <c r="M63" s="5">
        <f t="shared" si="41"/>
        <v>178693.325</v>
      </c>
      <c r="N63" s="5">
        <f t="shared" si="42"/>
        <v>826099.2414749999</v>
      </c>
      <c r="O63" s="5">
        <f t="shared" si="43"/>
        <v>19320079.32426682</v>
      </c>
      <c r="P63" s="5">
        <f t="shared" si="44"/>
        <v>774788.7882024905</v>
      </c>
      <c r="Q63" s="5">
        <f t="shared" si="45"/>
        <v>34461257.840484686</v>
      </c>
      <c r="R63" s="5">
        <f t="shared" si="46"/>
        <v>36743457.56647499</v>
      </c>
      <c r="S63" s="5">
        <f t="shared" si="47"/>
        <v>774788.7882024905</v>
      </c>
      <c r="T63" s="5">
        <f t="shared" si="48"/>
        <v>34461257.840484686</v>
      </c>
      <c r="U63" s="20">
        <f t="shared" si="24"/>
        <v>2282199.725990303</v>
      </c>
      <c r="V63" s="20" t="str">
        <f t="shared" si="49"/>
        <v>ingen</v>
      </c>
      <c r="X63" s="19" t="s">
        <v>59</v>
      </c>
      <c r="Y63" s="19">
        <v>222</v>
      </c>
      <c r="Z63" s="19">
        <v>60</v>
      </c>
      <c r="AA63" s="19">
        <v>1</v>
      </c>
      <c r="AB63" s="19"/>
      <c r="AC63" s="19"/>
      <c r="AD63" s="19"/>
      <c r="AE63" s="19">
        <v>33</v>
      </c>
      <c r="AF63" s="19">
        <v>2975</v>
      </c>
      <c r="AG63" s="19">
        <v>328</v>
      </c>
      <c r="AH63" s="19">
        <v>622</v>
      </c>
      <c r="AI63" s="19">
        <v>0</v>
      </c>
      <c r="AJ63" s="19">
        <v>0</v>
      </c>
      <c r="AK63" s="20">
        <v>14588</v>
      </c>
      <c r="AL63" s="5">
        <v>19447062.817237325</v>
      </c>
      <c r="AM63" s="21">
        <f t="shared" si="50"/>
        <v>2885843</v>
      </c>
      <c r="AN63" s="19">
        <f t="shared" si="51"/>
        <v>446259</v>
      </c>
      <c r="AO63" s="19">
        <f t="shared" si="52"/>
        <v>71578.5</v>
      </c>
      <c r="AP63" s="19">
        <f t="shared" si="53"/>
        <v>5206000</v>
      </c>
      <c r="AQ63" s="19">
        <f t="shared" si="54"/>
        <v>1813288.4</v>
      </c>
      <c r="AR63" s="19"/>
      <c r="AS63" s="19">
        <f t="shared" si="55"/>
        <v>31126355.717237324</v>
      </c>
      <c r="AT63" s="21">
        <f t="shared" si="56"/>
        <v>36374122.88639856</v>
      </c>
      <c r="AU63" s="5">
        <v>31.353509054497806</v>
      </c>
      <c r="AV63" s="5">
        <v>1256324</v>
      </c>
      <c r="AX63" s="5" t="str">
        <f t="shared" si="25"/>
        <v>Mariagerfjord Spildevand a/s</v>
      </c>
      <c r="AY63" s="5">
        <f t="shared" si="26"/>
        <v>65.10559815045279</v>
      </c>
      <c r="AZ63" s="5">
        <f t="shared" si="27"/>
        <v>9.661332225283996</v>
      </c>
      <c r="BA63" s="5">
        <f t="shared" si="28"/>
        <v>1.4940024310134026</v>
      </c>
      <c r="BB63" s="5">
        <f t="shared" si="29"/>
        <v>0.23963315699692964</v>
      </c>
      <c r="BC63" s="5">
        <f t="shared" si="30"/>
        <v>17.42883987965682</v>
      </c>
      <c r="BD63" s="5">
        <f t="shared" si="31"/>
        <v>6.070594156596064</v>
      </c>
      <c r="BF63" s="5">
        <f t="shared" si="40"/>
        <v>24.993436467266285</v>
      </c>
      <c r="BH63" s="5">
        <f t="shared" si="32"/>
        <v>-16.464314805159596</v>
      </c>
      <c r="BI63" s="5">
        <f t="shared" si="33"/>
        <v>6.849155476292452</v>
      </c>
      <c r="BJ63" s="5">
        <f t="shared" si="34"/>
        <v>0.6173562542175806</v>
      </c>
      <c r="BK63" s="5">
        <f t="shared" si="35"/>
        <v>0.591514198093669</v>
      </c>
      <c r="BL63" s="5">
        <f t="shared" si="36"/>
        <v>7.306481689047622</v>
      </c>
      <c r="BM63" s="5">
        <f t="shared" si="37"/>
        <v>1.0998071875082571</v>
      </c>
      <c r="BO63" s="5">
        <f t="shared" si="38"/>
        <v>6.9122864455424775</v>
      </c>
      <c r="BP63" s="5">
        <f t="shared" si="39"/>
        <v>0</v>
      </c>
    </row>
    <row r="64" spans="1:68" ht="15">
      <c r="A64" s="4" t="s">
        <v>60</v>
      </c>
      <c r="B64" s="5">
        <v>27205472</v>
      </c>
      <c r="C64" s="5">
        <f t="shared" si="17"/>
        <v>27341499.359999996</v>
      </c>
      <c r="D64" s="5">
        <v>22312274.2706528</v>
      </c>
      <c r="E64" s="5">
        <v>5687282.743332674</v>
      </c>
      <c r="F64" s="5" t="str">
        <f t="shared" si="18"/>
        <v>ingen</v>
      </c>
      <c r="G64" s="5">
        <f t="shared" si="19"/>
        <v>22312274.2706528</v>
      </c>
      <c r="H64" s="5">
        <f t="shared" si="20"/>
        <v>25703257.872439306</v>
      </c>
      <c r="I64" s="5">
        <f t="shared" si="21"/>
        <v>29971935.465860482</v>
      </c>
      <c r="J64" s="5">
        <f t="shared" si="22"/>
        <v>32396940.153635144</v>
      </c>
      <c r="K64" s="5">
        <f t="shared" si="23"/>
        <v>36665617.74705632</v>
      </c>
      <c r="L64" s="5">
        <f>'Potentialer og krav'!R33</f>
        <v>339444.2168990033</v>
      </c>
      <c r="M64" s="5">
        <f t="shared" si="41"/>
        <v>136027.36000000002</v>
      </c>
      <c r="N64" s="5">
        <f t="shared" si="42"/>
        <v>628854.4852799999</v>
      </c>
      <c r="O64" s="5">
        <f t="shared" si="43"/>
        <v>16624991.527320128</v>
      </c>
      <c r="P64" s="5">
        <f t="shared" si="44"/>
        <v>513182.3082250144</v>
      </c>
      <c r="Q64" s="5">
        <f t="shared" si="45"/>
        <v>22825456.578877814</v>
      </c>
      <c r="R64" s="5">
        <f t="shared" si="46"/>
        <v>27970353.84527999</v>
      </c>
      <c r="S64" s="5">
        <f t="shared" si="47"/>
        <v>513182.3082250144</v>
      </c>
      <c r="T64" s="5">
        <f t="shared" si="48"/>
        <v>22825456.578877814</v>
      </c>
      <c r="U64" s="20">
        <f t="shared" si="24"/>
        <v>5144897.2664021775</v>
      </c>
      <c r="V64" s="20" t="str">
        <f t="shared" si="49"/>
        <v>ingen</v>
      </c>
      <c r="X64" s="19" t="s">
        <v>60</v>
      </c>
      <c r="Y64" s="19">
        <v>208</v>
      </c>
      <c r="Z64" s="19">
        <v>147</v>
      </c>
      <c r="AA64" s="19">
        <v>7</v>
      </c>
      <c r="AB64" s="19">
        <v>0</v>
      </c>
      <c r="AC64" s="19">
        <v>1</v>
      </c>
      <c r="AD64" s="19">
        <v>0</v>
      </c>
      <c r="AE64" s="19">
        <v>49</v>
      </c>
      <c r="AF64" s="19">
        <v>1324</v>
      </c>
      <c r="AG64" s="19">
        <v>254</v>
      </c>
      <c r="AH64" s="19">
        <v>384</v>
      </c>
      <c r="AI64" s="19">
        <v>16</v>
      </c>
      <c r="AJ64" s="19">
        <v>0</v>
      </c>
      <c r="AK64" s="20">
        <v>13656</v>
      </c>
      <c r="AL64" s="5">
        <v>12845794.632439304</v>
      </c>
      <c r="AM64" s="21">
        <f t="shared" si="50"/>
        <v>5472820</v>
      </c>
      <c r="AN64" s="19">
        <f t="shared" si="51"/>
        <v>662627</v>
      </c>
      <c r="AO64" s="19">
        <f t="shared" si="52"/>
        <v>31855.44</v>
      </c>
      <c r="AP64" s="19">
        <f t="shared" si="53"/>
        <v>4992720</v>
      </c>
      <c r="AQ64" s="19">
        <f t="shared" si="54"/>
        <v>1697440.8</v>
      </c>
      <c r="AR64" s="19"/>
      <c r="AS64" s="19">
        <f t="shared" si="55"/>
        <v>25703257.872439306</v>
      </c>
      <c r="AT64" s="21">
        <f t="shared" si="56"/>
        <v>29971935.465860482</v>
      </c>
      <c r="AU64" s="5">
        <v>31.15964244570403</v>
      </c>
      <c r="AX64" s="5" t="str">
        <f t="shared" si="25"/>
        <v>Middelfart Spildevand A/S</v>
      </c>
      <c r="AY64" s="5">
        <f t="shared" si="26"/>
        <v>49.977301306280694</v>
      </c>
      <c r="AZ64" s="5">
        <f t="shared" si="27"/>
        <v>21.292320324375343</v>
      </c>
      <c r="BA64" s="5">
        <f t="shared" si="28"/>
        <v>2.577988375203252</v>
      </c>
      <c r="BB64" s="5">
        <f t="shared" si="29"/>
        <v>0.12393541767387183</v>
      </c>
      <c r="BC64" s="5">
        <f t="shared" si="30"/>
        <v>19.424463718871674</v>
      </c>
      <c r="BD64" s="5">
        <f t="shared" si="31"/>
        <v>6.60399085759516</v>
      </c>
      <c r="BF64" s="5">
        <f t="shared" si="40"/>
        <v>28.606442951670086</v>
      </c>
      <c r="BH64" s="5">
        <f t="shared" si="32"/>
        <v>-1.3360179609874976</v>
      </c>
      <c r="BI64" s="5">
        <f t="shared" si="33"/>
        <v>-4.781832622798895</v>
      </c>
      <c r="BJ64" s="5">
        <f t="shared" si="34"/>
        <v>-0.46662968997226884</v>
      </c>
      <c r="BK64" s="5">
        <f t="shared" si="35"/>
        <v>0.7072119374167268</v>
      </c>
      <c r="BL64" s="5">
        <f t="shared" si="36"/>
        <v>5.310857849832768</v>
      </c>
      <c r="BM64" s="5">
        <f t="shared" si="37"/>
        <v>0.5664104865091613</v>
      </c>
      <c r="BO64" s="5">
        <f t="shared" si="38"/>
        <v>3.2992799611386765</v>
      </c>
      <c r="BP64" s="5">
        <f t="shared" si="39"/>
        <v>0</v>
      </c>
    </row>
    <row r="65" spans="1:68" ht="15">
      <c r="A65" s="4" t="s">
        <v>61</v>
      </c>
      <c r="B65" s="5">
        <v>21120308</v>
      </c>
      <c r="C65" s="5">
        <f t="shared" si="17"/>
        <v>21225909.54</v>
      </c>
      <c r="D65" s="5">
        <v>21797274.396291804</v>
      </c>
      <c r="E65" s="5">
        <f>7658972.5330006+F65</f>
        <v>8230337.389292404</v>
      </c>
      <c r="F65" s="5">
        <f t="shared" si="18"/>
        <v>571364.8562918045</v>
      </c>
      <c r="G65" s="5">
        <f t="shared" si="19"/>
        <v>21225909.54</v>
      </c>
      <c r="H65" s="5">
        <f t="shared" si="20"/>
        <v>23821042.621392827</v>
      </c>
      <c r="I65" s="5">
        <f t="shared" si="21"/>
        <v>28470452.409944866</v>
      </c>
      <c r="J65" s="5">
        <f t="shared" si="22"/>
        <v>30188815.483392827</v>
      </c>
      <c r="K65" s="5">
        <f t="shared" si="23"/>
        <v>34838225.271944866</v>
      </c>
      <c r="L65" s="5" t="e">
        <f>'Potentialer og krav'!#REF!</f>
        <v>#REF!</v>
      </c>
      <c r="M65" s="5">
        <f t="shared" si="41"/>
        <v>105601.54000000001</v>
      </c>
      <c r="N65" s="5">
        <f t="shared" si="42"/>
        <v>488195.91942</v>
      </c>
      <c r="O65" s="5">
        <f t="shared" si="43"/>
        <v>13566937.0069994</v>
      </c>
      <c r="P65" s="5">
        <f t="shared" si="44"/>
        <v>488195.91942</v>
      </c>
      <c r="Q65" s="5">
        <f t="shared" si="45"/>
        <v>21714105.459419996</v>
      </c>
      <c r="R65" s="5">
        <f t="shared" si="46"/>
        <v>21714105.459419996</v>
      </c>
      <c r="S65" s="5">
        <f t="shared" si="47"/>
        <v>501337.31111471145</v>
      </c>
      <c r="T65" s="5">
        <f t="shared" si="48"/>
        <v>22298611.707406513</v>
      </c>
      <c r="U65" s="20">
        <f t="shared" si="24"/>
        <v>-584506.2479865178</v>
      </c>
      <c r="V65" s="20" t="str">
        <f t="shared" si="49"/>
        <v>tal til venstre</v>
      </c>
      <c r="X65" s="19" t="s">
        <v>61</v>
      </c>
      <c r="Y65" s="19">
        <v>114</v>
      </c>
      <c r="Z65" s="19">
        <v>183</v>
      </c>
      <c r="AA65" s="19"/>
      <c r="AB65" s="19"/>
      <c r="AC65" s="19"/>
      <c r="AD65" s="19"/>
      <c r="AE65" s="19">
        <v>4</v>
      </c>
      <c r="AF65" s="19"/>
      <c r="AG65" s="19">
        <v>333</v>
      </c>
      <c r="AH65" s="19">
        <v>175</v>
      </c>
      <c r="AI65" s="19"/>
      <c r="AJ65" s="19"/>
      <c r="AK65" s="20">
        <v>8029</v>
      </c>
      <c r="AL65" s="5">
        <v>15787550.92139283</v>
      </c>
      <c r="AM65" s="21">
        <f t="shared" si="50"/>
        <v>4100118</v>
      </c>
      <c r="AN65" s="19">
        <f t="shared" si="51"/>
        <v>54092</v>
      </c>
      <c r="AO65" s="19">
        <f t="shared" si="52"/>
        <v>0</v>
      </c>
      <c r="AP65" s="19">
        <f t="shared" si="53"/>
        <v>2783840</v>
      </c>
      <c r="AQ65" s="19">
        <f t="shared" si="54"/>
        <v>998004.7</v>
      </c>
      <c r="AR65" s="19"/>
      <c r="AS65" s="19">
        <f>SUM(AL65:AR65)+AV65</f>
        <v>23821042.621392827</v>
      </c>
      <c r="AT65" s="21">
        <f t="shared" si="56"/>
        <v>28470452.409944866</v>
      </c>
      <c r="AU65" s="5">
        <v>33.398521891398815</v>
      </c>
      <c r="AV65" s="5">
        <v>97437</v>
      </c>
      <c r="AX65" s="5" t="str">
        <f t="shared" si="25"/>
        <v>Morsø Forsyning A/S</v>
      </c>
      <c r="AY65" s="5">
        <f t="shared" si="26"/>
        <v>66.54785606095375</v>
      </c>
      <c r="AZ65" s="5">
        <f t="shared" si="27"/>
        <v>17.28286191160886</v>
      </c>
      <c r="BA65" s="5">
        <f t="shared" si="28"/>
        <v>0.22800918571678827</v>
      </c>
      <c r="BB65" s="5">
        <f t="shared" si="29"/>
        <v>0</v>
      </c>
      <c r="BC65" s="5">
        <f t="shared" si="30"/>
        <v>11.73447259420661</v>
      </c>
      <c r="BD65" s="5">
        <f t="shared" si="31"/>
        <v>4.206800247514005</v>
      </c>
      <c r="BF65" s="5">
        <f t="shared" si="40"/>
        <v>16.169282027437404</v>
      </c>
      <c r="BH65" s="5">
        <f t="shared" si="32"/>
        <v>-17.906572715660552</v>
      </c>
      <c r="BI65" s="5">
        <f t="shared" si="33"/>
        <v>-0.7723742100324138</v>
      </c>
      <c r="BJ65" s="5">
        <f t="shared" si="34"/>
        <v>1.8833494995141948</v>
      </c>
      <c r="BK65" s="5">
        <f t="shared" si="35"/>
        <v>0.8311473550905987</v>
      </c>
      <c r="BL65" s="5">
        <f t="shared" si="36"/>
        <v>13.000848974497833</v>
      </c>
      <c r="BM65" s="5">
        <f t="shared" si="37"/>
        <v>2.963601096590316</v>
      </c>
      <c r="BO65" s="5">
        <f t="shared" si="38"/>
        <v>15.736440885371358</v>
      </c>
      <c r="BP65" s="5">
        <f t="shared" si="39"/>
        <v>0</v>
      </c>
    </row>
    <row r="66" spans="1:68" ht="15">
      <c r="A66" s="4" t="s">
        <v>62</v>
      </c>
      <c r="B66" s="5">
        <v>34105625</v>
      </c>
      <c r="C66" s="5">
        <f t="shared" si="17"/>
        <v>34276153.125</v>
      </c>
      <c r="D66" s="5">
        <v>27641744.6307422</v>
      </c>
      <c r="E66" s="5">
        <v>8395522.058065731</v>
      </c>
      <c r="F66" s="5" t="str">
        <f t="shared" si="18"/>
        <v>ingen</v>
      </c>
      <c r="G66" s="5">
        <f t="shared" si="19"/>
        <v>27641744.6307422</v>
      </c>
      <c r="H66" s="5">
        <f t="shared" si="20"/>
        <v>31446510.373953465</v>
      </c>
      <c r="I66" s="5">
        <f t="shared" si="21"/>
        <v>42735807.59820276</v>
      </c>
      <c r="J66" s="5">
        <f t="shared" si="22"/>
        <v>39739033.76317613</v>
      </c>
      <c r="K66" s="5">
        <f t="shared" si="23"/>
        <v>51028330.98742542</v>
      </c>
      <c r="L66" s="5">
        <f>'Potentialer og krav'!R34</f>
        <v>0</v>
      </c>
      <c r="M66" s="5">
        <f t="shared" si="41"/>
        <v>170528.125</v>
      </c>
      <c r="N66" s="5">
        <f t="shared" si="42"/>
        <v>788351.521875</v>
      </c>
      <c r="O66" s="5">
        <f t="shared" si="43"/>
        <v>19246222.57267647</v>
      </c>
      <c r="P66" s="5">
        <f t="shared" si="44"/>
        <v>635760.1265070706</v>
      </c>
      <c r="Q66" s="5">
        <f>1.023*G66</f>
        <v>28277504.75724927</v>
      </c>
      <c r="R66" s="5">
        <f t="shared" si="46"/>
        <v>35064504.646874994</v>
      </c>
      <c r="S66" s="5">
        <f t="shared" si="47"/>
        <v>635760.1265070706</v>
      </c>
      <c r="T66" s="5">
        <f t="shared" si="48"/>
        <v>28277504.75724927</v>
      </c>
      <c r="U66" s="20">
        <f t="shared" si="24"/>
        <v>6786999.889625724</v>
      </c>
      <c r="V66" s="20" t="str">
        <f t="shared" si="49"/>
        <v>ingen</v>
      </c>
      <c r="X66" s="4" t="s">
        <v>62</v>
      </c>
      <c r="Y66" s="19"/>
      <c r="Z66" s="19"/>
      <c r="AA66" s="19">
        <f>8-8</f>
        <v>0</v>
      </c>
      <c r="AB66" s="19">
        <f>2-2</f>
        <v>0</v>
      </c>
      <c r="AC66" s="19">
        <f>6-6</f>
        <v>0</v>
      </c>
      <c r="AD66" s="19"/>
      <c r="AE66" s="19"/>
      <c r="AF66" s="19"/>
      <c r="AG66" s="19"/>
      <c r="AH66" s="19">
        <f>7-7</f>
        <v>0</v>
      </c>
      <c r="AI66" s="19"/>
      <c r="AJ66" s="19">
        <f>1.52+12.28</f>
        <v>13.799999999999999</v>
      </c>
      <c r="AK66" s="19"/>
      <c r="AL66" s="19">
        <v>21900297.373953465</v>
      </c>
      <c r="AM66" s="21">
        <f t="shared" si="50"/>
        <v>0</v>
      </c>
      <c r="AN66" s="19">
        <f t="shared" si="51"/>
        <v>0</v>
      </c>
      <c r="AO66" s="19">
        <f t="shared" si="52"/>
        <v>0</v>
      </c>
      <c r="AP66" s="19">
        <f t="shared" si="53"/>
        <v>1290714</v>
      </c>
      <c r="AQ66" s="19">
        <f t="shared" si="54"/>
        <v>0</v>
      </c>
      <c r="AR66" s="19"/>
      <c r="AS66" s="19">
        <f t="shared" si="55"/>
        <v>31446510.373953465</v>
      </c>
      <c r="AT66" s="21">
        <f t="shared" si="56"/>
        <v>42735807.59820276</v>
      </c>
      <c r="AU66" s="5">
        <v>46</v>
      </c>
      <c r="AV66" s="5">
        <v>8255499</v>
      </c>
      <c r="AX66" s="5" t="str">
        <f t="shared" si="25"/>
        <v>Mølleåværket A/S</v>
      </c>
      <c r="AY66" s="5">
        <f t="shared" si="26"/>
        <v>94.43442125404829</v>
      </c>
      <c r="AZ66" s="5">
        <f t="shared" si="27"/>
        <v>0</v>
      </c>
      <c r="BA66" s="5">
        <f t="shared" si="28"/>
        <v>0</v>
      </c>
      <c r="BB66" s="5">
        <f t="shared" si="29"/>
        <v>0</v>
      </c>
      <c r="BC66" s="5">
        <f t="shared" si="30"/>
        <v>5.56557874595172</v>
      </c>
      <c r="BD66" s="5">
        <f t="shared" si="31"/>
        <v>0</v>
      </c>
      <c r="BF66" s="5">
        <f t="shared" si="40"/>
        <v>5.56557874595172</v>
      </c>
      <c r="BH66" s="5">
        <f t="shared" si="32"/>
        <v>-45.79313790875509</v>
      </c>
      <c r="BI66" s="5">
        <f t="shared" si="33"/>
        <v>16.510487701576448</v>
      </c>
      <c r="BJ66" s="5">
        <f t="shared" si="34"/>
        <v>2.111358685230983</v>
      </c>
      <c r="BK66" s="5">
        <f t="shared" si="35"/>
        <v>0.8311473550905987</v>
      </c>
      <c r="BL66" s="5">
        <f t="shared" si="36"/>
        <v>19.169742822752724</v>
      </c>
      <c r="BM66" s="5">
        <f t="shared" si="37"/>
        <v>7.170401344104321</v>
      </c>
      <c r="BO66" s="5">
        <f t="shared" si="38"/>
        <v>26.340144166857044</v>
      </c>
      <c r="BP66" s="5">
        <f t="shared" si="39"/>
        <v>0</v>
      </c>
    </row>
    <row r="67" spans="1:68" ht="15">
      <c r="A67" s="4" t="s">
        <v>63</v>
      </c>
      <c r="B67" s="5">
        <v>16689596</v>
      </c>
      <c r="C67" s="5">
        <f t="shared" si="17"/>
        <v>16773043.979999999</v>
      </c>
      <c r="D67" s="5">
        <v>13400261</v>
      </c>
      <c r="E67" s="5">
        <v>3694633.767678971</v>
      </c>
      <c r="F67" s="5" t="str">
        <f t="shared" si="18"/>
        <v>ingen</v>
      </c>
      <c r="G67" s="5">
        <f t="shared" si="19"/>
        <v>13400261</v>
      </c>
      <c r="H67" s="5">
        <f t="shared" si="20"/>
        <v>13008883.253876723</v>
      </c>
      <c r="I67" s="5">
        <f t="shared" si="21"/>
        <v>9899760.156200187</v>
      </c>
      <c r="J67" s="5">
        <f t="shared" si="22"/>
        <v>17028961.553876724</v>
      </c>
      <c r="K67" s="5">
        <f t="shared" si="23"/>
        <v>13919838.456200186</v>
      </c>
      <c r="L67" s="5">
        <f>'Potentialer og krav'!R35</f>
        <v>194192.11565833332</v>
      </c>
      <c r="M67" s="5">
        <f t="shared" si="41"/>
        <v>83447.98</v>
      </c>
      <c r="N67" s="5">
        <f t="shared" si="42"/>
        <v>385780.01154</v>
      </c>
      <c r="O67" s="5">
        <f t="shared" si="43"/>
        <v>9705627.23232103</v>
      </c>
      <c r="P67" s="5">
        <f t="shared" si="44"/>
        <v>308206.00299999997</v>
      </c>
      <c r="Q67" s="5">
        <f t="shared" si="45"/>
        <v>13708467.002999999</v>
      </c>
      <c r="R67" s="5">
        <f t="shared" si="46"/>
        <v>17158823.991539996</v>
      </c>
      <c r="S67" s="5">
        <f t="shared" si="47"/>
        <v>308206.00299999997</v>
      </c>
      <c r="T67" s="5">
        <f t="shared" si="48"/>
        <v>13708467.002999999</v>
      </c>
      <c r="U67" s="20">
        <f t="shared" si="24"/>
        <v>3450356.9885399975</v>
      </c>
      <c r="V67" s="20" t="str">
        <f t="shared" si="49"/>
        <v>ingen</v>
      </c>
      <c r="X67" s="19" t="s">
        <v>63</v>
      </c>
      <c r="Y67" s="19">
        <v>0</v>
      </c>
      <c r="Z67" s="19">
        <v>0</v>
      </c>
      <c r="AA67" s="19">
        <v>6</v>
      </c>
      <c r="AB67" s="19">
        <v>0</v>
      </c>
      <c r="AC67" s="19">
        <v>0</v>
      </c>
      <c r="AD67" s="19">
        <v>0</v>
      </c>
      <c r="AE67" s="19">
        <v>0</v>
      </c>
      <c r="AF67" s="19">
        <v>2000</v>
      </c>
      <c r="AG67" s="19">
        <v>0</v>
      </c>
      <c r="AH67" s="19">
        <v>0</v>
      </c>
      <c r="AI67" s="19">
        <v>0</v>
      </c>
      <c r="AJ67" s="19">
        <v>0</v>
      </c>
      <c r="AK67" s="20">
        <v>3</v>
      </c>
      <c r="AL67" s="5">
        <v>12554208.353876723</v>
      </c>
      <c r="AM67" s="21">
        <f t="shared" si="50"/>
        <v>406182</v>
      </c>
      <c r="AN67" s="19">
        <f t="shared" si="51"/>
        <v>0</v>
      </c>
      <c r="AO67" s="19">
        <f t="shared" si="52"/>
        <v>48120</v>
      </c>
      <c r="AP67" s="19">
        <f t="shared" si="53"/>
        <v>0</v>
      </c>
      <c r="AQ67" s="19">
        <f t="shared" si="54"/>
        <v>372.9</v>
      </c>
      <c r="AR67" s="19"/>
      <c r="AS67" s="19">
        <f t="shared" si="55"/>
        <v>13008883.253876723</v>
      </c>
      <c r="AT67" s="21">
        <f t="shared" si="56"/>
        <v>9899760.156200187</v>
      </c>
      <c r="AU67" s="5">
        <v>0</v>
      </c>
      <c r="AX67" s="5" t="str">
        <f t="shared" si="25"/>
        <v>Måløv Rens A/S</v>
      </c>
      <c r="AY67" s="5">
        <f t="shared" si="26"/>
        <v>96.50488907366814</v>
      </c>
      <c r="AZ67" s="5">
        <f t="shared" si="27"/>
        <v>3.1223433408778987</v>
      </c>
      <c r="BA67" s="5">
        <f t="shared" si="28"/>
        <v>0</v>
      </c>
      <c r="BB67" s="5">
        <f t="shared" si="29"/>
        <v>0.3699010826748711</v>
      </c>
      <c r="BC67" s="5">
        <f t="shared" si="30"/>
        <v>0</v>
      </c>
      <c r="BD67" s="5">
        <f t="shared" si="31"/>
        <v>0.002866502779082698</v>
      </c>
      <c r="BF67" s="5">
        <f t="shared" si="40"/>
        <v>0.002866502779082698</v>
      </c>
      <c r="BH67" s="5">
        <f t="shared" si="32"/>
        <v>-47.86360572837494</v>
      </c>
      <c r="BI67" s="5">
        <f t="shared" si="33"/>
        <v>13.388144360698549</v>
      </c>
      <c r="BJ67" s="5">
        <f t="shared" si="34"/>
        <v>2.111358685230983</v>
      </c>
      <c r="BK67" s="5">
        <f t="shared" si="35"/>
        <v>0.4612462724157276</v>
      </c>
      <c r="BL67" s="5">
        <f t="shared" si="36"/>
        <v>24.735321568704443</v>
      </c>
      <c r="BM67" s="5">
        <f t="shared" si="37"/>
        <v>7.167534841325239</v>
      </c>
      <c r="BO67" s="5">
        <f t="shared" si="38"/>
        <v>31.90285641002968</v>
      </c>
      <c r="BP67" s="5">
        <f t="shared" si="39"/>
        <v>0</v>
      </c>
    </row>
    <row r="68" spans="1:68" ht="15">
      <c r="A68" s="4" t="s">
        <v>64</v>
      </c>
      <c r="B68" s="5">
        <v>24766353</v>
      </c>
      <c r="C68" s="5">
        <f t="shared" si="17"/>
        <v>24890184.764999997</v>
      </c>
      <c r="D68" s="5">
        <v>27635159.5338028</v>
      </c>
      <c r="E68" s="5">
        <v>7449712.735921638</v>
      </c>
      <c r="F68" s="5">
        <f t="shared" si="18"/>
        <v>2744974.768802803</v>
      </c>
      <c r="G68" s="5">
        <f t="shared" si="19"/>
        <v>24890184.764999997</v>
      </c>
      <c r="H68" s="5">
        <f t="shared" si="20"/>
        <v>30614483.635087598</v>
      </c>
      <c r="I68" s="5">
        <f t="shared" si="21"/>
        <v>38231263.98124765</v>
      </c>
      <c r="J68" s="5">
        <f t="shared" si="22"/>
        <v>38081539.06458759</v>
      </c>
      <c r="K68" s="5">
        <f t="shared" si="23"/>
        <v>45698319.41074765</v>
      </c>
      <c r="L68" s="5" t="e">
        <f>'Potentialer og krav'!#REF!</f>
        <v>#REF!</v>
      </c>
      <c r="M68" s="5">
        <f aca="true" t="shared" si="58" ref="M68:M99">0.005*B68</f>
        <v>123831.765</v>
      </c>
      <c r="N68" s="5">
        <f aca="true" t="shared" si="59" ref="N68:N99">0.023*C68</f>
        <v>572474.249595</v>
      </c>
      <c r="O68" s="5">
        <f aca="true" t="shared" si="60" ref="O68:O99">D68-E68</f>
        <v>20185446.797881164</v>
      </c>
      <c r="P68" s="5">
        <f aca="true" t="shared" si="61" ref="P68:P99">0.023*G68</f>
        <v>572474.249595</v>
      </c>
      <c r="Q68" s="5">
        <f aca="true" t="shared" si="62" ref="Q68:Q99">1.023*G68</f>
        <v>25462659.014594994</v>
      </c>
      <c r="R68" s="5">
        <f aca="true" t="shared" si="63" ref="R68:R99">1.023*C68</f>
        <v>25462659.014594994</v>
      </c>
      <c r="S68" s="5">
        <f aca="true" t="shared" si="64" ref="S68:S99">0.023*D68</f>
        <v>635608.6692774644</v>
      </c>
      <c r="T68" s="5">
        <f aca="true" t="shared" si="65" ref="T68:T99">1.023*D68</f>
        <v>28270768.203080263</v>
      </c>
      <c r="U68" s="20">
        <f t="shared" si="24"/>
        <v>-2808109.1884852685</v>
      </c>
      <c r="V68" s="20" t="str">
        <f aca="true" t="shared" si="66" ref="V68:V99">IF(F68="ingen","ingen",IF(G68&lt;=O68,Q68-T68,"tal til venstre"))</f>
        <v>tal til venstre</v>
      </c>
      <c r="X68" s="19" t="s">
        <v>64</v>
      </c>
      <c r="Y68" s="19">
        <v>545</v>
      </c>
      <c r="Z68" s="19">
        <v>114</v>
      </c>
      <c r="AA68" s="19">
        <v>9</v>
      </c>
      <c r="AB68" s="19">
        <v>6</v>
      </c>
      <c r="AC68" s="19">
        <v>3</v>
      </c>
      <c r="AD68" s="19"/>
      <c r="AE68" s="19">
        <v>35</v>
      </c>
      <c r="AF68" s="19">
        <v>2520</v>
      </c>
      <c r="AG68" s="19">
        <v>155</v>
      </c>
      <c r="AH68" s="19">
        <v>337</v>
      </c>
      <c r="AI68" s="19">
        <v>0</v>
      </c>
      <c r="AJ68" s="19">
        <v>0</v>
      </c>
      <c r="AK68" s="20">
        <v>12453</v>
      </c>
      <c r="AL68" s="5">
        <v>16155122.5350876</v>
      </c>
      <c r="AM68" s="21">
        <f aca="true" t="shared" si="67" ref="AM68:AM99">7983*Y68+17432*Z68+67697*(AA68+AB68)+775973*(AC68+AD68)</f>
        <v>9681357</v>
      </c>
      <c r="AN68" s="19">
        <f aca="true" t="shared" si="68" ref="AN68:AN99">AE68*13523</f>
        <v>473305</v>
      </c>
      <c r="AO68" s="19">
        <f aca="true" t="shared" si="69" ref="AO68:AO99">AF68*24.06</f>
        <v>60631.2</v>
      </c>
      <c r="AP68" s="19">
        <f aca="true" t="shared" si="70" ref="AP68:AP99">5.48*(AG68+AH68)*1000+93.53*(AI68+AJ68)*1000</f>
        <v>2696160.0000000005</v>
      </c>
      <c r="AQ68" s="19">
        <f aca="true" t="shared" si="71" ref="AQ68:AQ99">124.3*AK68</f>
        <v>1547907.9</v>
      </c>
      <c r="AR68" s="19"/>
      <c r="AS68" s="19">
        <f aca="true" t="shared" si="72" ref="AS68:AS99">SUM(AL68:AR68)+AV68</f>
        <v>30614483.635087598</v>
      </c>
      <c r="AT68" s="21">
        <f aca="true" t="shared" si="73" ref="AT68:AT99">(0.761+0.013*AU68)*AS68</f>
        <v>38231263.98124765</v>
      </c>
      <c r="AU68" s="5">
        <v>37.5228176635634</v>
      </c>
      <c r="AX68" s="5" t="str">
        <f t="shared" si="25"/>
        <v>NFS Spildevand A/S</v>
      </c>
      <c r="AY68" s="5">
        <f t="shared" si="26"/>
        <v>52.769541135007216</v>
      </c>
      <c r="AZ68" s="5">
        <f t="shared" si="27"/>
        <v>31.62345351108287</v>
      </c>
      <c r="BA68" s="5">
        <f t="shared" si="28"/>
        <v>1.5460166032574854</v>
      </c>
      <c r="BB68" s="5">
        <f t="shared" si="29"/>
        <v>0.19804743637913239</v>
      </c>
      <c r="BC68" s="5">
        <f t="shared" si="30"/>
        <v>8.806811939528849</v>
      </c>
      <c r="BD68" s="5">
        <f t="shared" si="31"/>
        <v>5.056129374744462</v>
      </c>
      <c r="BF68" s="5">
        <f t="shared" si="40"/>
        <v>15.408957917530795</v>
      </c>
      <c r="BH68" s="5">
        <f t="shared" si="32"/>
        <v>-4.12825778971402</v>
      </c>
      <c r="BI68" s="5">
        <f t="shared" si="33"/>
        <v>-15.112965809506424</v>
      </c>
      <c r="BJ68" s="5">
        <f t="shared" si="34"/>
        <v>0.5653420819734978</v>
      </c>
      <c r="BK68" s="5">
        <f t="shared" si="35"/>
        <v>0.6330999187114663</v>
      </c>
      <c r="BL68" s="5">
        <f t="shared" si="36"/>
        <v>15.928509629175593</v>
      </c>
      <c r="BM68" s="5">
        <f t="shared" si="37"/>
        <v>2.1142719693598595</v>
      </c>
      <c r="BO68" s="5">
        <f t="shared" si="38"/>
        <v>16.496764995277967</v>
      </c>
      <c r="BP68" s="5">
        <f t="shared" si="39"/>
        <v>0</v>
      </c>
    </row>
    <row r="69" spans="1:68" ht="15">
      <c r="A69" s="4" t="s">
        <v>65</v>
      </c>
      <c r="B69" s="5">
        <v>52804591</v>
      </c>
      <c r="C69" s="5">
        <f aca="true" t="shared" si="74" ref="C69:C108">B69*1.005</f>
        <v>53068613.95499999</v>
      </c>
      <c r="D69" s="5">
        <v>54212728.684924595</v>
      </c>
      <c r="E69" s="5">
        <v>24671101.463571142</v>
      </c>
      <c r="F69" s="5">
        <f aca="true" t="shared" si="75" ref="F69:F106">IF(D69&gt;C69,D69-C69,"ingen")</f>
        <v>1144114.7299246043</v>
      </c>
      <c r="G69" s="5">
        <f aca="true" t="shared" si="76" ref="G69:G106">IF(F69="ingen",D69,IF(E69&lt;F69,D69-E69,C69))</f>
        <v>53068613.95499999</v>
      </c>
      <c r="H69" s="5">
        <f aca="true" t="shared" si="77" ref="H69:H106">AS69</f>
        <v>45673172.78557603</v>
      </c>
      <c r="I69" s="5">
        <f aca="true" t="shared" si="78" ref="I69:I106">AT69</f>
        <v>54950634.614892654</v>
      </c>
      <c r="J69" s="5">
        <f aca="true" t="shared" si="79" ref="J69:J106">H69+(0.3*G69)</f>
        <v>61593756.97207603</v>
      </c>
      <c r="K69" s="5">
        <f aca="true" t="shared" si="80" ref="K69:K106">I69+(0.3*G69)</f>
        <v>70871218.80139264</v>
      </c>
      <c r="L69" s="5" t="e">
        <f>'Potentialer og krav'!#REF!</f>
        <v>#REF!</v>
      </c>
      <c r="M69" s="5">
        <f t="shared" si="58"/>
        <v>264022.955</v>
      </c>
      <c r="N69" s="5">
        <f t="shared" si="59"/>
        <v>1220578.1209649998</v>
      </c>
      <c r="O69" s="5">
        <f t="shared" si="60"/>
        <v>29541627.221353453</v>
      </c>
      <c r="P69" s="5">
        <f t="shared" si="61"/>
        <v>1220578.1209649998</v>
      </c>
      <c r="Q69" s="5">
        <f t="shared" si="62"/>
        <v>54289192.07596499</v>
      </c>
      <c r="R69" s="5">
        <f t="shared" si="63"/>
        <v>54289192.07596499</v>
      </c>
      <c r="S69" s="5">
        <f t="shared" si="64"/>
        <v>1246892.7597532657</v>
      </c>
      <c r="T69" s="5">
        <f t="shared" si="65"/>
        <v>55459621.44467786</v>
      </c>
      <c r="U69" s="20">
        <f aca="true" t="shared" si="81" ref="U69:U106">R69-T69</f>
        <v>-1170429.3687128723</v>
      </c>
      <c r="V69" s="20" t="str">
        <f t="shared" si="66"/>
        <v>tal til venstre</v>
      </c>
      <c r="X69" s="19" t="s">
        <v>65</v>
      </c>
      <c r="Y69" s="19">
        <v>279</v>
      </c>
      <c r="Z69" s="19">
        <v>117</v>
      </c>
      <c r="AA69" s="19">
        <v>7</v>
      </c>
      <c r="AB69" s="19">
        <v>1</v>
      </c>
      <c r="AC69" s="19">
        <v>0</v>
      </c>
      <c r="AD69" s="19">
        <v>1</v>
      </c>
      <c r="AE69" s="19">
        <v>61</v>
      </c>
      <c r="AF69" s="19">
        <v>17360</v>
      </c>
      <c r="AG69" s="19">
        <v>301</v>
      </c>
      <c r="AH69" s="19">
        <f>814-18</f>
        <v>796</v>
      </c>
      <c r="AI69" s="19">
        <f>55+18</f>
        <v>73</v>
      </c>
      <c r="AJ69" s="19">
        <v>0</v>
      </c>
      <c r="AK69" s="20">
        <v>24392</v>
      </c>
      <c r="AL69" s="5">
        <v>22975062.585576028</v>
      </c>
      <c r="AM69" s="21">
        <f t="shared" si="67"/>
        <v>5584350</v>
      </c>
      <c r="AN69" s="19">
        <f t="shared" si="68"/>
        <v>824903</v>
      </c>
      <c r="AO69" s="19">
        <f t="shared" si="69"/>
        <v>417681.6</v>
      </c>
      <c r="AP69" s="19">
        <f t="shared" si="70"/>
        <v>12839250</v>
      </c>
      <c r="AQ69" s="19">
        <f t="shared" si="71"/>
        <v>3031925.6</v>
      </c>
      <c r="AR69" s="19"/>
      <c r="AS69" s="19">
        <f t="shared" si="72"/>
        <v>45673172.78557603</v>
      </c>
      <c r="AT69" s="21">
        <f t="shared" si="73"/>
        <v>54950634.614892654</v>
      </c>
      <c r="AU69" s="5">
        <v>34.00978145962932</v>
      </c>
      <c r="AX69" s="5" t="str">
        <f aca="true" t="shared" si="82" ref="AX69:AX106">X69</f>
        <v>NK-Spildevand A/S</v>
      </c>
      <c r="AY69" s="5">
        <f aca="true" t="shared" si="83" ref="AY69:AY106">(AL69/SUM($AL69:$AQ69))*100</f>
        <v>50.3031893436397</v>
      </c>
      <c r="AZ69" s="5">
        <f aca="true" t="shared" si="84" ref="AZ69:AZ106">(AM69/SUM($AL69:$AQ69))*100</f>
        <v>12.226761705864202</v>
      </c>
      <c r="BA69" s="5">
        <f aca="true" t="shared" si="85" ref="BA69:BA106">(AN69/SUM($AL69:$AQ69))*100</f>
        <v>1.8060996197323764</v>
      </c>
      <c r="BB69" s="5">
        <f aca="true" t="shared" si="86" ref="BB69:BB106">(AO69/SUM($AL69:$AQ69))*100</f>
        <v>0.9145009521473562</v>
      </c>
      <c r="BC69" s="5">
        <f aca="true" t="shared" si="87" ref="BC69:BC106">(AP69/SUM($AL69:$AQ69))*100</f>
        <v>28.11114099797057</v>
      </c>
      <c r="BD69" s="5">
        <f aca="true" t="shared" si="88" ref="BD69:BD105">(AQ69/SUM($AL69:$AQ69))*100</f>
        <v>6.638307380645794</v>
      </c>
      <c r="BF69" s="5">
        <f t="shared" si="40"/>
        <v>36.555547998348736</v>
      </c>
      <c r="BH69" s="5">
        <f aca="true" t="shared" si="89" ref="BH69:BH106">$AY$110-AY69</f>
        <v>-1.661905998346505</v>
      </c>
      <c r="BI69" s="5">
        <f aca="true" t="shared" si="90" ref="BI69:BI106">$AZ$110-AZ69</f>
        <v>4.2837259957122455</v>
      </c>
      <c r="BJ69" s="5">
        <f aca="true" t="shared" si="91" ref="BJ69:BJ106">$BA$110-BA69</f>
        <v>0.3052590654986067</v>
      </c>
      <c r="BK69" s="5">
        <f aca="true" t="shared" si="92" ref="BK69:BK106">$BB$110-BB69</f>
        <v>-0.08335359705675749</v>
      </c>
      <c r="BL69" s="5">
        <f aca="true" t="shared" si="93" ref="BL69:BL106">$BC$110-BC69</f>
        <v>-3.3758194292661265</v>
      </c>
      <c r="BM69" s="5">
        <f aca="true" t="shared" si="94" ref="BM69:BM106">$BD$110-BD69</f>
        <v>0.5320939634585269</v>
      </c>
      <c r="BO69" s="5">
        <f aca="true" t="shared" si="95" ref="BO69:BO106">$BF$110-BF69</f>
        <v>-4.649825085539973</v>
      </c>
      <c r="BP69" s="5">
        <f aca="true" t="shared" si="96" ref="BP69:BP106">IF(BO69&lt;$BF$113,(BO69-$BF$113)*0.3265*0.7,0)</f>
        <v>0</v>
      </c>
    </row>
    <row r="70" spans="1:68" ht="15">
      <c r="A70" s="4" t="s">
        <v>66</v>
      </c>
      <c r="B70" s="5">
        <v>12959401</v>
      </c>
      <c r="C70" s="5">
        <f t="shared" si="74"/>
        <v>13024198.004999999</v>
      </c>
      <c r="D70" s="5">
        <v>13126071.0443702</v>
      </c>
      <c r="E70" s="5">
        <v>4806276.160954419</v>
      </c>
      <c r="F70" s="5">
        <f t="shared" si="75"/>
        <v>101873.03937020153</v>
      </c>
      <c r="G70" s="5">
        <f t="shared" si="76"/>
        <v>13024198.004999999</v>
      </c>
      <c r="H70" s="5">
        <f t="shared" si="77"/>
        <v>12862913.816481266</v>
      </c>
      <c r="I70" s="5">
        <f t="shared" si="78"/>
        <v>14809743.517371945</v>
      </c>
      <c r="J70" s="5">
        <f t="shared" si="79"/>
        <v>16770173.217981266</v>
      </c>
      <c r="K70" s="5">
        <f t="shared" si="80"/>
        <v>18717002.918871947</v>
      </c>
      <c r="L70" s="5" t="e">
        <f>'Potentialer og krav'!#REF!</f>
        <v>#REF!</v>
      </c>
      <c r="M70" s="5">
        <f t="shared" si="58"/>
        <v>64797.005000000005</v>
      </c>
      <c r="N70" s="5">
        <f t="shared" si="59"/>
        <v>299556.55411499995</v>
      </c>
      <c r="O70" s="5">
        <f t="shared" si="60"/>
        <v>8319794.883415782</v>
      </c>
      <c r="P70" s="5">
        <f t="shared" si="61"/>
        <v>299556.55411499995</v>
      </c>
      <c r="Q70" s="5">
        <f t="shared" si="62"/>
        <v>13323754.559114998</v>
      </c>
      <c r="R70" s="5">
        <f t="shared" si="63"/>
        <v>13323754.559114998</v>
      </c>
      <c r="S70" s="5">
        <f t="shared" si="64"/>
        <v>301899.6340205146</v>
      </c>
      <c r="T70" s="5">
        <f t="shared" si="65"/>
        <v>13427970.678390713</v>
      </c>
      <c r="U70" s="20">
        <f t="shared" si="81"/>
        <v>-104216.1192757152</v>
      </c>
      <c r="V70" s="20" t="str">
        <f t="shared" si="66"/>
        <v>tal til venstre</v>
      </c>
      <c r="X70" s="19" t="s">
        <v>66</v>
      </c>
      <c r="Y70" s="19">
        <v>87</v>
      </c>
      <c r="Z70" s="19">
        <v>47</v>
      </c>
      <c r="AA70" s="19"/>
      <c r="AB70" s="19"/>
      <c r="AC70" s="19"/>
      <c r="AD70" s="19"/>
      <c r="AE70" s="19">
        <v>33</v>
      </c>
      <c r="AF70" s="19"/>
      <c r="AG70" s="19">
        <v>212</v>
      </c>
      <c r="AH70" s="19">
        <v>187</v>
      </c>
      <c r="AI70" s="19">
        <v>10</v>
      </c>
      <c r="AJ70" s="19">
        <v>0</v>
      </c>
      <c r="AK70" s="20">
        <v>7970</v>
      </c>
      <c r="AL70" s="5">
        <v>6790338.816481266</v>
      </c>
      <c r="AM70" s="21">
        <f t="shared" si="67"/>
        <v>1513825</v>
      </c>
      <c r="AN70" s="19">
        <f t="shared" si="68"/>
        <v>446259</v>
      </c>
      <c r="AO70" s="19">
        <f t="shared" si="69"/>
        <v>0</v>
      </c>
      <c r="AP70" s="19">
        <f t="shared" si="70"/>
        <v>3121820</v>
      </c>
      <c r="AQ70" s="19">
        <f t="shared" si="71"/>
        <v>990671</v>
      </c>
      <c r="AR70" s="19"/>
      <c r="AS70" s="19">
        <f t="shared" si="72"/>
        <v>12862913.816481266</v>
      </c>
      <c r="AT70" s="21">
        <f t="shared" si="73"/>
        <v>14809743.517371945</v>
      </c>
      <c r="AU70" s="5">
        <v>30.027088697766388</v>
      </c>
      <c r="AX70" s="5" t="str">
        <f t="shared" si="82"/>
        <v>Odder Spildevand A/S</v>
      </c>
      <c r="AY70" s="5">
        <f t="shared" si="83"/>
        <v>52.79005140950876</v>
      </c>
      <c r="AZ70" s="5">
        <f t="shared" si="84"/>
        <v>11.768911940157247</v>
      </c>
      <c r="BA70" s="5">
        <f t="shared" si="85"/>
        <v>3.4693461090301936</v>
      </c>
      <c r="BB70" s="5">
        <f t="shared" si="86"/>
        <v>0</v>
      </c>
      <c r="BC70" s="5">
        <f t="shared" si="87"/>
        <v>24.26992860668948</v>
      </c>
      <c r="BD70" s="5">
        <f t="shared" si="88"/>
        <v>7.701761934614318</v>
      </c>
      <c r="BF70" s="5">
        <f aca="true" t="shared" si="97" ref="BF70:BF105">BA70+BC70+BD70</f>
        <v>35.44103665033399</v>
      </c>
      <c r="BH70" s="5">
        <f t="shared" si="89"/>
        <v>-4.148768064215567</v>
      </c>
      <c r="BI70" s="5">
        <f t="shared" si="90"/>
        <v>4.741575761419201</v>
      </c>
      <c r="BJ70" s="5">
        <f t="shared" si="91"/>
        <v>-1.3579874237992104</v>
      </c>
      <c r="BK70" s="5">
        <f t="shared" si="92"/>
        <v>0.8311473550905987</v>
      </c>
      <c r="BL70" s="5">
        <f t="shared" si="93"/>
        <v>0.4653929620149633</v>
      </c>
      <c r="BM70" s="5">
        <f t="shared" si="94"/>
        <v>-0.5313605905099967</v>
      </c>
      <c r="BO70" s="5">
        <f t="shared" si="95"/>
        <v>-3.535313737525229</v>
      </c>
      <c r="BP70" s="5">
        <f t="shared" si="96"/>
        <v>0</v>
      </c>
    </row>
    <row r="71" spans="1:68" ht="15">
      <c r="A71" s="4" t="s">
        <v>67</v>
      </c>
      <c r="B71" s="5">
        <v>22285730</v>
      </c>
      <c r="C71" s="5">
        <f t="shared" si="74"/>
        <v>22397158.65</v>
      </c>
      <c r="D71" s="5">
        <v>18676034.170815</v>
      </c>
      <c r="E71" s="5">
        <v>5914466.571469975</v>
      </c>
      <c r="F71" s="5" t="str">
        <f t="shared" si="75"/>
        <v>ingen</v>
      </c>
      <c r="G71" s="5">
        <f t="shared" si="76"/>
        <v>18676034.170815</v>
      </c>
      <c r="H71" s="5">
        <f t="shared" si="77"/>
        <v>19730166.194255717</v>
      </c>
      <c r="I71" s="5">
        <f t="shared" si="78"/>
        <v>22792209.585392438</v>
      </c>
      <c r="J71" s="5">
        <f t="shared" si="79"/>
        <v>25332976.445500217</v>
      </c>
      <c r="K71" s="5">
        <f t="shared" si="80"/>
        <v>28395019.83663694</v>
      </c>
      <c r="L71" s="5">
        <f>'Potentialer og krav'!R36</f>
        <v>572635.7199952593</v>
      </c>
      <c r="M71" s="5">
        <f t="shared" si="58"/>
        <v>111428.65000000001</v>
      </c>
      <c r="N71" s="5">
        <f t="shared" si="59"/>
        <v>515134.64894999994</v>
      </c>
      <c r="O71" s="5">
        <f t="shared" si="60"/>
        <v>12761567.599345025</v>
      </c>
      <c r="P71" s="5">
        <f t="shared" si="61"/>
        <v>429548.78592874494</v>
      </c>
      <c r="Q71" s="5">
        <f t="shared" si="62"/>
        <v>19105582.956743743</v>
      </c>
      <c r="R71" s="5">
        <f t="shared" si="63"/>
        <v>22912293.298949998</v>
      </c>
      <c r="S71" s="5">
        <f t="shared" si="64"/>
        <v>429548.78592874494</v>
      </c>
      <c r="T71" s="5">
        <f t="shared" si="65"/>
        <v>19105582.956743743</v>
      </c>
      <c r="U71" s="20">
        <f t="shared" si="81"/>
        <v>3806710.3422062546</v>
      </c>
      <c r="V71" s="20" t="str">
        <f t="shared" si="66"/>
        <v>ingen</v>
      </c>
      <c r="X71" s="19" t="s">
        <v>67</v>
      </c>
      <c r="Y71" s="19">
        <v>293</v>
      </c>
      <c r="Z71" s="19">
        <v>40</v>
      </c>
      <c r="AA71" s="19"/>
      <c r="AB71" s="19"/>
      <c r="AC71" s="19"/>
      <c r="AD71" s="19"/>
      <c r="AE71" s="19">
        <v>34</v>
      </c>
      <c r="AF71" s="19">
        <v>0</v>
      </c>
      <c r="AG71" s="19">
        <v>285</v>
      </c>
      <c r="AH71" s="19">
        <v>398</v>
      </c>
      <c r="AI71" s="19">
        <v>0</v>
      </c>
      <c r="AJ71" s="19">
        <v>0</v>
      </c>
      <c r="AK71" s="20">
        <v>9822</v>
      </c>
      <c r="AL71" s="5">
        <v>11270370.594255717</v>
      </c>
      <c r="AM71" s="21">
        <f t="shared" si="67"/>
        <v>3036299</v>
      </c>
      <c r="AN71" s="19">
        <f t="shared" si="68"/>
        <v>459782</v>
      </c>
      <c r="AO71" s="19">
        <f t="shared" si="69"/>
        <v>0</v>
      </c>
      <c r="AP71" s="19">
        <f t="shared" si="70"/>
        <v>3742840</v>
      </c>
      <c r="AQ71" s="19">
        <f t="shared" si="71"/>
        <v>1220874.5999999999</v>
      </c>
      <c r="AR71" s="19"/>
      <c r="AS71" s="19">
        <f t="shared" si="72"/>
        <v>19730166.194255717</v>
      </c>
      <c r="AT71" s="21">
        <f t="shared" si="73"/>
        <v>22792209.585392438</v>
      </c>
      <c r="AU71" s="5">
        <v>30.322771252090316</v>
      </c>
      <c r="AX71" s="5" t="str">
        <f t="shared" si="82"/>
        <v>Odsherred Spildevand A/S</v>
      </c>
      <c r="AY71" s="5">
        <f t="shared" si="83"/>
        <v>57.1225324880284</v>
      </c>
      <c r="AZ71" s="5">
        <f t="shared" si="84"/>
        <v>15.38912024412645</v>
      </c>
      <c r="BA71" s="5">
        <f t="shared" si="85"/>
        <v>2.3303503653905455</v>
      </c>
      <c r="BB71" s="5">
        <f t="shared" si="86"/>
        <v>0</v>
      </c>
      <c r="BC71" s="5">
        <f t="shared" si="87"/>
        <v>18.97013924337697</v>
      </c>
      <c r="BD71" s="5">
        <f t="shared" si="88"/>
        <v>6.187857659077641</v>
      </c>
      <c r="BF71" s="5">
        <f t="shared" si="97"/>
        <v>27.488347267845153</v>
      </c>
      <c r="BH71" s="5">
        <f t="shared" si="89"/>
        <v>-8.481249142735201</v>
      </c>
      <c r="BI71" s="5">
        <f t="shared" si="90"/>
        <v>1.1213674574499972</v>
      </c>
      <c r="BJ71" s="5">
        <f t="shared" si="91"/>
        <v>-0.21899168015956239</v>
      </c>
      <c r="BK71" s="5">
        <f t="shared" si="92"/>
        <v>0.8311473550905987</v>
      </c>
      <c r="BL71" s="5">
        <f t="shared" si="93"/>
        <v>5.765182325327473</v>
      </c>
      <c r="BM71" s="5">
        <f t="shared" si="94"/>
        <v>0.9825436850266804</v>
      </c>
      <c r="BO71" s="5">
        <f t="shared" si="95"/>
        <v>4.4173756449636095</v>
      </c>
      <c r="BP71" s="5">
        <f t="shared" si="96"/>
        <v>0</v>
      </c>
    </row>
    <row r="72" spans="1:68" ht="15">
      <c r="A72" s="4" t="s">
        <v>68</v>
      </c>
      <c r="B72" s="5">
        <v>58486408</v>
      </c>
      <c r="C72" s="5">
        <f t="shared" si="74"/>
        <v>58778840.03999999</v>
      </c>
      <c r="D72" s="5">
        <v>52392542.9854694</v>
      </c>
      <c r="E72" s="5">
        <v>15851139.459164592</v>
      </c>
      <c r="F72" s="5" t="str">
        <f t="shared" si="75"/>
        <v>ingen</v>
      </c>
      <c r="G72" s="5">
        <f t="shared" si="76"/>
        <v>52392542.9854694</v>
      </c>
      <c r="H72" s="5">
        <f t="shared" si="77"/>
        <v>56412004.10225323</v>
      </c>
      <c r="I72" s="5">
        <f t="shared" si="78"/>
        <v>68894580.0719023</v>
      </c>
      <c r="J72" s="5">
        <f t="shared" si="79"/>
        <v>72129766.99789405</v>
      </c>
      <c r="K72" s="5">
        <f t="shared" si="80"/>
        <v>84612342.96754313</v>
      </c>
      <c r="L72" s="5">
        <f>'Potentialer og krav'!R37</f>
        <v>1434665.3959942183</v>
      </c>
      <c r="M72" s="5">
        <f t="shared" si="58"/>
        <v>292432.04</v>
      </c>
      <c r="N72" s="5">
        <f t="shared" si="59"/>
        <v>1351913.3209199999</v>
      </c>
      <c r="O72" s="5">
        <f t="shared" si="60"/>
        <v>36541403.52630481</v>
      </c>
      <c r="P72" s="5">
        <f t="shared" si="61"/>
        <v>1205028.4886657961</v>
      </c>
      <c r="Q72" s="5">
        <f t="shared" si="62"/>
        <v>53597571.47413519</v>
      </c>
      <c r="R72" s="5">
        <f t="shared" si="63"/>
        <v>60130753.36091999</v>
      </c>
      <c r="S72" s="5">
        <f t="shared" si="64"/>
        <v>1205028.4886657961</v>
      </c>
      <c r="T72" s="5">
        <f t="shared" si="65"/>
        <v>53597571.47413519</v>
      </c>
      <c r="U72" s="20">
        <f t="shared" si="81"/>
        <v>6533181.886784799</v>
      </c>
      <c r="V72" s="20" t="str">
        <f t="shared" si="66"/>
        <v>ingen</v>
      </c>
      <c r="X72" s="19" t="s">
        <v>68</v>
      </c>
      <c r="Y72" s="19">
        <v>156</v>
      </c>
      <c r="Z72" s="19">
        <v>238</v>
      </c>
      <c r="AA72" s="19">
        <v>51</v>
      </c>
      <c r="AB72" s="19">
        <v>12</v>
      </c>
      <c r="AC72" s="19"/>
      <c r="AD72" s="19"/>
      <c r="AE72" s="19">
        <v>102</v>
      </c>
      <c r="AF72" s="19">
        <v>5495</v>
      </c>
      <c r="AG72" s="19">
        <v>608</v>
      </c>
      <c r="AH72" s="19">
        <v>771</v>
      </c>
      <c r="AI72" s="19">
        <v>89</v>
      </c>
      <c r="AJ72" s="19"/>
      <c r="AK72" s="20">
        <v>27400</v>
      </c>
      <c r="AL72" s="5">
        <v>25954463.402253225</v>
      </c>
      <c r="AM72" s="21">
        <f t="shared" si="67"/>
        <v>9659075</v>
      </c>
      <c r="AN72" s="19">
        <f t="shared" si="68"/>
        <v>1379346</v>
      </c>
      <c r="AO72" s="19">
        <f t="shared" si="69"/>
        <v>132209.69999999998</v>
      </c>
      <c r="AP72" s="19">
        <f t="shared" si="70"/>
        <v>15881090</v>
      </c>
      <c r="AQ72" s="19">
        <f t="shared" si="71"/>
        <v>3405820</v>
      </c>
      <c r="AR72" s="19"/>
      <c r="AS72" s="19">
        <f t="shared" si="72"/>
        <v>56412004.10225323</v>
      </c>
      <c r="AT72" s="21">
        <f t="shared" si="73"/>
        <v>68894580.0719023</v>
      </c>
      <c r="AU72" s="5">
        <v>35.40578254206999</v>
      </c>
      <c r="AX72" s="5" t="str">
        <f t="shared" si="82"/>
        <v>Randers Spildevand A/S</v>
      </c>
      <c r="AY72" s="5">
        <f t="shared" si="83"/>
        <v>46.00875968740232</v>
      </c>
      <c r="AZ72" s="5">
        <f t="shared" si="84"/>
        <v>17.12237519959727</v>
      </c>
      <c r="BA72" s="5">
        <f t="shared" si="85"/>
        <v>2.4451285182135654</v>
      </c>
      <c r="BB72" s="5">
        <f t="shared" si="86"/>
        <v>0.23436447987267875</v>
      </c>
      <c r="BC72" s="5">
        <f t="shared" si="87"/>
        <v>28.151969164601393</v>
      </c>
      <c r="BD72" s="5">
        <f t="shared" si="88"/>
        <v>6.037402950312775</v>
      </c>
      <c r="BF72" s="5">
        <f t="shared" si="97"/>
        <v>36.634500633127736</v>
      </c>
      <c r="BH72" s="5">
        <f t="shared" si="89"/>
        <v>2.6325236578908786</v>
      </c>
      <c r="BI72" s="5">
        <f t="shared" si="90"/>
        <v>-0.6118874980208204</v>
      </c>
      <c r="BJ72" s="5">
        <f t="shared" si="91"/>
        <v>-0.3337698329825822</v>
      </c>
      <c r="BK72" s="5">
        <f t="shared" si="92"/>
        <v>0.59678287521792</v>
      </c>
      <c r="BL72" s="5">
        <f t="shared" si="93"/>
        <v>-3.4166475958969507</v>
      </c>
      <c r="BM72" s="5">
        <f t="shared" si="94"/>
        <v>1.1329983937915458</v>
      </c>
      <c r="BO72" s="5">
        <f t="shared" si="95"/>
        <v>-4.728777720318973</v>
      </c>
      <c r="BP72" s="5">
        <f t="shared" si="96"/>
        <v>0</v>
      </c>
    </row>
    <row r="73" spans="1:68" ht="15">
      <c r="A73" s="4" t="s">
        <v>69</v>
      </c>
      <c r="B73" s="5">
        <v>13708607</v>
      </c>
      <c r="C73" s="5">
        <f t="shared" si="74"/>
        <v>13777150.034999998</v>
      </c>
      <c r="D73" s="5">
        <v>12454725.022483801</v>
      </c>
      <c r="E73" s="5">
        <v>4705123.535032682</v>
      </c>
      <c r="F73" s="5" t="str">
        <f t="shared" si="75"/>
        <v>ingen</v>
      </c>
      <c r="G73" s="5">
        <f t="shared" si="76"/>
        <v>12454725.022483801</v>
      </c>
      <c r="H73" s="5">
        <f t="shared" si="77"/>
        <v>12141551.206933687</v>
      </c>
      <c r="I73" s="5">
        <f t="shared" si="78"/>
        <v>13976579.089774288</v>
      </c>
      <c r="J73" s="5">
        <f t="shared" si="79"/>
        <v>15877968.713678828</v>
      </c>
      <c r="K73" s="5">
        <f t="shared" si="80"/>
        <v>17712996.59651943</v>
      </c>
      <c r="L73" s="5">
        <f>'Potentialer og krav'!R38</f>
        <v>546194.4930260136</v>
      </c>
      <c r="M73" s="5">
        <f t="shared" si="58"/>
        <v>68543.035</v>
      </c>
      <c r="N73" s="5">
        <f t="shared" si="59"/>
        <v>316874.450805</v>
      </c>
      <c r="O73" s="5">
        <f t="shared" si="60"/>
        <v>7749601.487451119</v>
      </c>
      <c r="P73" s="5">
        <f t="shared" si="61"/>
        <v>286458.67551712744</v>
      </c>
      <c r="Q73" s="5">
        <f t="shared" si="62"/>
        <v>12741183.698000928</v>
      </c>
      <c r="R73" s="5">
        <f t="shared" si="63"/>
        <v>14094024.485804997</v>
      </c>
      <c r="S73" s="5">
        <f t="shared" si="64"/>
        <v>286458.67551712744</v>
      </c>
      <c r="T73" s="5">
        <f t="shared" si="65"/>
        <v>12741183.698000928</v>
      </c>
      <c r="U73" s="20">
        <f t="shared" si="81"/>
        <v>1352840.787804069</v>
      </c>
      <c r="V73" s="20" t="str">
        <f t="shared" si="66"/>
        <v>ingen</v>
      </c>
      <c r="X73" s="19" t="s">
        <v>69</v>
      </c>
      <c r="Y73" s="19">
        <v>107</v>
      </c>
      <c r="Z73" s="19">
        <v>53</v>
      </c>
      <c r="AA73" s="19">
        <v>0</v>
      </c>
      <c r="AB73" s="19">
        <v>0</v>
      </c>
      <c r="AC73" s="19">
        <v>0</v>
      </c>
      <c r="AD73" s="19">
        <v>0</v>
      </c>
      <c r="AE73" s="19">
        <v>39</v>
      </c>
      <c r="AF73" s="19">
        <v>508</v>
      </c>
      <c r="AG73" s="19">
        <v>234</v>
      </c>
      <c r="AH73" s="19">
        <v>446</v>
      </c>
      <c r="AI73" s="19">
        <v>0</v>
      </c>
      <c r="AJ73" s="19">
        <v>0</v>
      </c>
      <c r="AK73" s="20">
        <v>9137</v>
      </c>
      <c r="AL73" s="5">
        <v>4801534.626933686</v>
      </c>
      <c r="AM73" s="21">
        <f t="shared" si="67"/>
        <v>1778077</v>
      </c>
      <c r="AN73" s="19">
        <f t="shared" si="68"/>
        <v>527397</v>
      </c>
      <c r="AO73" s="19">
        <f t="shared" si="69"/>
        <v>12222.48</v>
      </c>
      <c r="AP73" s="19">
        <f t="shared" si="70"/>
        <v>3726400</v>
      </c>
      <c r="AQ73" s="19">
        <f t="shared" si="71"/>
        <v>1135729.0999999999</v>
      </c>
      <c r="AR73" s="19"/>
      <c r="AS73" s="19">
        <f t="shared" si="72"/>
        <v>12141551.206933687</v>
      </c>
      <c r="AT73" s="21">
        <f t="shared" si="73"/>
        <v>13976579.089774288</v>
      </c>
      <c r="AU73" s="5">
        <v>30.010476741369253</v>
      </c>
      <c r="AV73" s="5">
        <f>36812+8708+114671</f>
        <v>160191</v>
      </c>
      <c r="AX73" s="5" t="str">
        <f t="shared" si="82"/>
        <v>Rebild Vand &amp; Spildevand A/S</v>
      </c>
      <c r="AY73" s="5">
        <f t="shared" si="83"/>
        <v>40.07503775869295</v>
      </c>
      <c r="AZ73" s="5">
        <f t="shared" si="84"/>
        <v>14.840360103446484</v>
      </c>
      <c r="BA73" s="5">
        <f t="shared" si="85"/>
        <v>4.4018124060304284</v>
      </c>
      <c r="BB73" s="5">
        <f t="shared" si="86"/>
        <v>0.10201245759164118</v>
      </c>
      <c r="BC73" s="5">
        <f t="shared" si="87"/>
        <v>31.101644017375502</v>
      </c>
      <c r="BD73" s="5">
        <f t="shared" si="88"/>
        <v>9.479133256862994</v>
      </c>
      <c r="BF73" s="5">
        <f t="shared" si="97"/>
        <v>44.98258968026892</v>
      </c>
      <c r="BH73" s="5">
        <f t="shared" si="89"/>
        <v>8.566245586600246</v>
      </c>
      <c r="BI73" s="5">
        <f t="shared" si="90"/>
        <v>1.6701275981299641</v>
      </c>
      <c r="BJ73" s="5">
        <f t="shared" si="91"/>
        <v>-2.2904537207994453</v>
      </c>
      <c r="BK73" s="5">
        <f t="shared" si="92"/>
        <v>0.7291348974989575</v>
      </c>
      <c r="BL73" s="5">
        <f t="shared" si="93"/>
        <v>-6.36632244867106</v>
      </c>
      <c r="BM73" s="5">
        <f t="shared" si="94"/>
        <v>-2.308731912758673</v>
      </c>
      <c r="BO73" s="5">
        <f t="shared" si="95"/>
        <v>-13.07686676746016</v>
      </c>
      <c r="BP73" s="5">
        <f t="shared" si="96"/>
        <v>0</v>
      </c>
    </row>
    <row r="74" spans="1:68" ht="15">
      <c r="A74" s="4" t="s">
        <v>70</v>
      </c>
      <c r="B74" s="5">
        <v>41514313</v>
      </c>
      <c r="C74" s="5">
        <f t="shared" si="74"/>
        <v>41721884.565</v>
      </c>
      <c r="D74" s="5">
        <v>37860685.0729198</v>
      </c>
      <c r="E74" s="5">
        <v>7759776.44278638</v>
      </c>
      <c r="F74" s="5" t="str">
        <f t="shared" si="75"/>
        <v>ingen</v>
      </c>
      <c r="G74" s="5">
        <f t="shared" si="76"/>
        <v>37860685.0729198</v>
      </c>
      <c r="H74" s="5">
        <f t="shared" si="77"/>
        <v>46537853.652060166</v>
      </c>
      <c r="I74" s="5">
        <f t="shared" si="78"/>
        <v>53330080.14571032</v>
      </c>
      <c r="J74" s="5">
        <f t="shared" si="79"/>
        <v>57896059.173936106</v>
      </c>
      <c r="K74" s="5">
        <f t="shared" si="80"/>
        <v>64688285.66758626</v>
      </c>
      <c r="L74" s="5">
        <f>'Potentialer og krav'!R39</f>
        <v>0</v>
      </c>
      <c r="M74" s="5">
        <f t="shared" si="58"/>
        <v>207571.565</v>
      </c>
      <c r="N74" s="5">
        <f t="shared" si="59"/>
        <v>959603.3449949999</v>
      </c>
      <c r="O74" s="5">
        <f t="shared" si="60"/>
        <v>30100908.63013342</v>
      </c>
      <c r="P74" s="5">
        <f t="shared" si="61"/>
        <v>870795.7566771554</v>
      </c>
      <c r="Q74" s="5">
        <f t="shared" si="62"/>
        <v>38731480.82959695</v>
      </c>
      <c r="R74" s="5">
        <f t="shared" si="63"/>
        <v>42681487.909995</v>
      </c>
      <c r="S74" s="5">
        <f t="shared" si="64"/>
        <v>870795.7566771554</v>
      </c>
      <c r="T74" s="5">
        <f t="shared" si="65"/>
        <v>38731480.82959695</v>
      </c>
      <c r="U74" s="20">
        <f t="shared" si="81"/>
        <v>3950007.0803980455</v>
      </c>
      <c r="V74" s="20" t="str">
        <f t="shared" si="66"/>
        <v>ingen</v>
      </c>
      <c r="X74" s="19" t="s">
        <v>70</v>
      </c>
      <c r="Y74" s="19">
        <v>83</v>
      </c>
      <c r="Z74" s="19">
        <v>211</v>
      </c>
      <c r="AA74" s="19">
        <v>12</v>
      </c>
      <c r="AB74" s="19">
        <v>0</v>
      </c>
      <c r="AC74" s="19">
        <v>0</v>
      </c>
      <c r="AD74" s="19">
        <v>0</v>
      </c>
      <c r="AE74" s="19">
        <v>45</v>
      </c>
      <c r="AF74" s="19">
        <v>15849</v>
      </c>
      <c r="AG74" s="19">
        <v>570</v>
      </c>
      <c r="AH74" s="19">
        <v>742</v>
      </c>
      <c r="AI74" s="19">
        <v>0</v>
      </c>
      <c r="AJ74" s="19">
        <v>0</v>
      </c>
      <c r="AK74" s="20">
        <v>19760</v>
      </c>
      <c r="AL74" s="5">
        <v>30748958.712060165</v>
      </c>
      <c r="AM74" s="21">
        <f t="shared" si="67"/>
        <v>5153105</v>
      </c>
      <c r="AN74" s="19">
        <f t="shared" si="68"/>
        <v>608535</v>
      </c>
      <c r="AO74" s="19">
        <f t="shared" si="69"/>
        <v>381326.94</v>
      </c>
      <c r="AP74" s="19">
        <f t="shared" si="70"/>
        <v>7189760</v>
      </c>
      <c r="AQ74" s="19">
        <f t="shared" si="71"/>
        <v>2456168</v>
      </c>
      <c r="AR74" s="19"/>
      <c r="AS74" s="19">
        <f t="shared" si="72"/>
        <v>46537853.652060166</v>
      </c>
      <c r="AT74" s="21">
        <f t="shared" si="73"/>
        <v>53330080.14571032</v>
      </c>
      <c r="AU74" s="5">
        <v>29.611582682168923</v>
      </c>
      <c r="AX74" s="5" t="str">
        <f t="shared" si="82"/>
        <v>Ringkøbing-Skjern Spildevand A/S</v>
      </c>
      <c r="AY74" s="5">
        <f t="shared" si="83"/>
        <v>66.07300573411587</v>
      </c>
      <c r="AZ74" s="5">
        <f t="shared" si="84"/>
        <v>11.0729322381886</v>
      </c>
      <c r="BA74" s="5">
        <f t="shared" si="85"/>
        <v>1.307612947837488</v>
      </c>
      <c r="BB74" s="5">
        <f t="shared" si="86"/>
        <v>0.8193909045547896</v>
      </c>
      <c r="BC74" s="5">
        <f t="shared" si="87"/>
        <v>15.449272873119964</v>
      </c>
      <c r="BD74" s="5">
        <f t="shared" si="88"/>
        <v>5.277785302183288</v>
      </c>
      <c r="BF74" s="5">
        <f t="shared" si="97"/>
        <v>22.03467112314074</v>
      </c>
      <c r="BH74" s="5">
        <f t="shared" si="89"/>
        <v>-17.43172238882267</v>
      </c>
      <c r="BI74" s="5">
        <f t="shared" si="90"/>
        <v>5.437555463387849</v>
      </c>
      <c r="BJ74" s="5">
        <f t="shared" si="91"/>
        <v>0.8037457373934951</v>
      </c>
      <c r="BK74" s="5">
        <f t="shared" si="92"/>
        <v>0.011756450535809093</v>
      </c>
      <c r="BL74" s="5">
        <f t="shared" si="93"/>
        <v>9.286048695584478</v>
      </c>
      <c r="BM74" s="5">
        <f t="shared" si="94"/>
        <v>1.8926160419210332</v>
      </c>
      <c r="BO74" s="5">
        <f t="shared" si="95"/>
        <v>9.871051789668023</v>
      </c>
      <c r="BP74" s="5">
        <f t="shared" si="96"/>
        <v>0</v>
      </c>
    </row>
    <row r="75" spans="1:68" ht="15">
      <c r="A75" s="4" t="s">
        <v>71</v>
      </c>
      <c r="B75" s="5">
        <v>14182607</v>
      </c>
      <c r="C75" s="5">
        <f t="shared" si="74"/>
        <v>14253520.034999998</v>
      </c>
      <c r="D75" s="5">
        <v>11025141.451395402</v>
      </c>
      <c r="E75" s="5">
        <v>0</v>
      </c>
      <c r="F75" s="5" t="str">
        <f t="shared" si="75"/>
        <v>ingen</v>
      </c>
      <c r="G75" s="5">
        <f t="shared" si="76"/>
        <v>11025141.451395402</v>
      </c>
      <c r="H75" s="5">
        <f t="shared" si="77"/>
        <v>20388931.305796113</v>
      </c>
      <c r="I75" s="5">
        <f t="shared" si="78"/>
        <v>25057996.574823424</v>
      </c>
      <c r="J75" s="5">
        <f t="shared" si="79"/>
        <v>23696473.741214734</v>
      </c>
      <c r="K75" s="5">
        <f t="shared" si="80"/>
        <v>28365539.010242045</v>
      </c>
      <c r="L75" s="5">
        <f>'Potentialer og krav'!R40</f>
        <v>0</v>
      </c>
      <c r="M75" s="5">
        <f t="shared" si="58"/>
        <v>70913.035</v>
      </c>
      <c r="N75" s="5">
        <f t="shared" si="59"/>
        <v>327830.960805</v>
      </c>
      <c r="O75" s="5">
        <f t="shared" si="60"/>
        <v>11025141.451395402</v>
      </c>
      <c r="P75" s="5">
        <f t="shared" si="61"/>
        <v>253578.25338209423</v>
      </c>
      <c r="Q75" s="5">
        <f t="shared" si="62"/>
        <v>11278719.704777494</v>
      </c>
      <c r="R75" s="5">
        <f t="shared" si="63"/>
        <v>14581350.995804997</v>
      </c>
      <c r="S75" s="5">
        <f t="shared" si="64"/>
        <v>253578.25338209423</v>
      </c>
      <c r="T75" s="5">
        <f t="shared" si="65"/>
        <v>11278719.704777494</v>
      </c>
      <c r="U75" s="20">
        <f t="shared" si="81"/>
        <v>3302631.291027503</v>
      </c>
      <c r="V75" s="20" t="str">
        <f t="shared" si="66"/>
        <v>ingen</v>
      </c>
      <c r="X75" s="19" t="s">
        <v>71</v>
      </c>
      <c r="Y75" s="19"/>
      <c r="Z75" s="19"/>
      <c r="AA75" s="19"/>
      <c r="AB75" s="19"/>
      <c r="AC75" s="19"/>
      <c r="AD75" s="19"/>
      <c r="AE75" s="19">
        <v>1</v>
      </c>
      <c r="AF75" s="19"/>
      <c r="AG75" s="19"/>
      <c r="AH75" s="19">
        <v>1</v>
      </c>
      <c r="AI75" s="19"/>
      <c r="AJ75" s="19"/>
      <c r="AK75" s="20">
        <v>2</v>
      </c>
      <c r="AL75" s="5">
        <v>20369679.70579611</v>
      </c>
      <c r="AM75" s="21">
        <f t="shared" si="67"/>
        <v>0</v>
      </c>
      <c r="AN75" s="19">
        <f t="shared" si="68"/>
        <v>13523</v>
      </c>
      <c r="AO75" s="19">
        <f t="shared" si="69"/>
        <v>0</v>
      </c>
      <c r="AP75" s="19">
        <f t="shared" si="70"/>
        <v>5480</v>
      </c>
      <c r="AQ75" s="19">
        <f t="shared" si="71"/>
        <v>248.6</v>
      </c>
      <c r="AR75" s="19"/>
      <c r="AS75" s="19">
        <f t="shared" si="72"/>
        <v>20388931.305796113</v>
      </c>
      <c r="AT75" s="21">
        <f t="shared" si="73"/>
        <v>25057996.574823424</v>
      </c>
      <c r="AU75" s="5">
        <v>36</v>
      </c>
      <c r="AX75" s="5" t="str">
        <f t="shared" si="82"/>
        <v>Ringsted Centralrenseanlæg A/S</v>
      </c>
      <c r="AY75" s="5">
        <f t="shared" si="83"/>
        <v>99.90557818008574</v>
      </c>
      <c r="AZ75" s="5">
        <f t="shared" si="84"/>
        <v>0</v>
      </c>
      <c r="BA75" s="5">
        <f t="shared" si="85"/>
        <v>0.0663252026169499</v>
      </c>
      <c r="BB75" s="5">
        <f t="shared" si="86"/>
        <v>0</v>
      </c>
      <c r="BC75" s="5">
        <f t="shared" si="87"/>
        <v>0.02687732828077242</v>
      </c>
      <c r="BD75" s="5">
        <f t="shared" si="88"/>
        <v>0.001219289016532851</v>
      </c>
      <c r="BF75" s="5">
        <f t="shared" si="97"/>
        <v>0.09442181991425518</v>
      </c>
      <c r="BH75" s="5">
        <f t="shared" si="89"/>
        <v>-51.264294834792544</v>
      </c>
      <c r="BI75" s="5">
        <f t="shared" si="90"/>
        <v>16.510487701576448</v>
      </c>
      <c r="BJ75" s="5">
        <f t="shared" si="91"/>
        <v>2.0450334826140333</v>
      </c>
      <c r="BK75" s="5">
        <f t="shared" si="92"/>
        <v>0.8311473550905987</v>
      </c>
      <c r="BL75" s="5">
        <f t="shared" si="93"/>
        <v>24.70844424042367</v>
      </c>
      <c r="BM75" s="5">
        <f t="shared" si="94"/>
        <v>7.169182055087788</v>
      </c>
      <c r="BO75" s="5">
        <f t="shared" si="95"/>
        <v>31.811301092894507</v>
      </c>
      <c r="BP75" s="5">
        <f t="shared" si="96"/>
        <v>0</v>
      </c>
    </row>
    <row r="76" spans="1:68" ht="15">
      <c r="A76" s="4" t="s">
        <v>72</v>
      </c>
      <c r="B76" s="5">
        <v>16539133</v>
      </c>
      <c r="C76" s="5">
        <f t="shared" si="74"/>
        <v>16621828.665</v>
      </c>
      <c r="D76" s="5">
        <v>8627541.6260348</v>
      </c>
      <c r="E76" s="5">
        <v>468636.5909087459</v>
      </c>
      <c r="F76" s="5" t="str">
        <f t="shared" si="75"/>
        <v>ingen</v>
      </c>
      <c r="G76" s="5">
        <f t="shared" si="76"/>
        <v>8627541.6260348</v>
      </c>
      <c r="H76" s="5">
        <f t="shared" si="77"/>
        <v>12614168.587022785</v>
      </c>
      <c r="I76" s="5">
        <f t="shared" si="78"/>
        <v>14996860.746285755</v>
      </c>
      <c r="J76" s="5">
        <f t="shared" si="79"/>
        <v>15202431.074833225</v>
      </c>
      <c r="K76" s="5">
        <f t="shared" si="80"/>
        <v>17585123.234096196</v>
      </c>
      <c r="L76" s="5">
        <f>'Potentialer og krav'!R41</f>
        <v>0</v>
      </c>
      <c r="M76" s="5">
        <f t="shared" si="58"/>
        <v>82695.66500000001</v>
      </c>
      <c r="N76" s="5">
        <f t="shared" si="59"/>
        <v>382302.059295</v>
      </c>
      <c r="O76" s="5">
        <f t="shared" si="60"/>
        <v>8158905.035126054</v>
      </c>
      <c r="P76" s="5">
        <f t="shared" si="61"/>
        <v>198433.45739880038</v>
      </c>
      <c r="Q76" s="5">
        <f t="shared" si="62"/>
        <v>8825975.0834336</v>
      </c>
      <c r="R76" s="5">
        <f t="shared" si="63"/>
        <v>17004130.724294998</v>
      </c>
      <c r="S76" s="5">
        <f t="shared" si="64"/>
        <v>198433.45739880038</v>
      </c>
      <c r="T76" s="5">
        <f t="shared" si="65"/>
        <v>8825975.0834336</v>
      </c>
      <c r="U76" s="20">
        <f t="shared" si="81"/>
        <v>8178155.640861398</v>
      </c>
      <c r="V76" s="20" t="str">
        <f t="shared" si="66"/>
        <v>ingen</v>
      </c>
      <c r="X76" s="19" t="s">
        <v>72</v>
      </c>
      <c r="Y76" s="19">
        <v>220</v>
      </c>
      <c r="Z76" s="19">
        <v>153</v>
      </c>
      <c r="AA76" s="19">
        <v>23</v>
      </c>
      <c r="AB76" s="19">
        <v>11</v>
      </c>
      <c r="AC76" s="19"/>
      <c r="AD76" s="19"/>
      <c r="AE76" s="19">
        <v>37</v>
      </c>
      <c r="AF76" s="19">
        <v>20646</v>
      </c>
      <c r="AG76" s="19">
        <v>174</v>
      </c>
      <c r="AH76" s="19">
        <v>352</v>
      </c>
      <c r="AI76" s="19"/>
      <c r="AJ76" s="19"/>
      <c r="AK76" s="20">
        <v>8718</v>
      </c>
      <c r="AL76" s="5">
        <v>925893.4270227844</v>
      </c>
      <c r="AM76" s="21">
        <f t="shared" si="67"/>
        <v>6725054</v>
      </c>
      <c r="AN76" s="19">
        <f t="shared" si="68"/>
        <v>500351</v>
      </c>
      <c r="AO76" s="19">
        <f t="shared" si="69"/>
        <v>496742.75999999995</v>
      </c>
      <c r="AP76" s="19">
        <f t="shared" si="70"/>
        <v>2882480</v>
      </c>
      <c r="AQ76" s="19">
        <f t="shared" si="71"/>
        <v>1083647.4</v>
      </c>
      <c r="AR76" s="19"/>
      <c r="AS76" s="19">
        <f t="shared" si="72"/>
        <v>12614168.587022785</v>
      </c>
      <c r="AT76" s="21">
        <f t="shared" si="73"/>
        <v>14996860.746285755</v>
      </c>
      <c r="AU76" s="5">
        <v>32.9146266958291</v>
      </c>
      <c r="AX76" s="5" t="str">
        <f t="shared" si="82"/>
        <v>Ringsted Spildevand A/S</v>
      </c>
      <c r="AY76" s="5">
        <f t="shared" si="83"/>
        <v>7.340106647816058</v>
      </c>
      <c r="AZ76" s="5">
        <f t="shared" si="84"/>
        <v>53.31349389858803</v>
      </c>
      <c r="BA76" s="5">
        <f t="shared" si="85"/>
        <v>3.9665792996833065</v>
      </c>
      <c r="BB76" s="5">
        <f t="shared" si="86"/>
        <v>3.937974639969846</v>
      </c>
      <c r="BC76" s="5">
        <f t="shared" si="87"/>
        <v>22.85112950658865</v>
      </c>
      <c r="BD76" s="5">
        <f t="shared" si="88"/>
        <v>8.590716007354109</v>
      </c>
      <c r="BF76" s="5">
        <f t="shared" si="97"/>
        <v>35.40842481362606</v>
      </c>
      <c r="BH76" s="5">
        <f t="shared" si="89"/>
        <v>41.30117669747714</v>
      </c>
      <c r="BI76" s="5">
        <f t="shared" si="90"/>
        <v>-36.803006197011584</v>
      </c>
      <c r="BJ76" s="5">
        <f t="shared" si="91"/>
        <v>-1.8552206144523233</v>
      </c>
      <c r="BK76" s="5">
        <f t="shared" si="92"/>
        <v>-3.1068272848792473</v>
      </c>
      <c r="BL76" s="5">
        <f t="shared" si="93"/>
        <v>1.884192062115794</v>
      </c>
      <c r="BM76" s="5">
        <f t="shared" si="94"/>
        <v>-1.4203146632497878</v>
      </c>
      <c r="BO76" s="5">
        <f t="shared" si="95"/>
        <v>-3.5027019008173</v>
      </c>
      <c r="BP76" s="5">
        <f t="shared" si="96"/>
        <v>0</v>
      </c>
    </row>
    <row r="77" spans="1:68" ht="15">
      <c r="A77" s="4" t="s">
        <v>73</v>
      </c>
      <c r="B77" s="5">
        <v>67130389</v>
      </c>
      <c r="C77" s="5">
        <f t="shared" si="74"/>
        <v>67466040.945</v>
      </c>
      <c r="D77" s="5">
        <v>64139323.9761134</v>
      </c>
      <c r="E77" s="5">
        <v>33975517.50222877</v>
      </c>
      <c r="F77" s="5" t="str">
        <f t="shared" si="75"/>
        <v>ingen</v>
      </c>
      <c r="G77" s="5">
        <f t="shared" si="76"/>
        <v>64139323.9761134</v>
      </c>
      <c r="H77" s="5">
        <f t="shared" si="77"/>
        <v>46333107.981488384</v>
      </c>
      <c r="I77" s="5">
        <f t="shared" si="78"/>
        <v>56944475.02403916</v>
      </c>
      <c r="J77" s="5">
        <f t="shared" si="79"/>
        <v>65574905.174322404</v>
      </c>
      <c r="K77" s="5">
        <f t="shared" si="80"/>
        <v>76186272.21687317</v>
      </c>
      <c r="L77" s="5">
        <f>'Potentialer og krav'!R42</f>
        <v>3206966.1988056703</v>
      </c>
      <c r="M77" s="5">
        <f t="shared" si="58"/>
        <v>335651.945</v>
      </c>
      <c r="N77" s="5">
        <f t="shared" si="59"/>
        <v>1551718.941735</v>
      </c>
      <c r="O77" s="5">
        <f t="shared" si="60"/>
        <v>30163806.473884635</v>
      </c>
      <c r="P77" s="5">
        <f t="shared" si="61"/>
        <v>1475204.4514506082</v>
      </c>
      <c r="Q77" s="5">
        <f t="shared" si="62"/>
        <v>65614528.427564</v>
      </c>
      <c r="R77" s="5">
        <f t="shared" si="63"/>
        <v>69017759.88673499</v>
      </c>
      <c r="S77" s="5">
        <f t="shared" si="64"/>
        <v>1475204.4514506082</v>
      </c>
      <c r="T77" s="5">
        <f t="shared" si="65"/>
        <v>65614528.427564</v>
      </c>
      <c r="U77" s="20">
        <f t="shared" si="81"/>
        <v>3403231.4591709897</v>
      </c>
      <c r="V77" s="20" t="str">
        <f t="shared" si="66"/>
        <v>ingen</v>
      </c>
      <c r="X77" s="19" t="s">
        <v>73</v>
      </c>
      <c r="Y77" s="19">
        <v>190</v>
      </c>
      <c r="Z77" s="19">
        <v>148</v>
      </c>
      <c r="AA77" s="19">
        <v>3</v>
      </c>
      <c r="AB77" s="19">
        <v>2</v>
      </c>
      <c r="AC77" s="19"/>
      <c r="AD77" s="19"/>
      <c r="AE77" s="19">
        <v>67</v>
      </c>
      <c r="AF77" s="19">
        <v>12235</v>
      </c>
      <c r="AG77" s="19">
        <v>139</v>
      </c>
      <c r="AH77" s="19">
        <v>927</v>
      </c>
      <c r="AI77" s="19">
        <v>51</v>
      </c>
      <c r="AJ77" s="19"/>
      <c r="AK77" s="20">
        <v>22349</v>
      </c>
      <c r="AL77" s="5">
        <v>27307811.18148838</v>
      </c>
      <c r="AM77" s="21">
        <f t="shared" si="67"/>
        <v>4435191</v>
      </c>
      <c r="AN77" s="19">
        <f t="shared" si="68"/>
        <v>906041</v>
      </c>
      <c r="AO77" s="19">
        <f t="shared" si="69"/>
        <v>294374.1</v>
      </c>
      <c r="AP77" s="19">
        <f t="shared" si="70"/>
        <v>10611710</v>
      </c>
      <c r="AQ77" s="19">
        <f t="shared" si="71"/>
        <v>2777980.6999999997</v>
      </c>
      <c r="AR77" s="19"/>
      <c r="AS77" s="19">
        <f t="shared" si="72"/>
        <v>46333107.981488384</v>
      </c>
      <c r="AT77" s="21">
        <f t="shared" si="73"/>
        <v>56944475.02403916</v>
      </c>
      <c r="AU77" s="5">
        <v>36.00180185954944</v>
      </c>
      <c r="AX77" s="5" t="str">
        <f t="shared" si="82"/>
        <v>Roskilde Spildevand A/S</v>
      </c>
      <c r="AY77" s="5">
        <f t="shared" si="83"/>
        <v>58.93800863175153</v>
      </c>
      <c r="AZ77" s="5">
        <f t="shared" si="84"/>
        <v>9.572401233631913</v>
      </c>
      <c r="BA77" s="5">
        <f t="shared" si="85"/>
        <v>1.9554936836138717</v>
      </c>
      <c r="BB77" s="5">
        <f t="shared" si="86"/>
        <v>0.6353428742954438</v>
      </c>
      <c r="BC77" s="5">
        <f t="shared" si="87"/>
        <v>22.903082616947973</v>
      </c>
      <c r="BD77" s="5">
        <f t="shared" si="88"/>
        <v>5.995670959759262</v>
      </c>
      <c r="BF77" s="5">
        <f t="shared" si="97"/>
        <v>30.854247260321106</v>
      </c>
      <c r="BH77" s="5">
        <f t="shared" si="89"/>
        <v>-10.296725286458333</v>
      </c>
      <c r="BI77" s="5">
        <f t="shared" si="90"/>
        <v>6.938086467944535</v>
      </c>
      <c r="BJ77" s="5">
        <f t="shared" si="91"/>
        <v>0.15586500161711148</v>
      </c>
      <c r="BK77" s="5">
        <f t="shared" si="92"/>
        <v>0.1958044807951549</v>
      </c>
      <c r="BL77" s="5">
        <f t="shared" si="93"/>
        <v>1.8322389517564694</v>
      </c>
      <c r="BM77" s="5">
        <f t="shared" si="94"/>
        <v>1.1747303843450592</v>
      </c>
      <c r="BO77" s="5">
        <f t="shared" si="95"/>
        <v>1.0514756524876567</v>
      </c>
      <c r="BP77" s="5">
        <f t="shared" si="96"/>
        <v>0</v>
      </c>
    </row>
    <row r="78" spans="1:68" ht="15">
      <c r="A78" s="4" t="s">
        <v>74</v>
      </c>
      <c r="B78" s="5">
        <v>22826574</v>
      </c>
      <c r="C78" s="5">
        <f t="shared" si="74"/>
        <v>22940706.869999997</v>
      </c>
      <c r="D78" s="5">
        <v>32655587.9441932</v>
      </c>
      <c r="E78" s="5">
        <v>16206344.763493622</v>
      </c>
      <c r="F78" s="5">
        <f t="shared" si="75"/>
        <v>9714881.074193202</v>
      </c>
      <c r="G78" s="5">
        <f t="shared" si="76"/>
        <v>22940706.869999997</v>
      </c>
      <c r="H78" s="5">
        <f t="shared" si="77"/>
        <v>21601554.120736256</v>
      </c>
      <c r="I78" s="5">
        <f t="shared" si="78"/>
        <v>31740225.041665643</v>
      </c>
      <c r="J78" s="5">
        <f t="shared" si="79"/>
        <v>28483766.181736253</v>
      </c>
      <c r="K78" s="5">
        <f t="shared" si="80"/>
        <v>38622437.10266564</v>
      </c>
      <c r="L78" s="5" t="e">
        <f>'Potentialer og krav'!#REF!</f>
        <v>#REF!</v>
      </c>
      <c r="M78" s="5">
        <f t="shared" si="58"/>
        <v>114132.87</v>
      </c>
      <c r="N78" s="5">
        <f t="shared" si="59"/>
        <v>527636.2580099999</v>
      </c>
      <c r="O78" s="5">
        <f t="shared" si="60"/>
        <v>16449243.180699578</v>
      </c>
      <c r="P78" s="5">
        <f t="shared" si="61"/>
        <v>527636.2580099999</v>
      </c>
      <c r="Q78" s="5">
        <f t="shared" si="62"/>
        <v>23468343.128009994</v>
      </c>
      <c r="R78" s="5">
        <f t="shared" si="63"/>
        <v>23468343.128009994</v>
      </c>
      <c r="S78" s="5">
        <f t="shared" si="64"/>
        <v>751078.5227164435</v>
      </c>
      <c r="T78" s="5">
        <f t="shared" si="65"/>
        <v>33406666.46690964</v>
      </c>
      <c r="U78" s="20">
        <f t="shared" si="81"/>
        <v>-9938323.338899646</v>
      </c>
      <c r="V78" s="20" t="str">
        <f t="shared" si="66"/>
        <v>tal til venstre</v>
      </c>
      <c r="X78" s="19" t="s">
        <v>74</v>
      </c>
      <c r="Y78" s="19">
        <v>34</v>
      </c>
      <c r="Z78" s="19">
        <v>119</v>
      </c>
      <c r="AA78" s="19">
        <v>19</v>
      </c>
      <c r="AB78" s="19">
        <v>1</v>
      </c>
      <c r="AC78" s="19">
        <v>0</v>
      </c>
      <c r="AD78" s="19">
        <v>0</v>
      </c>
      <c r="AE78" s="19">
        <v>11</v>
      </c>
      <c r="AF78" s="19">
        <v>18993</v>
      </c>
      <c r="AG78" s="19">
        <v>95</v>
      </c>
      <c r="AH78" s="19">
        <v>1047</v>
      </c>
      <c r="AI78" s="19">
        <v>0</v>
      </c>
      <c r="AJ78" s="19">
        <v>0</v>
      </c>
      <c r="AK78" s="20">
        <v>14812</v>
      </c>
      <c r="AL78" s="20">
        <v>9196767.940736255</v>
      </c>
      <c r="AM78" s="21">
        <f t="shared" si="67"/>
        <v>3699770</v>
      </c>
      <c r="AN78" s="19">
        <f t="shared" si="68"/>
        <v>148753</v>
      </c>
      <c r="AO78" s="19">
        <f t="shared" si="69"/>
        <v>456971.57999999996</v>
      </c>
      <c r="AP78" s="19">
        <f t="shared" si="70"/>
        <v>6258160.000000001</v>
      </c>
      <c r="AQ78" s="19">
        <f t="shared" si="71"/>
        <v>1841131.5999999999</v>
      </c>
      <c r="AR78" s="19"/>
      <c r="AS78" s="19">
        <f t="shared" si="72"/>
        <v>21601554.120736256</v>
      </c>
      <c r="AT78" s="21">
        <f t="shared" si="73"/>
        <v>31740225.041665643</v>
      </c>
      <c r="AU78" s="5">
        <v>54.48839563993309</v>
      </c>
      <c r="AX78" s="5" t="str">
        <f t="shared" si="82"/>
        <v>Rudersdal Forsyning A/S</v>
      </c>
      <c r="AY78" s="5">
        <f t="shared" si="83"/>
        <v>42.57456611377736</v>
      </c>
      <c r="AZ78" s="5">
        <f t="shared" si="84"/>
        <v>17.127332502657445</v>
      </c>
      <c r="BA78" s="5">
        <f t="shared" si="85"/>
        <v>0.6886217499379159</v>
      </c>
      <c r="BB78" s="5">
        <f t="shared" si="86"/>
        <v>2.1154569594663255</v>
      </c>
      <c r="BC78" s="5">
        <f t="shared" si="87"/>
        <v>28.970878507266868</v>
      </c>
      <c r="BD78" s="5">
        <f t="shared" si="88"/>
        <v>8.52314416689408</v>
      </c>
      <c r="BF78" s="5">
        <f t="shared" si="97"/>
        <v>38.18264442409886</v>
      </c>
      <c r="BH78" s="5">
        <f t="shared" si="89"/>
        <v>6.066717231515838</v>
      </c>
      <c r="BI78" s="5">
        <f t="shared" si="90"/>
        <v>-0.6168448010809975</v>
      </c>
      <c r="BJ78" s="5">
        <f t="shared" si="91"/>
        <v>1.4227369352930672</v>
      </c>
      <c r="BK78" s="5">
        <f t="shared" si="92"/>
        <v>-1.2843096043757267</v>
      </c>
      <c r="BL78" s="5">
        <f t="shared" si="93"/>
        <v>-4.235556938562425</v>
      </c>
      <c r="BM78" s="5">
        <f t="shared" si="94"/>
        <v>-1.3527428227897582</v>
      </c>
      <c r="BO78" s="5">
        <f t="shared" si="95"/>
        <v>-6.276921511290098</v>
      </c>
      <c r="BP78" s="5">
        <f t="shared" si="96"/>
        <v>0</v>
      </c>
    </row>
    <row r="79" spans="1:68" ht="15">
      <c r="A79" s="4" t="s">
        <v>75</v>
      </c>
      <c r="B79" s="5">
        <v>8542313</v>
      </c>
      <c r="C79" s="5">
        <f t="shared" si="74"/>
        <v>8585024.565</v>
      </c>
      <c r="D79" s="5">
        <v>6057482.536138601</v>
      </c>
      <c r="E79" s="5">
        <v>1927079.1770177819</v>
      </c>
      <c r="F79" s="5" t="str">
        <f t="shared" si="75"/>
        <v>ingen</v>
      </c>
      <c r="G79" s="5">
        <f t="shared" si="76"/>
        <v>6057482.536138601</v>
      </c>
      <c r="H79" s="5">
        <f t="shared" si="77"/>
        <v>5962903.899999999</v>
      </c>
      <c r="I79" s="5">
        <f t="shared" si="78"/>
        <v>8953425.446139243</v>
      </c>
      <c r="J79" s="5">
        <f t="shared" si="79"/>
        <v>7780148.66084158</v>
      </c>
      <c r="K79" s="5">
        <f t="shared" si="80"/>
        <v>10770670.206980823</v>
      </c>
      <c r="L79" s="5">
        <f>'Potentialer og krav'!R43</f>
        <v>0</v>
      </c>
      <c r="M79" s="5">
        <f t="shared" si="58"/>
        <v>42711.565</v>
      </c>
      <c r="N79" s="5">
        <f t="shared" si="59"/>
        <v>197455.564995</v>
      </c>
      <c r="O79" s="5">
        <f t="shared" si="60"/>
        <v>4130403.359120819</v>
      </c>
      <c r="P79" s="5">
        <f t="shared" si="61"/>
        <v>139322.09833118782</v>
      </c>
      <c r="Q79" s="5">
        <f t="shared" si="62"/>
        <v>6196804.634469788</v>
      </c>
      <c r="R79" s="5">
        <f t="shared" si="63"/>
        <v>8782480.129995</v>
      </c>
      <c r="S79" s="5">
        <f t="shared" si="64"/>
        <v>139322.09833118782</v>
      </c>
      <c r="T79" s="5">
        <f t="shared" si="65"/>
        <v>6196804.634469788</v>
      </c>
      <c r="U79" s="20">
        <f t="shared" si="81"/>
        <v>2585675.495525212</v>
      </c>
      <c r="V79" s="20" t="str">
        <f t="shared" si="66"/>
        <v>ingen</v>
      </c>
      <c r="X79" s="19" t="s">
        <v>75</v>
      </c>
      <c r="Y79" s="19">
        <v>6</v>
      </c>
      <c r="Z79" s="19">
        <v>14</v>
      </c>
      <c r="AA79" s="19">
        <v>4</v>
      </c>
      <c r="AB79" s="19">
        <v>3</v>
      </c>
      <c r="AC79" s="19"/>
      <c r="AD79" s="19"/>
      <c r="AE79" s="19">
        <v>6</v>
      </c>
      <c r="AF79" s="19">
        <v>1280</v>
      </c>
      <c r="AG79" s="19">
        <v>0</v>
      </c>
      <c r="AH79" s="19">
        <v>142</v>
      </c>
      <c r="AI79" s="19">
        <v>30</v>
      </c>
      <c r="AJ79" s="19">
        <v>0</v>
      </c>
      <c r="AK79" s="20">
        <v>6807</v>
      </c>
      <c r="AL79" s="19">
        <v>0</v>
      </c>
      <c r="AM79" s="21">
        <f t="shared" si="67"/>
        <v>765825</v>
      </c>
      <c r="AN79" s="19">
        <f t="shared" si="68"/>
        <v>81138</v>
      </c>
      <c r="AO79" s="19">
        <f t="shared" si="69"/>
        <v>30796.8</v>
      </c>
      <c r="AP79" s="19">
        <f t="shared" si="70"/>
        <v>3584060</v>
      </c>
      <c r="AQ79" s="19">
        <f t="shared" si="71"/>
        <v>846110.1</v>
      </c>
      <c r="AR79" s="19"/>
      <c r="AS79" s="19">
        <f t="shared" si="72"/>
        <v>5962903.899999999</v>
      </c>
      <c r="AT79" s="21">
        <f t="shared" si="73"/>
        <v>8953425.446139243</v>
      </c>
      <c r="AU79" s="5">
        <v>56.96315409522382</v>
      </c>
      <c r="AV79" s="5">
        <v>654974</v>
      </c>
      <c r="AX79" s="5" t="str">
        <f t="shared" si="82"/>
        <v>Rødovre Spildevand A/S</v>
      </c>
      <c r="AY79" s="5">
        <f t="shared" si="83"/>
        <v>0</v>
      </c>
      <c r="AZ79" s="5">
        <f t="shared" si="84"/>
        <v>14.427941107511613</v>
      </c>
      <c r="BA79" s="5">
        <f t="shared" si="85"/>
        <v>1.5286185297963337</v>
      </c>
      <c r="BB79" s="5">
        <f t="shared" si="86"/>
        <v>0.580203593118289</v>
      </c>
      <c r="BC79" s="5">
        <f t="shared" si="87"/>
        <v>67.52274554341798</v>
      </c>
      <c r="BD79" s="5">
        <f t="shared" si="88"/>
        <v>15.940491226155796</v>
      </c>
      <c r="BF79" s="5">
        <f t="shared" si="97"/>
        <v>84.99185529937012</v>
      </c>
      <c r="BH79" s="5">
        <f t="shared" si="89"/>
        <v>48.641283345293196</v>
      </c>
      <c r="BI79" s="5">
        <f t="shared" si="90"/>
        <v>2.0825465940648353</v>
      </c>
      <c r="BJ79" s="5">
        <f t="shared" si="91"/>
        <v>0.5827401554346494</v>
      </c>
      <c r="BK79" s="5">
        <f t="shared" si="92"/>
        <v>0.2509437619723097</v>
      </c>
      <c r="BL79" s="5">
        <f t="shared" si="93"/>
        <v>-42.78742397471354</v>
      </c>
      <c r="BM79" s="5">
        <f t="shared" si="94"/>
        <v>-8.770089882051476</v>
      </c>
      <c r="BO79" s="5">
        <f t="shared" si="95"/>
        <v>-53.08613238656135</v>
      </c>
      <c r="BP79" s="5">
        <f t="shared" si="96"/>
        <v>-7.01377649009679</v>
      </c>
    </row>
    <row r="80" spans="1:68" ht="15">
      <c r="A80" s="4" t="s">
        <v>76</v>
      </c>
      <c r="B80" s="5">
        <f>4429781+537567</f>
        <v>4967348</v>
      </c>
      <c r="C80" s="5">
        <f t="shared" si="74"/>
        <v>4992184.739999999</v>
      </c>
      <c r="D80" s="5">
        <v>6617014.9894828005</v>
      </c>
      <c r="E80" s="5">
        <v>3045266.8981272406</v>
      </c>
      <c r="F80" s="5">
        <f t="shared" si="75"/>
        <v>1624830.2494828012</v>
      </c>
      <c r="G80" s="5">
        <f t="shared" si="76"/>
        <v>4992184.739999999</v>
      </c>
      <c r="H80" s="5">
        <f t="shared" si="77"/>
        <v>5522142.146257664</v>
      </c>
      <c r="I80" s="5">
        <f t="shared" si="78"/>
        <v>6135717.92608414</v>
      </c>
      <c r="J80" s="5">
        <f t="shared" si="79"/>
        <v>7019797.568257663</v>
      </c>
      <c r="K80" s="5">
        <f t="shared" si="80"/>
        <v>7633373.348084141</v>
      </c>
      <c r="L80" s="5" t="e">
        <f>'Potentialer og krav'!#REF!</f>
        <v>#REF!</v>
      </c>
      <c r="M80" s="5">
        <f t="shared" si="58"/>
        <v>24836.74</v>
      </c>
      <c r="N80" s="5">
        <f t="shared" si="59"/>
        <v>114820.24901999999</v>
      </c>
      <c r="O80" s="5">
        <f t="shared" si="60"/>
        <v>3571748.09135556</v>
      </c>
      <c r="P80" s="5">
        <f t="shared" si="61"/>
        <v>114820.24901999999</v>
      </c>
      <c r="Q80" s="5">
        <f t="shared" si="62"/>
        <v>5107004.989019999</v>
      </c>
      <c r="R80" s="5">
        <f t="shared" si="63"/>
        <v>5107004.989019999</v>
      </c>
      <c r="S80" s="5">
        <f t="shared" si="64"/>
        <v>152191.34475810442</v>
      </c>
      <c r="T80" s="5">
        <f t="shared" si="65"/>
        <v>6769206.334240904</v>
      </c>
      <c r="U80" s="20">
        <f t="shared" si="81"/>
        <v>-1662201.3452209048</v>
      </c>
      <c r="V80" s="20" t="str">
        <f t="shared" si="66"/>
        <v>tal til venstre</v>
      </c>
      <c r="X80" s="19" t="s">
        <v>76</v>
      </c>
      <c r="Y80" s="19">
        <v>47</v>
      </c>
      <c r="Z80" s="19">
        <v>32</v>
      </c>
      <c r="AA80" s="19">
        <v>0</v>
      </c>
      <c r="AB80" s="19">
        <v>0</v>
      </c>
      <c r="AC80" s="19">
        <v>1</v>
      </c>
      <c r="AD80" s="19">
        <v>0</v>
      </c>
      <c r="AE80" s="19">
        <v>3</v>
      </c>
      <c r="AF80" s="19">
        <v>0</v>
      </c>
      <c r="AG80" s="19">
        <v>141</v>
      </c>
      <c r="AH80" s="19">
        <v>24</v>
      </c>
      <c r="AI80" s="19">
        <v>0</v>
      </c>
      <c r="AJ80" s="19">
        <v>0</v>
      </c>
      <c r="AK80" s="20">
        <v>2281</v>
      </c>
      <c r="AL80" s="5">
        <v>2584846.8462576643</v>
      </c>
      <c r="AM80" s="21">
        <f t="shared" si="67"/>
        <v>1708998</v>
      </c>
      <c r="AN80" s="19">
        <f t="shared" si="68"/>
        <v>40569</v>
      </c>
      <c r="AO80" s="19">
        <f t="shared" si="69"/>
        <v>0</v>
      </c>
      <c r="AP80" s="19">
        <f t="shared" si="70"/>
        <v>904200</v>
      </c>
      <c r="AQ80" s="19">
        <f t="shared" si="71"/>
        <v>283528.3</v>
      </c>
      <c r="AR80" s="19"/>
      <c r="AS80" s="19">
        <f t="shared" si="72"/>
        <v>5522142.146257664</v>
      </c>
      <c r="AT80" s="21">
        <f t="shared" si="73"/>
        <v>6135717.92608414</v>
      </c>
      <c r="AU80" s="5">
        <v>26.93168564460769</v>
      </c>
      <c r="AX80" s="5" t="str">
        <f t="shared" si="82"/>
        <v>Samsø Spildevand A/S</v>
      </c>
      <c r="AY80" s="5">
        <f t="shared" si="83"/>
        <v>46.80877054223252</v>
      </c>
      <c r="AZ80" s="5">
        <f t="shared" si="84"/>
        <v>30.948098667800174</v>
      </c>
      <c r="BA80" s="5">
        <f t="shared" si="85"/>
        <v>0.7346605524722587</v>
      </c>
      <c r="BB80" s="5">
        <f t="shared" si="86"/>
        <v>0</v>
      </c>
      <c r="BC80" s="5">
        <f t="shared" si="87"/>
        <v>16.374080493613754</v>
      </c>
      <c r="BD80" s="5">
        <f t="shared" si="88"/>
        <v>5.134389743881297</v>
      </c>
      <c r="BF80" s="5">
        <f t="shared" si="97"/>
        <v>22.24313078996731</v>
      </c>
      <c r="BH80" s="5">
        <f t="shared" si="89"/>
        <v>1.8325128030606734</v>
      </c>
      <c r="BI80" s="5">
        <f t="shared" si="90"/>
        <v>-14.437610966223726</v>
      </c>
      <c r="BJ80" s="5">
        <f t="shared" si="91"/>
        <v>1.3766981327587244</v>
      </c>
      <c r="BK80" s="5">
        <f t="shared" si="92"/>
        <v>0.8311473550905987</v>
      </c>
      <c r="BL80" s="5">
        <f t="shared" si="93"/>
        <v>8.361241075090689</v>
      </c>
      <c r="BM80" s="5">
        <f t="shared" si="94"/>
        <v>2.0360116002230244</v>
      </c>
      <c r="BO80" s="5">
        <f t="shared" si="95"/>
        <v>9.662592122841453</v>
      </c>
      <c r="BP80" s="5">
        <f t="shared" si="96"/>
        <v>0</v>
      </c>
    </row>
    <row r="81" spans="1:68" ht="15">
      <c r="A81" s="4" t="s">
        <v>77</v>
      </c>
      <c r="B81" s="5">
        <v>41722000</v>
      </c>
      <c r="C81" s="5">
        <f t="shared" si="74"/>
        <v>41930609.99999999</v>
      </c>
      <c r="D81" s="5">
        <v>47887040.9055458</v>
      </c>
      <c r="E81" s="5">
        <f>7488561.52621184+F81</f>
        <v>13444992.431757648</v>
      </c>
      <c r="F81" s="5">
        <f t="shared" si="75"/>
        <v>5956430.905545808</v>
      </c>
      <c r="G81" s="5">
        <f t="shared" si="76"/>
        <v>41930609.99999999</v>
      </c>
      <c r="H81" s="5">
        <f t="shared" si="77"/>
        <v>53249522.695407964</v>
      </c>
      <c r="I81" s="5">
        <f t="shared" si="78"/>
        <v>62345586.49952477</v>
      </c>
      <c r="J81" s="5">
        <f t="shared" si="79"/>
        <v>65828705.695407964</v>
      </c>
      <c r="K81" s="5">
        <f t="shared" si="80"/>
        <v>74924769.49952477</v>
      </c>
      <c r="L81" s="5" t="e">
        <f>'Potentialer og krav'!#REF!</f>
        <v>#REF!</v>
      </c>
      <c r="M81" s="5">
        <f t="shared" si="58"/>
        <v>208610</v>
      </c>
      <c r="N81" s="5">
        <f t="shared" si="59"/>
        <v>964404.0299999998</v>
      </c>
      <c r="O81" s="5">
        <f t="shared" si="60"/>
        <v>34442048.47378816</v>
      </c>
      <c r="P81" s="5">
        <f t="shared" si="61"/>
        <v>964404.0299999998</v>
      </c>
      <c r="Q81" s="5">
        <f t="shared" si="62"/>
        <v>42895014.02999999</v>
      </c>
      <c r="R81" s="5">
        <f t="shared" si="63"/>
        <v>42895014.02999999</v>
      </c>
      <c r="S81" s="5">
        <f t="shared" si="64"/>
        <v>1101401.9408275534</v>
      </c>
      <c r="T81" s="5">
        <f t="shared" si="65"/>
        <v>48988442.84637335</v>
      </c>
      <c r="U81" s="20">
        <f t="shared" si="81"/>
        <v>-6093428.816373363</v>
      </c>
      <c r="V81" s="20" t="str">
        <f t="shared" si="66"/>
        <v>tal til venstre</v>
      </c>
      <c r="X81" s="19" t="s">
        <v>77</v>
      </c>
      <c r="Y81" s="19">
        <v>126</v>
      </c>
      <c r="Z81" s="19">
        <v>211</v>
      </c>
      <c r="AA81" s="19">
        <v>2</v>
      </c>
      <c r="AB81" s="19"/>
      <c r="AC81" s="19"/>
      <c r="AD81" s="19"/>
      <c r="AE81" s="19">
        <v>124</v>
      </c>
      <c r="AF81" s="19">
        <v>7296</v>
      </c>
      <c r="AG81" s="19">
        <v>519</v>
      </c>
      <c r="AH81" s="19">
        <v>1060</v>
      </c>
      <c r="AI81" s="19">
        <v>47</v>
      </c>
      <c r="AJ81" s="19">
        <v>0</v>
      </c>
      <c r="AK81" s="20">
        <v>25835</v>
      </c>
      <c r="AL81" s="5">
        <v>30317604.435407966</v>
      </c>
      <c r="AM81" s="21">
        <f t="shared" si="67"/>
        <v>4819404</v>
      </c>
      <c r="AN81" s="19">
        <f t="shared" si="68"/>
        <v>1676852</v>
      </c>
      <c r="AO81" s="19">
        <f t="shared" si="69"/>
        <v>175541.75999999998</v>
      </c>
      <c r="AP81" s="19">
        <f t="shared" si="70"/>
        <v>13048830</v>
      </c>
      <c r="AQ81" s="19">
        <f t="shared" si="71"/>
        <v>3211290.5</v>
      </c>
      <c r="AR81" s="19"/>
      <c r="AS81" s="19">
        <f t="shared" si="72"/>
        <v>53249522.695407964</v>
      </c>
      <c r="AT81" s="21">
        <f t="shared" si="73"/>
        <v>62345586.49952477</v>
      </c>
      <c r="AU81" s="5">
        <v>31.524586980297535</v>
      </c>
      <c r="AX81" s="5" t="str">
        <f t="shared" si="82"/>
        <v>Silkeborg Spildevand A/S</v>
      </c>
      <c r="AY81" s="5">
        <f t="shared" si="83"/>
        <v>56.934978758077094</v>
      </c>
      <c r="AZ81" s="5">
        <f t="shared" si="84"/>
        <v>9.050605068457463</v>
      </c>
      <c r="BA81" s="5">
        <f t="shared" si="85"/>
        <v>3.1490460667445666</v>
      </c>
      <c r="BB81" s="5">
        <f t="shared" si="86"/>
        <v>0.32965884220993785</v>
      </c>
      <c r="BC81" s="5">
        <f t="shared" si="87"/>
        <v>24.505064720749658</v>
      </c>
      <c r="BD81" s="5">
        <f t="shared" si="88"/>
        <v>6.030646543761282</v>
      </c>
      <c r="BF81" s="5">
        <f t="shared" si="97"/>
        <v>33.68475733125551</v>
      </c>
      <c r="BH81" s="5">
        <f t="shared" si="89"/>
        <v>-8.293695412783897</v>
      </c>
      <c r="BI81" s="5">
        <f t="shared" si="90"/>
        <v>7.459882633118985</v>
      </c>
      <c r="BJ81" s="5">
        <f t="shared" si="91"/>
        <v>-1.0376873815135834</v>
      </c>
      <c r="BK81" s="5">
        <f t="shared" si="92"/>
        <v>0.5014885128806608</v>
      </c>
      <c r="BL81" s="5">
        <f t="shared" si="93"/>
        <v>0.2302568479547844</v>
      </c>
      <c r="BM81" s="5">
        <f t="shared" si="94"/>
        <v>1.1397548003430389</v>
      </c>
      <c r="BO81" s="5">
        <f t="shared" si="95"/>
        <v>-1.7790344184467486</v>
      </c>
      <c r="BP81" s="5">
        <f t="shared" si="96"/>
        <v>0</v>
      </c>
    </row>
    <row r="82" spans="1:68" ht="15">
      <c r="A82" s="4" t="s">
        <v>78</v>
      </c>
      <c r="B82" s="5">
        <v>69094392</v>
      </c>
      <c r="C82" s="5">
        <f t="shared" si="74"/>
        <v>69439863.96</v>
      </c>
      <c r="D82" s="5">
        <v>50480341.033372596</v>
      </c>
      <c r="E82" s="5">
        <v>10227844.484272677</v>
      </c>
      <c r="F82" s="5" t="str">
        <f t="shared" si="75"/>
        <v>ingen</v>
      </c>
      <c r="G82" s="5">
        <f t="shared" si="76"/>
        <v>50480341.033372596</v>
      </c>
      <c r="H82" s="5">
        <f t="shared" si="77"/>
        <v>61484399.462404825</v>
      </c>
      <c r="I82" s="5">
        <f t="shared" si="78"/>
        <v>76100073.33729497</v>
      </c>
      <c r="J82" s="5">
        <f t="shared" si="79"/>
        <v>76628501.7724166</v>
      </c>
      <c r="K82" s="5">
        <f t="shared" si="80"/>
        <v>91244175.64730674</v>
      </c>
      <c r="L82" s="5">
        <f>'Potentialer og krav'!R44</f>
        <v>0</v>
      </c>
      <c r="M82" s="5">
        <f t="shared" si="58"/>
        <v>345471.96</v>
      </c>
      <c r="N82" s="5">
        <f t="shared" si="59"/>
        <v>1597116.8710799997</v>
      </c>
      <c r="O82" s="5">
        <f t="shared" si="60"/>
        <v>40252496.54909992</v>
      </c>
      <c r="P82" s="5">
        <f t="shared" si="61"/>
        <v>1161047.8437675696</v>
      </c>
      <c r="Q82" s="5">
        <f t="shared" si="62"/>
        <v>51641388.877140164</v>
      </c>
      <c r="R82" s="5">
        <f t="shared" si="63"/>
        <v>71036980.83107999</v>
      </c>
      <c r="S82" s="5">
        <f t="shared" si="64"/>
        <v>1161047.8437675696</v>
      </c>
      <c r="T82" s="5">
        <f t="shared" si="65"/>
        <v>51641388.877140164</v>
      </c>
      <c r="U82" s="20">
        <f t="shared" si="81"/>
        <v>19395591.953939825</v>
      </c>
      <c r="V82" s="20" t="str">
        <f t="shared" si="66"/>
        <v>ingen</v>
      </c>
      <c r="X82" s="19" t="s">
        <v>78</v>
      </c>
      <c r="Y82" s="19">
        <v>218</v>
      </c>
      <c r="Z82" s="19">
        <v>274</v>
      </c>
      <c r="AA82" s="19">
        <v>42</v>
      </c>
      <c r="AB82" s="19">
        <v>7</v>
      </c>
      <c r="AC82" s="19">
        <v>0</v>
      </c>
      <c r="AD82" s="19">
        <v>0</v>
      </c>
      <c r="AE82" s="19">
        <v>78</v>
      </c>
      <c r="AF82" s="19">
        <v>3405</v>
      </c>
      <c r="AG82" s="19">
        <v>402</v>
      </c>
      <c r="AH82" s="19">
        <v>823</v>
      </c>
      <c r="AI82" s="19">
        <v>81</v>
      </c>
      <c r="AJ82" s="19">
        <v>0</v>
      </c>
      <c r="AK82" s="20">
        <v>19241</v>
      </c>
      <c r="AL82" s="5">
        <v>33833279.86240483</v>
      </c>
      <c r="AM82" s="21">
        <f t="shared" si="67"/>
        <v>9833815</v>
      </c>
      <c r="AN82" s="19">
        <f t="shared" si="68"/>
        <v>1054794</v>
      </c>
      <c r="AO82" s="19">
        <f t="shared" si="69"/>
        <v>81924.3</v>
      </c>
      <c r="AP82" s="19">
        <f t="shared" si="70"/>
        <v>14288930</v>
      </c>
      <c r="AQ82" s="19">
        <f t="shared" si="71"/>
        <v>2391656.3</v>
      </c>
      <c r="AR82" s="19"/>
      <c r="AS82" s="19">
        <f t="shared" si="72"/>
        <v>61484399.462404825</v>
      </c>
      <c r="AT82" s="21">
        <f t="shared" si="73"/>
        <v>76100073.33729497</v>
      </c>
      <c r="AU82" s="5">
        <v>36.67027183716369</v>
      </c>
      <c r="AX82" s="5" t="str">
        <f t="shared" si="82"/>
        <v>SK Spildevand A/S</v>
      </c>
      <c r="AY82" s="5">
        <f t="shared" si="83"/>
        <v>55.02742184721588</v>
      </c>
      <c r="AZ82" s="5">
        <f t="shared" si="84"/>
        <v>15.994000243936629</v>
      </c>
      <c r="BA82" s="5">
        <f t="shared" si="85"/>
        <v>1.7155473733543793</v>
      </c>
      <c r="BB82" s="5">
        <f t="shared" si="86"/>
        <v>0.13324404355627373</v>
      </c>
      <c r="BC82" s="5">
        <f t="shared" si="87"/>
        <v>23.23992772953258</v>
      </c>
      <c r="BD82" s="5">
        <f t="shared" si="88"/>
        <v>3.8898587624042733</v>
      </c>
      <c r="BF82" s="5">
        <f t="shared" si="97"/>
        <v>28.845333865291234</v>
      </c>
      <c r="BH82" s="5">
        <f t="shared" si="89"/>
        <v>-6.38613850192268</v>
      </c>
      <c r="BI82" s="5">
        <f t="shared" si="90"/>
        <v>0.5164874576398191</v>
      </c>
      <c r="BJ82" s="5">
        <f t="shared" si="91"/>
        <v>0.3958113118766038</v>
      </c>
      <c r="BK82" s="5">
        <f t="shared" si="92"/>
        <v>0.6979033115343249</v>
      </c>
      <c r="BL82" s="5">
        <f t="shared" si="93"/>
        <v>1.4953938391718609</v>
      </c>
      <c r="BM82" s="5">
        <f t="shared" si="94"/>
        <v>3.2805425817000478</v>
      </c>
      <c r="BO82" s="5">
        <f t="shared" si="95"/>
        <v>3.0603890475175284</v>
      </c>
      <c r="BP82" s="5">
        <f t="shared" si="96"/>
        <v>0</v>
      </c>
    </row>
    <row r="83" spans="1:68" ht="15">
      <c r="A83" s="4" t="s">
        <v>79</v>
      </c>
      <c r="B83" s="5">
        <v>32037722</v>
      </c>
      <c r="C83" s="5">
        <f t="shared" si="74"/>
        <v>32197910.609999996</v>
      </c>
      <c r="D83" s="5">
        <v>41808085.8870276</v>
      </c>
      <c r="E83" s="5">
        <v>19271019.108766504</v>
      </c>
      <c r="F83" s="5">
        <f t="shared" si="75"/>
        <v>9610175.277027603</v>
      </c>
      <c r="G83" s="5">
        <f t="shared" si="76"/>
        <v>32197910.609999996</v>
      </c>
      <c r="H83" s="5">
        <f t="shared" si="77"/>
        <v>34843690.45113882</v>
      </c>
      <c r="I83" s="5">
        <f t="shared" si="78"/>
        <v>39966035.176505946</v>
      </c>
      <c r="J83" s="5">
        <f t="shared" si="79"/>
        <v>44503063.634138815</v>
      </c>
      <c r="K83" s="5">
        <f t="shared" si="80"/>
        <v>49625408.359505944</v>
      </c>
      <c r="L83" s="5" t="e">
        <f>'Potentialer og krav'!#REF!</f>
        <v>#REF!</v>
      </c>
      <c r="M83" s="5">
        <f t="shared" si="58"/>
        <v>160188.61000000002</v>
      </c>
      <c r="N83" s="5">
        <f t="shared" si="59"/>
        <v>740551.9440299999</v>
      </c>
      <c r="O83" s="5">
        <f t="shared" si="60"/>
        <v>22537066.778261095</v>
      </c>
      <c r="P83" s="5">
        <f t="shared" si="61"/>
        <v>740551.9440299999</v>
      </c>
      <c r="Q83" s="5">
        <f t="shared" si="62"/>
        <v>32938462.554029994</v>
      </c>
      <c r="R83" s="5">
        <f t="shared" si="63"/>
        <v>32938462.554029994</v>
      </c>
      <c r="S83" s="5">
        <f t="shared" si="64"/>
        <v>961585.9754016348</v>
      </c>
      <c r="T83" s="5">
        <f t="shared" si="65"/>
        <v>42769671.86242923</v>
      </c>
      <c r="U83" s="20">
        <f t="shared" si="81"/>
        <v>-9831209.308399238</v>
      </c>
      <c r="V83" s="20" t="str">
        <f t="shared" si="66"/>
        <v>tal til venstre</v>
      </c>
      <c r="X83" s="19" t="s">
        <v>79</v>
      </c>
      <c r="Y83" s="19">
        <v>84</v>
      </c>
      <c r="Z83" s="19">
        <v>168</v>
      </c>
      <c r="AA83" s="19">
        <v>3</v>
      </c>
      <c r="AB83" s="19">
        <v>0</v>
      </c>
      <c r="AC83" s="19">
        <v>0</v>
      </c>
      <c r="AD83" s="19">
        <v>0</v>
      </c>
      <c r="AE83" s="19">
        <v>105</v>
      </c>
      <c r="AF83" s="19">
        <v>7183</v>
      </c>
      <c r="AG83" s="19">
        <v>280</v>
      </c>
      <c r="AH83" s="19">
        <v>560</v>
      </c>
      <c r="AI83" s="19">
        <v>12</v>
      </c>
      <c r="AJ83" s="19">
        <v>0</v>
      </c>
      <c r="AK83" s="20">
        <v>17901</v>
      </c>
      <c r="AL83" s="5">
        <v>21498059.171138816</v>
      </c>
      <c r="AM83" s="21">
        <f t="shared" si="67"/>
        <v>3802239</v>
      </c>
      <c r="AN83" s="19">
        <f t="shared" si="68"/>
        <v>1419915</v>
      </c>
      <c r="AO83" s="19">
        <f t="shared" si="69"/>
        <v>172822.97999999998</v>
      </c>
      <c r="AP83" s="19">
        <f t="shared" si="70"/>
        <v>5725560.000000001</v>
      </c>
      <c r="AQ83" s="19">
        <f t="shared" si="71"/>
        <v>2225094.3</v>
      </c>
      <c r="AR83" s="19"/>
      <c r="AS83" s="19">
        <f t="shared" si="72"/>
        <v>34843690.45113882</v>
      </c>
      <c r="AT83" s="21">
        <f t="shared" si="73"/>
        <v>39966035.176505946</v>
      </c>
      <c r="AU83" s="5">
        <v>29.693019065002645</v>
      </c>
      <c r="AX83" s="5" t="str">
        <f t="shared" si="82"/>
        <v>Skanderborg Forsyningsvirksomhed A/S</v>
      </c>
      <c r="AY83" s="5">
        <f t="shared" si="83"/>
        <v>61.69857122707902</v>
      </c>
      <c r="AZ83" s="5">
        <f t="shared" si="84"/>
        <v>10.912274075364852</v>
      </c>
      <c r="BA83" s="5">
        <f t="shared" si="85"/>
        <v>4.075099341130761</v>
      </c>
      <c r="BB83" s="5">
        <f t="shared" si="86"/>
        <v>0.4959950503588276</v>
      </c>
      <c r="BC83" s="5">
        <f t="shared" si="87"/>
        <v>16.432128531359023</v>
      </c>
      <c r="BD83" s="5">
        <f t="shared" si="88"/>
        <v>6.385931774707508</v>
      </c>
      <c r="BF83" s="5">
        <f t="shared" si="97"/>
        <v>26.893159647197294</v>
      </c>
      <c r="BH83" s="5">
        <f t="shared" si="89"/>
        <v>-13.057287881785825</v>
      </c>
      <c r="BI83" s="5">
        <f t="shared" si="90"/>
        <v>5.598213626211596</v>
      </c>
      <c r="BJ83" s="5">
        <f t="shared" si="91"/>
        <v>-1.9637406558997776</v>
      </c>
      <c r="BK83" s="5">
        <f t="shared" si="92"/>
        <v>0.33515230473177104</v>
      </c>
      <c r="BL83" s="5">
        <f t="shared" si="93"/>
        <v>8.30319303734542</v>
      </c>
      <c r="BM83" s="5">
        <f t="shared" si="94"/>
        <v>0.7844695693968129</v>
      </c>
      <c r="BO83" s="5">
        <f t="shared" si="95"/>
        <v>5.012563265611469</v>
      </c>
      <c r="BP83" s="5">
        <f t="shared" si="96"/>
        <v>0</v>
      </c>
    </row>
    <row r="84" spans="1:68" ht="15">
      <c r="A84" s="4" t="s">
        <v>80</v>
      </c>
      <c r="B84" s="5">
        <v>27581000</v>
      </c>
      <c r="C84" s="5">
        <f t="shared" si="74"/>
        <v>27718904.999999996</v>
      </c>
      <c r="D84" s="5">
        <v>32473227.1032988</v>
      </c>
      <c r="E84" s="5">
        <v>7611724.433013238</v>
      </c>
      <c r="F84" s="5">
        <f t="shared" si="75"/>
        <v>4754322.103298802</v>
      </c>
      <c r="G84" s="5">
        <f t="shared" si="76"/>
        <v>27718904.999999996</v>
      </c>
      <c r="H84" s="5">
        <f t="shared" si="77"/>
        <v>37963858.72948311</v>
      </c>
      <c r="I84" s="5">
        <f t="shared" si="78"/>
        <v>45429562.82335285</v>
      </c>
      <c r="J84" s="5">
        <f t="shared" si="79"/>
        <v>46279530.22948311</v>
      </c>
      <c r="K84" s="5">
        <f t="shared" si="80"/>
        <v>53745234.32335285</v>
      </c>
      <c r="L84" s="5" t="e">
        <f>'Potentialer og krav'!#REF!</f>
        <v>#REF!</v>
      </c>
      <c r="M84" s="5">
        <f t="shared" si="58"/>
        <v>137905</v>
      </c>
      <c r="N84" s="5">
        <f t="shared" si="59"/>
        <v>637534.815</v>
      </c>
      <c r="O84" s="5">
        <f t="shared" si="60"/>
        <v>24861502.67028556</v>
      </c>
      <c r="P84" s="5">
        <f t="shared" si="61"/>
        <v>637534.815</v>
      </c>
      <c r="Q84" s="5">
        <f t="shared" si="62"/>
        <v>28356439.814999994</v>
      </c>
      <c r="R84" s="5">
        <f t="shared" si="63"/>
        <v>28356439.814999994</v>
      </c>
      <c r="S84" s="5">
        <f t="shared" si="64"/>
        <v>746884.2233758724</v>
      </c>
      <c r="T84" s="5">
        <f t="shared" si="65"/>
        <v>33220111.326674666</v>
      </c>
      <c r="U84" s="20">
        <f t="shared" si="81"/>
        <v>-4863671.511674672</v>
      </c>
      <c r="V84" s="20" t="str">
        <f t="shared" si="66"/>
        <v>tal til venstre</v>
      </c>
      <c r="X84" s="19" t="s">
        <v>80</v>
      </c>
      <c r="Y84" s="19">
        <v>36</v>
      </c>
      <c r="Z84" s="19">
        <v>306</v>
      </c>
      <c r="AA84" s="19">
        <v>0</v>
      </c>
      <c r="AB84" s="19">
        <v>0</v>
      </c>
      <c r="AC84" s="19">
        <v>0</v>
      </c>
      <c r="AD84" s="19">
        <v>0</v>
      </c>
      <c r="AE84" s="19">
        <v>66</v>
      </c>
      <c r="AF84" s="19">
        <v>22374</v>
      </c>
      <c r="AG84" s="19">
        <v>302</v>
      </c>
      <c r="AH84" s="19">
        <v>618</v>
      </c>
      <c r="AI84" s="19">
        <v>22</v>
      </c>
      <c r="AJ84" s="19">
        <v>0</v>
      </c>
      <c r="AK84" s="20">
        <v>15061</v>
      </c>
      <c r="AL84" s="5">
        <v>21940099.989483118</v>
      </c>
      <c r="AM84" s="21">
        <f t="shared" si="67"/>
        <v>5621580</v>
      </c>
      <c r="AN84" s="19">
        <f t="shared" si="68"/>
        <v>892518</v>
      </c>
      <c r="AO84" s="19">
        <f t="shared" si="69"/>
        <v>538318.44</v>
      </c>
      <c r="AP84" s="19">
        <f t="shared" si="70"/>
        <v>7099260</v>
      </c>
      <c r="AQ84" s="19">
        <f t="shared" si="71"/>
        <v>1872082.3</v>
      </c>
      <c r="AR84" s="19"/>
      <c r="AS84" s="19">
        <f t="shared" si="72"/>
        <v>37963858.72948311</v>
      </c>
      <c r="AT84" s="21">
        <f t="shared" si="73"/>
        <v>45429562.82335285</v>
      </c>
      <c r="AU84" s="5">
        <v>33.511763928440224</v>
      </c>
      <c r="AX84" s="5" t="str">
        <f t="shared" si="82"/>
        <v>Skive Vand A/S</v>
      </c>
      <c r="AY84" s="5">
        <f t="shared" si="83"/>
        <v>57.792070468443235</v>
      </c>
      <c r="AZ84" s="5">
        <f t="shared" si="84"/>
        <v>14.807714990347451</v>
      </c>
      <c r="BA84" s="5">
        <f t="shared" si="85"/>
        <v>2.3509675514276993</v>
      </c>
      <c r="BB84" s="5">
        <f t="shared" si="86"/>
        <v>1.4179760909866006</v>
      </c>
      <c r="BC84" s="5">
        <f t="shared" si="87"/>
        <v>18.7000485134738</v>
      </c>
      <c r="BD84" s="5">
        <f t="shared" si="88"/>
        <v>4.931222385321233</v>
      </c>
      <c r="BF84" s="5">
        <f t="shared" si="97"/>
        <v>25.98223845022273</v>
      </c>
      <c r="BH84" s="5">
        <f t="shared" si="89"/>
        <v>-9.150787123150039</v>
      </c>
      <c r="BI84" s="5">
        <f t="shared" si="90"/>
        <v>1.702772711228997</v>
      </c>
      <c r="BJ84" s="5">
        <f t="shared" si="91"/>
        <v>-0.23960886619671617</v>
      </c>
      <c r="BK84" s="5">
        <f t="shared" si="92"/>
        <v>-0.5868287358960019</v>
      </c>
      <c r="BL84" s="5">
        <f t="shared" si="93"/>
        <v>6.035273055230643</v>
      </c>
      <c r="BM84" s="5">
        <f t="shared" si="94"/>
        <v>2.2391789587830884</v>
      </c>
      <c r="BO84" s="5">
        <f t="shared" si="95"/>
        <v>5.923484462586032</v>
      </c>
      <c r="BP84" s="5">
        <f t="shared" si="96"/>
        <v>0</v>
      </c>
    </row>
    <row r="85" spans="1:68" ht="15">
      <c r="A85" s="4" t="s">
        <v>81</v>
      </c>
      <c r="B85" s="5">
        <v>10433840</v>
      </c>
      <c r="C85" s="5">
        <f t="shared" si="74"/>
        <v>10486009.2</v>
      </c>
      <c r="D85" s="5">
        <v>12355789.8069704</v>
      </c>
      <c r="E85" s="5">
        <v>5121736.950808163</v>
      </c>
      <c r="F85" s="5">
        <f t="shared" si="75"/>
        <v>1869780.6069704015</v>
      </c>
      <c r="G85" s="5">
        <f t="shared" si="76"/>
        <v>10486009.2</v>
      </c>
      <c r="H85" s="5">
        <f t="shared" si="77"/>
        <v>10964979.046491107</v>
      </c>
      <c r="I85" s="5">
        <f t="shared" si="78"/>
        <v>13703412.293689892</v>
      </c>
      <c r="J85" s="5">
        <f t="shared" si="79"/>
        <v>14110781.806491107</v>
      </c>
      <c r="K85" s="5">
        <f t="shared" si="80"/>
        <v>16849215.05368989</v>
      </c>
      <c r="L85" s="5" t="e">
        <f>'Potentialer og krav'!#REF!</f>
        <v>#REF!</v>
      </c>
      <c r="M85" s="5">
        <f t="shared" si="58"/>
        <v>52169.200000000004</v>
      </c>
      <c r="N85" s="5">
        <f t="shared" si="59"/>
        <v>241178.21159999998</v>
      </c>
      <c r="O85" s="5">
        <f t="shared" si="60"/>
        <v>7234052.856162238</v>
      </c>
      <c r="P85" s="5">
        <f t="shared" si="61"/>
        <v>241178.21159999998</v>
      </c>
      <c r="Q85" s="5">
        <f t="shared" si="62"/>
        <v>10727187.411599997</v>
      </c>
      <c r="R85" s="5">
        <f t="shared" si="63"/>
        <v>10727187.411599997</v>
      </c>
      <c r="S85" s="5">
        <f t="shared" si="64"/>
        <v>284183.1655603192</v>
      </c>
      <c r="T85" s="5">
        <f t="shared" si="65"/>
        <v>12639972.972530719</v>
      </c>
      <c r="U85" s="20">
        <f t="shared" si="81"/>
        <v>-1912785.5609307215</v>
      </c>
      <c r="V85" s="20" t="str">
        <f t="shared" si="66"/>
        <v>tal til venstre</v>
      </c>
      <c r="X85" s="19" t="s">
        <v>81</v>
      </c>
      <c r="Y85" s="19">
        <v>0</v>
      </c>
      <c r="Z85" s="19">
        <v>62</v>
      </c>
      <c r="AA85" s="19">
        <v>4</v>
      </c>
      <c r="AB85" s="19">
        <v>2</v>
      </c>
      <c r="AC85" s="19">
        <v>0</v>
      </c>
      <c r="AD85" s="19">
        <v>0</v>
      </c>
      <c r="AE85" s="19">
        <v>8</v>
      </c>
      <c r="AF85" s="19">
        <v>234</v>
      </c>
      <c r="AG85" s="19">
        <v>47</v>
      </c>
      <c r="AH85" s="19">
        <v>227</v>
      </c>
      <c r="AI85" s="19">
        <v>21</v>
      </c>
      <c r="AJ85" s="19">
        <v>0</v>
      </c>
      <c r="AK85" s="20">
        <v>6652</v>
      </c>
      <c r="AL85" s="5">
        <v>5071705.406491108</v>
      </c>
      <c r="AM85" s="21">
        <f t="shared" si="67"/>
        <v>1486966</v>
      </c>
      <c r="AN85" s="19">
        <f t="shared" si="68"/>
        <v>108184</v>
      </c>
      <c r="AO85" s="19">
        <f t="shared" si="69"/>
        <v>5630.04</v>
      </c>
      <c r="AP85" s="19">
        <f t="shared" si="70"/>
        <v>3465650</v>
      </c>
      <c r="AQ85" s="19">
        <f t="shared" si="71"/>
        <v>826843.6</v>
      </c>
      <c r="AR85" s="19"/>
      <c r="AS85" s="19">
        <f t="shared" si="72"/>
        <v>10964979.046491107</v>
      </c>
      <c r="AT85" s="21">
        <f t="shared" si="73"/>
        <v>13703412.293689892</v>
      </c>
      <c r="AU85" s="5">
        <v>37.59566088044723</v>
      </c>
      <c r="AX85" s="5" t="str">
        <f t="shared" si="82"/>
        <v>Solrød Spildevand A/S</v>
      </c>
      <c r="AY85" s="5">
        <f t="shared" si="83"/>
        <v>46.25367166674249</v>
      </c>
      <c r="AZ85" s="5">
        <f t="shared" si="84"/>
        <v>13.561047346240418</v>
      </c>
      <c r="BA85" s="5">
        <f t="shared" si="85"/>
        <v>0.986632072357857</v>
      </c>
      <c r="BB85" s="5">
        <f t="shared" si="86"/>
        <v>0.05134565215427077</v>
      </c>
      <c r="BC85" s="5">
        <f t="shared" si="87"/>
        <v>31.606535546541142</v>
      </c>
      <c r="BD85" s="5">
        <f t="shared" si="88"/>
        <v>7.540767715963829</v>
      </c>
      <c r="BF85" s="5">
        <f t="shared" si="97"/>
        <v>40.133935334862834</v>
      </c>
      <c r="BH85" s="5">
        <f t="shared" si="89"/>
        <v>2.387611678550705</v>
      </c>
      <c r="BI85" s="5">
        <f t="shared" si="90"/>
        <v>2.94944035533603</v>
      </c>
      <c r="BJ85" s="5">
        <f t="shared" si="91"/>
        <v>1.1247266128731261</v>
      </c>
      <c r="BK85" s="5">
        <f t="shared" si="92"/>
        <v>0.7798017029363279</v>
      </c>
      <c r="BL85" s="5">
        <f t="shared" si="93"/>
        <v>-6.8712139778367</v>
      </c>
      <c r="BM85" s="5">
        <f t="shared" si="94"/>
        <v>-0.37036637185950827</v>
      </c>
      <c r="BO85" s="5">
        <f t="shared" si="95"/>
        <v>-8.22821242205407</v>
      </c>
      <c r="BP85" s="5">
        <f t="shared" si="96"/>
        <v>0</v>
      </c>
    </row>
    <row r="86" spans="1:68" ht="15">
      <c r="A86" s="4" t="s">
        <v>82</v>
      </c>
      <c r="B86" s="5">
        <v>22295516</v>
      </c>
      <c r="C86" s="5">
        <f t="shared" si="74"/>
        <v>22406993.58</v>
      </c>
      <c r="D86" s="5">
        <v>17677639.6187846</v>
      </c>
      <c r="E86" s="5">
        <v>8226471.428897329</v>
      </c>
      <c r="F86" s="5" t="str">
        <f t="shared" si="75"/>
        <v>ingen</v>
      </c>
      <c r="G86" s="5">
        <f t="shared" si="76"/>
        <v>17677639.6187846</v>
      </c>
      <c r="H86" s="5">
        <f t="shared" si="77"/>
        <v>14612086.824049655</v>
      </c>
      <c r="I86" s="5">
        <f t="shared" si="78"/>
        <v>17101171.046194777</v>
      </c>
      <c r="J86" s="5">
        <f t="shared" si="79"/>
        <v>19915378.709685035</v>
      </c>
      <c r="K86" s="5">
        <f t="shared" si="80"/>
        <v>22404462.931830157</v>
      </c>
      <c r="L86" s="5">
        <f>'Potentialer og krav'!R45</f>
        <v>883881.98093923</v>
      </c>
      <c r="M86" s="5">
        <f t="shared" si="58"/>
        <v>111477.58</v>
      </c>
      <c r="N86" s="5">
        <f t="shared" si="59"/>
        <v>515360.8523399999</v>
      </c>
      <c r="O86" s="5">
        <f t="shared" si="60"/>
        <v>9451168.18988727</v>
      </c>
      <c r="P86" s="5">
        <f t="shared" si="61"/>
        <v>406585.7112320458</v>
      </c>
      <c r="Q86" s="5">
        <f t="shared" si="62"/>
        <v>18084225.330016643</v>
      </c>
      <c r="R86" s="5">
        <f t="shared" si="63"/>
        <v>22922354.432339996</v>
      </c>
      <c r="S86" s="5">
        <f t="shared" si="64"/>
        <v>406585.7112320458</v>
      </c>
      <c r="T86" s="5">
        <f t="shared" si="65"/>
        <v>18084225.330016643</v>
      </c>
      <c r="U86" s="20">
        <f t="shared" si="81"/>
        <v>4838129.102323353</v>
      </c>
      <c r="V86" s="20" t="str">
        <f t="shared" si="66"/>
        <v>ingen</v>
      </c>
      <c r="X86" s="19" t="s">
        <v>82</v>
      </c>
      <c r="Y86" s="19">
        <v>165</v>
      </c>
      <c r="Z86" s="19">
        <v>17</v>
      </c>
      <c r="AA86" s="19">
        <v>11</v>
      </c>
      <c r="AB86" s="19">
        <v>0</v>
      </c>
      <c r="AC86" s="19">
        <v>0</v>
      </c>
      <c r="AD86" s="19">
        <v>0</v>
      </c>
      <c r="AE86" s="19">
        <v>29</v>
      </c>
      <c r="AF86" s="19">
        <v>1529</v>
      </c>
      <c r="AG86" s="19">
        <v>251</v>
      </c>
      <c r="AH86" s="19">
        <v>127</v>
      </c>
      <c r="AI86" s="19">
        <v>0</v>
      </c>
      <c r="AJ86" s="19">
        <v>0</v>
      </c>
      <c r="AK86" s="20">
        <v>7431</v>
      </c>
      <c r="AL86" s="5">
        <v>8829812.784049654</v>
      </c>
      <c r="AM86" s="21">
        <f t="shared" si="67"/>
        <v>2358206</v>
      </c>
      <c r="AN86" s="19">
        <f t="shared" si="68"/>
        <v>392167</v>
      </c>
      <c r="AO86" s="19">
        <f t="shared" si="69"/>
        <v>36787.74</v>
      </c>
      <c r="AP86" s="19">
        <f t="shared" si="70"/>
        <v>2071440</v>
      </c>
      <c r="AQ86" s="19">
        <f t="shared" si="71"/>
        <v>923673.2999999999</v>
      </c>
      <c r="AR86" s="19"/>
      <c r="AS86" s="19">
        <f t="shared" si="72"/>
        <v>14612086.824049655</v>
      </c>
      <c r="AT86" s="21">
        <f t="shared" si="73"/>
        <v>17101171.046194777</v>
      </c>
      <c r="AU86" s="5">
        <v>31.48801528865606</v>
      </c>
      <c r="AX86" s="5" t="str">
        <f t="shared" si="82"/>
        <v>Sorø Spildevand A/S</v>
      </c>
      <c r="AY86" s="5">
        <f t="shared" si="83"/>
        <v>60.42814342929371</v>
      </c>
      <c r="AZ86" s="5">
        <f t="shared" si="84"/>
        <v>16.138735201865142</v>
      </c>
      <c r="BA86" s="5">
        <f t="shared" si="85"/>
        <v>2.683853475018657</v>
      </c>
      <c r="BB86" s="5">
        <f t="shared" si="86"/>
        <v>0.25176239672660583</v>
      </c>
      <c r="BC86" s="5">
        <f t="shared" si="87"/>
        <v>14.17620922283784</v>
      </c>
      <c r="BD86" s="5">
        <f t="shared" si="88"/>
        <v>6.321296274258034</v>
      </c>
      <c r="BF86" s="5">
        <f t="shared" si="97"/>
        <v>23.181358972114534</v>
      </c>
      <c r="BH86" s="5">
        <f t="shared" si="89"/>
        <v>-11.786860084000516</v>
      </c>
      <c r="BI86" s="5">
        <f t="shared" si="90"/>
        <v>0.371752499711306</v>
      </c>
      <c r="BJ86" s="5">
        <f t="shared" si="91"/>
        <v>-0.5724947897876738</v>
      </c>
      <c r="BK86" s="5">
        <f t="shared" si="92"/>
        <v>0.5793849583639928</v>
      </c>
      <c r="BL86" s="5">
        <f t="shared" si="93"/>
        <v>10.559112345866602</v>
      </c>
      <c r="BM86" s="5">
        <f t="shared" si="94"/>
        <v>0.8491050698462868</v>
      </c>
      <c r="BO86" s="5">
        <f t="shared" si="95"/>
        <v>8.724363940694229</v>
      </c>
      <c r="BP86" s="5">
        <f t="shared" si="96"/>
        <v>0</v>
      </c>
    </row>
    <row r="87" spans="1:68" ht="15">
      <c r="A87" s="4" t="s">
        <v>83</v>
      </c>
      <c r="B87" s="5">
        <v>54998294</v>
      </c>
      <c r="C87" s="5">
        <f t="shared" si="74"/>
        <v>55273285.46999999</v>
      </c>
      <c r="D87" s="5">
        <v>55714858</v>
      </c>
      <c r="E87" s="5">
        <v>24990386.9792064</v>
      </c>
      <c r="F87" s="5">
        <f t="shared" si="75"/>
        <v>441572.53000000864</v>
      </c>
      <c r="G87" s="5">
        <f>IF(F87="ingen",D87,IF(E87&lt;F87,D87-E87,C87))</f>
        <v>55273285.46999999</v>
      </c>
      <c r="H87" s="5">
        <f t="shared" si="77"/>
        <v>53760660.51803879</v>
      </c>
      <c r="I87" s="5">
        <f>AT87</f>
        <v>66288293.08548172</v>
      </c>
      <c r="J87" s="5">
        <f t="shared" si="79"/>
        <v>70342646.15903878</v>
      </c>
      <c r="K87" s="5">
        <f t="shared" si="80"/>
        <v>82870278.72648172</v>
      </c>
      <c r="L87" s="5" t="e">
        <f>'Potentialer og krav'!#REF!</f>
        <v>#REF!</v>
      </c>
      <c r="M87" s="5">
        <f t="shared" si="58"/>
        <v>274991.47000000003</v>
      </c>
      <c r="N87" s="5">
        <f t="shared" si="59"/>
        <v>1271285.5658099998</v>
      </c>
      <c r="O87" s="5">
        <f t="shared" si="60"/>
        <v>30724471.0207936</v>
      </c>
      <c r="P87" s="5">
        <f>0.023*G87</f>
        <v>1271285.5658099998</v>
      </c>
      <c r="Q87" s="5">
        <f>1.023*G87</f>
        <v>56544571.03580999</v>
      </c>
      <c r="R87" s="5">
        <f t="shared" si="63"/>
        <v>56544571.03580999</v>
      </c>
      <c r="S87" s="5">
        <f t="shared" si="64"/>
        <v>1281441.734</v>
      </c>
      <c r="T87" s="5">
        <f t="shared" si="65"/>
        <v>56996299.734</v>
      </c>
      <c r="U87" s="20">
        <f t="shared" si="81"/>
        <v>-451728.6981900111</v>
      </c>
      <c r="V87" s="20" t="str">
        <f t="shared" si="66"/>
        <v>tal til venstre</v>
      </c>
      <c r="X87" s="19" t="s">
        <v>83</v>
      </c>
      <c r="Y87" s="19">
        <v>0</v>
      </c>
      <c r="Z87" s="19">
        <v>0</v>
      </c>
      <c r="AA87" s="19">
        <v>1</v>
      </c>
      <c r="AB87" s="19">
        <v>9</v>
      </c>
      <c r="AC87" s="19">
        <v>0</v>
      </c>
      <c r="AD87" s="19">
        <v>0</v>
      </c>
      <c r="AE87" s="19">
        <v>5</v>
      </c>
      <c r="AF87" s="19">
        <v>3000</v>
      </c>
      <c r="AG87" s="19">
        <v>54</v>
      </c>
      <c r="AH87" s="19">
        <v>0</v>
      </c>
      <c r="AI87" s="19">
        <v>0</v>
      </c>
      <c r="AJ87" s="19">
        <v>0</v>
      </c>
      <c r="AK87" s="20">
        <v>10</v>
      </c>
      <c r="AL87" s="5">
        <v>45958572.51803879</v>
      </c>
      <c r="AM87" s="21">
        <f t="shared" si="67"/>
        <v>676970</v>
      </c>
      <c r="AN87" s="19">
        <f t="shared" si="68"/>
        <v>67615</v>
      </c>
      <c r="AO87" s="19">
        <f t="shared" si="69"/>
        <v>72180</v>
      </c>
      <c r="AP87" s="19">
        <f t="shared" si="70"/>
        <v>295920</v>
      </c>
      <c r="AQ87" s="19">
        <f t="shared" si="71"/>
        <v>1243</v>
      </c>
      <c r="AR87" s="19"/>
      <c r="AS87" s="19">
        <f t="shared" si="72"/>
        <v>53760660.51803879</v>
      </c>
      <c r="AT87" s="21">
        <f t="shared" si="73"/>
        <v>66288293.08548172</v>
      </c>
      <c r="AU87" s="5">
        <v>36.3096935805224</v>
      </c>
      <c r="AV87" s="5">
        <v>6688160</v>
      </c>
      <c r="AX87" s="5" t="str">
        <f t="shared" si="82"/>
        <v>Spildevandscenter Avedøre I/S</v>
      </c>
      <c r="AY87" s="5">
        <f t="shared" si="83"/>
        <v>97.63359076373449</v>
      </c>
      <c r="AZ87" s="5">
        <f t="shared" si="84"/>
        <v>1.4381432737795103</v>
      </c>
      <c r="BA87" s="5">
        <f t="shared" si="85"/>
        <v>0.143640128006561</v>
      </c>
      <c r="BB87" s="5">
        <f t="shared" si="86"/>
        <v>0.15333793447479957</v>
      </c>
      <c r="BC87" s="5">
        <f t="shared" si="87"/>
        <v>0.6286472924602755</v>
      </c>
      <c r="BD87" s="5">
        <f t="shared" si="88"/>
        <v>0.0026406075443637556</v>
      </c>
      <c r="BF87" s="5">
        <f t="shared" si="97"/>
        <v>0.7749280280112003</v>
      </c>
      <c r="BH87" s="5">
        <f t="shared" si="89"/>
        <v>-48.99230741844129</v>
      </c>
      <c r="BI87" s="5">
        <f t="shared" si="90"/>
        <v>15.072344427796939</v>
      </c>
      <c r="BJ87" s="5">
        <f t="shared" si="91"/>
        <v>1.9677185572244222</v>
      </c>
      <c r="BK87" s="5">
        <f t="shared" si="92"/>
        <v>0.6778094206157991</v>
      </c>
      <c r="BL87" s="5">
        <f t="shared" si="93"/>
        <v>24.106674276244167</v>
      </c>
      <c r="BM87" s="5">
        <f t="shared" si="94"/>
        <v>7.167760736559957</v>
      </c>
      <c r="BO87" s="5">
        <f t="shared" si="95"/>
        <v>31.130794884797563</v>
      </c>
      <c r="BP87" s="5">
        <f t="shared" si="96"/>
        <v>0</v>
      </c>
    </row>
    <row r="88" spans="1:68" ht="15">
      <c r="A88" s="4" t="s">
        <v>84</v>
      </c>
      <c r="B88" s="5">
        <v>19495989</v>
      </c>
      <c r="C88" s="5">
        <f t="shared" si="74"/>
        <v>19593468.944999997</v>
      </c>
      <c r="D88" s="5">
        <v>14629971.304229401</v>
      </c>
      <c r="E88" s="5">
        <v>2942275.955910357</v>
      </c>
      <c r="F88" s="5" t="str">
        <f t="shared" si="75"/>
        <v>ingen</v>
      </c>
      <c r="G88" s="5">
        <f t="shared" si="76"/>
        <v>14629971.304229401</v>
      </c>
      <c r="H88" s="5">
        <f t="shared" si="77"/>
        <v>18069893.764306016</v>
      </c>
      <c r="I88" s="5">
        <f t="shared" si="78"/>
        <v>20208167.449368376</v>
      </c>
      <c r="J88" s="5">
        <f t="shared" si="79"/>
        <v>22458885.155574836</v>
      </c>
      <c r="K88" s="5">
        <f t="shared" si="80"/>
        <v>24597158.840637196</v>
      </c>
      <c r="L88" s="5">
        <f>'Potentialer og krav'!R46</f>
        <v>0</v>
      </c>
      <c r="M88" s="5">
        <f t="shared" si="58"/>
        <v>97479.945</v>
      </c>
      <c r="N88" s="5">
        <f t="shared" si="59"/>
        <v>450649.7857349999</v>
      </c>
      <c r="O88" s="5">
        <f t="shared" si="60"/>
        <v>11687695.348319044</v>
      </c>
      <c r="P88" s="5">
        <f t="shared" si="61"/>
        <v>336489.3399972762</v>
      </c>
      <c r="Q88" s="5">
        <f t="shared" si="62"/>
        <v>14966460.644226676</v>
      </c>
      <c r="R88" s="5">
        <f t="shared" si="63"/>
        <v>20044118.730734996</v>
      </c>
      <c r="S88" s="5">
        <f t="shared" si="64"/>
        <v>336489.3399972762</v>
      </c>
      <c r="T88" s="5">
        <f t="shared" si="65"/>
        <v>14966460.644226676</v>
      </c>
      <c r="U88" s="20">
        <f t="shared" si="81"/>
        <v>5077658.086508321</v>
      </c>
      <c r="V88" s="20" t="str">
        <f t="shared" si="66"/>
        <v>ingen</v>
      </c>
      <c r="X88" s="19" t="s">
        <v>84</v>
      </c>
      <c r="Y88" s="19">
        <v>272</v>
      </c>
      <c r="Z88" s="19">
        <f>127+4</f>
        <v>131</v>
      </c>
      <c r="AA88" s="19">
        <v>4</v>
      </c>
      <c r="AB88" s="19">
        <v>0</v>
      </c>
      <c r="AC88" s="19">
        <v>0</v>
      </c>
      <c r="AD88" s="19">
        <v>0</v>
      </c>
      <c r="AE88" s="19">
        <v>21</v>
      </c>
      <c r="AF88" s="19">
        <v>2418</v>
      </c>
      <c r="AG88" s="19">
        <v>286</v>
      </c>
      <c r="AH88" s="19">
        <v>245</v>
      </c>
      <c r="AI88" s="19">
        <v>0</v>
      </c>
      <c r="AJ88" s="19">
        <v>0</v>
      </c>
      <c r="AK88" s="20">
        <v>8066</v>
      </c>
      <c r="AL88" s="5">
        <v>9089493.884306015</v>
      </c>
      <c r="AM88" s="21">
        <f t="shared" si="67"/>
        <v>4725756</v>
      </c>
      <c r="AN88" s="19">
        <f t="shared" si="68"/>
        <v>283983</v>
      </c>
      <c r="AO88" s="19">
        <f t="shared" si="69"/>
        <v>58177.079999999994</v>
      </c>
      <c r="AP88" s="19">
        <f t="shared" si="70"/>
        <v>2909880</v>
      </c>
      <c r="AQ88" s="19">
        <f t="shared" si="71"/>
        <v>1002603.7999999999</v>
      </c>
      <c r="AR88" s="19"/>
      <c r="AS88" s="19">
        <f t="shared" si="72"/>
        <v>18069893.764306016</v>
      </c>
      <c r="AT88" s="21">
        <f t="shared" si="73"/>
        <v>20208167.449368376</v>
      </c>
      <c r="AU88" s="5">
        <v>27.48719193011508</v>
      </c>
      <c r="AX88" s="5" t="str">
        <f t="shared" si="82"/>
        <v>Stevns Spildevand A/S</v>
      </c>
      <c r="AY88" s="5">
        <f t="shared" si="83"/>
        <v>50.30186675618844</v>
      </c>
      <c r="AZ88" s="5">
        <f t="shared" si="84"/>
        <v>26.15264960403322</v>
      </c>
      <c r="BA88" s="5">
        <f t="shared" si="85"/>
        <v>1.5715809052566754</v>
      </c>
      <c r="BB88" s="5">
        <f t="shared" si="86"/>
        <v>0.32195584965152846</v>
      </c>
      <c r="BC88" s="5">
        <f t="shared" si="87"/>
        <v>16.103470435160887</v>
      </c>
      <c r="BD88" s="5">
        <f t="shared" si="88"/>
        <v>5.548476449709252</v>
      </c>
      <c r="BF88" s="5">
        <f t="shared" si="97"/>
        <v>23.223527790126813</v>
      </c>
      <c r="BH88" s="5">
        <f t="shared" si="89"/>
        <v>-1.6605834108952422</v>
      </c>
      <c r="BI88" s="5">
        <f t="shared" si="90"/>
        <v>-9.64216190245677</v>
      </c>
      <c r="BJ88" s="5">
        <f t="shared" si="91"/>
        <v>0.5397777799743078</v>
      </c>
      <c r="BK88" s="5">
        <f t="shared" si="92"/>
        <v>0.5091915054390702</v>
      </c>
      <c r="BL88" s="5">
        <f t="shared" si="93"/>
        <v>8.631851133543556</v>
      </c>
      <c r="BM88" s="5">
        <f t="shared" si="94"/>
        <v>1.621924894395069</v>
      </c>
      <c r="BO88" s="5">
        <f t="shared" si="95"/>
        <v>8.68219512268195</v>
      </c>
      <c r="BP88" s="5">
        <f t="shared" si="96"/>
        <v>0</v>
      </c>
    </row>
    <row r="89" spans="1:68" ht="15">
      <c r="A89" s="4" t="s">
        <v>85</v>
      </c>
      <c r="B89" s="5">
        <v>11621016</v>
      </c>
      <c r="C89" s="5">
        <f t="shared" si="74"/>
        <v>11679121.079999998</v>
      </c>
      <c r="D89" s="5">
        <v>11435424.1593228</v>
      </c>
      <c r="E89" s="5">
        <v>0</v>
      </c>
      <c r="F89" s="5" t="str">
        <f t="shared" si="75"/>
        <v>ingen</v>
      </c>
      <c r="G89" s="5">
        <f t="shared" si="76"/>
        <v>11435424.1593228</v>
      </c>
      <c r="H89" s="5">
        <f t="shared" si="77"/>
        <v>17025855.24365536</v>
      </c>
      <c r="I89" s="5">
        <f t="shared" si="78"/>
        <v>23029484.483949676</v>
      </c>
      <c r="J89" s="5">
        <f t="shared" si="79"/>
        <v>20456482.491452202</v>
      </c>
      <c r="K89" s="5">
        <f t="shared" si="80"/>
        <v>26460111.731746517</v>
      </c>
      <c r="L89" s="5">
        <f>'Potentialer og krav'!R47</f>
        <v>0</v>
      </c>
      <c r="M89" s="5">
        <f t="shared" si="58"/>
        <v>58105.08</v>
      </c>
      <c r="N89" s="5">
        <f t="shared" si="59"/>
        <v>268619.78484</v>
      </c>
      <c r="O89" s="5">
        <f t="shared" si="60"/>
        <v>11435424.1593228</v>
      </c>
      <c r="P89" s="5">
        <f t="shared" si="61"/>
        <v>263014.7556644244</v>
      </c>
      <c r="Q89" s="5">
        <f t="shared" si="62"/>
        <v>11698438.914987223</v>
      </c>
      <c r="R89" s="5">
        <f t="shared" si="63"/>
        <v>11947740.864839997</v>
      </c>
      <c r="S89" s="5">
        <f t="shared" si="64"/>
        <v>263014.7556644244</v>
      </c>
      <c r="T89" s="5">
        <f t="shared" si="65"/>
        <v>11698438.914987223</v>
      </c>
      <c r="U89" s="20">
        <f t="shared" si="81"/>
        <v>249301.94985277392</v>
      </c>
      <c r="V89" s="20" t="str">
        <f t="shared" si="66"/>
        <v>ingen</v>
      </c>
      <c r="X89" s="19" t="s">
        <v>85</v>
      </c>
      <c r="Y89" s="19">
        <v>102</v>
      </c>
      <c r="Z89" s="19">
        <v>22</v>
      </c>
      <c r="AA89" s="19">
        <v>0</v>
      </c>
      <c r="AB89" s="19">
        <v>0</v>
      </c>
      <c r="AC89" s="19">
        <v>0</v>
      </c>
      <c r="AD89" s="19">
        <v>0</v>
      </c>
      <c r="AE89" s="19">
        <v>12</v>
      </c>
      <c r="AF89" s="19">
        <v>0</v>
      </c>
      <c r="AG89" s="19">
        <v>90</v>
      </c>
      <c r="AH89" s="19">
        <v>248</v>
      </c>
      <c r="AI89" s="19">
        <v>0</v>
      </c>
      <c r="AJ89" s="19">
        <v>0</v>
      </c>
      <c r="AK89" s="20">
        <v>8150</v>
      </c>
      <c r="AL89" s="5">
        <v>12800524.243655361</v>
      </c>
      <c r="AM89" s="21">
        <f t="shared" si="67"/>
        <v>1197770</v>
      </c>
      <c r="AN89" s="19">
        <f t="shared" si="68"/>
        <v>162276</v>
      </c>
      <c r="AO89" s="19">
        <f t="shared" si="69"/>
        <v>0</v>
      </c>
      <c r="AP89" s="19">
        <f t="shared" si="70"/>
        <v>1852240.0000000002</v>
      </c>
      <c r="AQ89" s="19">
        <f t="shared" si="71"/>
        <v>1013045</v>
      </c>
      <c r="AR89" s="19"/>
      <c r="AS89" s="19">
        <f t="shared" si="72"/>
        <v>17025855.24365536</v>
      </c>
      <c r="AT89" s="21">
        <f t="shared" si="73"/>
        <v>23029484.483949676</v>
      </c>
      <c r="AU89" s="5">
        <v>45.509105007002404</v>
      </c>
      <c r="AX89" s="5" t="str">
        <f t="shared" si="82"/>
        <v>Struer Forsyning Spildevand A/S</v>
      </c>
      <c r="AY89" s="5">
        <f t="shared" si="83"/>
        <v>75.18285607664521</v>
      </c>
      <c r="AZ89" s="5">
        <f t="shared" si="84"/>
        <v>7.035006364489947</v>
      </c>
      <c r="BA89" s="5">
        <f t="shared" si="85"/>
        <v>0.9531151162610272</v>
      </c>
      <c r="BB89" s="5">
        <f t="shared" si="86"/>
        <v>0</v>
      </c>
      <c r="BC89" s="5">
        <f t="shared" si="87"/>
        <v>10.87898360166214</v>
      </c>
      <c r="BD89" s="5">
        <f t="shared" si="88"/>
        <v>5.950038840941682</v>
      </c>
      <c r="BF89" s="5">
        <f t="shared" si="97"/>
        <v>17.78213755886485</v>
      </c>
      <c r="BH89" s="5">
        <f t="shared" si="89"/>
        <v>-26.541572731352012</v>
      </c>
      <c r="BI89" s="5">
        <f t="shared" si="90"/>
        <v>9.475481337086501</v>
      </c>
      <c r="BJ89" s="5">
        <f t="shared" si="91"/>
        <v>1.158243568969956</v>
      </c>
      <c r="BK89" s="5">
        <f t="shared" si="92"/>
        <v>0.8311473550905987</v>
      </c>
      <c r="BL89" s="5">
        <f t="shared" si="93"/>
        <v>13.856337967042302</v>
      </c>
      <c r="BM89" s="5">
        <f t="shared" si="94"/>
        <v>1.2203625031626393</v>
      </c>
      <c r="BO89" s="5">
        <f t="shared" si="95"/>
        <v>14.123585353943913</v>
      </c>
      <c r="BP89" s="5">
        <f t="shared" si="96"/>
        <v>0</v>
      </c>
    </row>
    <row r="90" spans="1:68" ht="15">
      <c r="A90" s="4" t="s">
        <v>86</v>
      </c>
      <c r="B90" s="5">
        <v>45930143</v>
      </c>
      <c r="C90" s="5">
        <f t="shared" si="74"/>
        <v>46159793.714999996</v>
      </c>
      <c r="D90" s="5">
        <v>40508338.808014005</v>
      </c>
      <c r="E90" s="5">
        <v>14386075.611250093</v>
      </c>
      <c r="F90" s="5" t="str">
        <f t="shared" si="75"/>
        <v>ingen</v>
      </c>
      <c r="G90" s="5">
        <f t="shared" si="76"/>
        <v>40508338.808014005</v>
      </c>
      <c r="H90" s="5">
        <f t="shared" si="77"/>
        <v>40386624.23107235</v>
      </c>
      <c r="I90" s="5">
        <f t="shared" si="78"/>
        <v>47281256.72794109</v>
      </c>
      <c r="J90" s="5">
        <f t="shared" si="79"/>
        <v>52539125.87347655</v>
      </c>
      <c r="K90" s="5">
        <f t="shared" si="80"/>
        <v>59433758.37034529</v>
      </c>
      <c r="L90" s="5">
        <f>'Potentialer og krav'!R48</f>
        <v>1631444.6758655014</v>
      </c>
      <c r="M90" s="5">
        <f t="shared" si="58"/>
        <v>229650.715</v>
      </c>
      <c r="N90" s="5">
        <f t="shared" si="59"/>
        <v>1061675.2554449998</v>
      </c>
      <c r="O90" s="5">
        <f t="shared" si="60"/>
        <v>26122263.19676391</v>
      </c>
      <c r="P90" s="5">
        <f t="shared" si="61"/>
        <v>931691.7925843222</v>
      </c>
      <c r="Q90" s="5">
        <f t="shared" si="62"/>
        <v>41440030.60059832</v>
      </c>
      <c r="R90" s="5">
        <f t="shared" si="63"/>
        <v>47221468.97044499</v>
      </c>
      <c r="S90" s="5">
        <f t="shared" si="64"/>
        <v>931691.7925843222</v>
      </c>
      <c r="T90" s="5">
        <f t="shared" si="65"/>
        <v>41440030.60059832</v>
      </c>
      <c r="U90" s="20">
        <f t="shared" si="81"/>
        <v>5781438.369846672</v>
      </c>
      <c r="V90" s="20" t="str">
        <f t="shared" si="66"/>
        <v>ingen</v>
      </c>
      <c r="X90" s="19" t="s">
        <v>86</v>
      </c>
      <c r="Y90" s="19">
        <v>177</v>
      </c>
      <c r="Z90" s="19">
        <v>176</v>
      </c>
      <c r="AA90" s="19">
        <v>3</v>
      </c>
      <c r="AB90" s="19">
        <v>6</v>
      </c>
      <c r="AC90" s="19"/>
      <c r="AD90" s="19"/>
      <c r="AE90" s="19">
        <v>54</v>
      </c>
      <c r="AF90" s="19">
        <v>15370</v>
      </c>
      <c r="AG90" s="19">
        <v>395</v>
      </c>
      <c r="AH90" s="19">
        <v>479</v>
      </c>
      <c r="AI90" s="19">
        <v>33</v>
      </c>
      <c r="AJ90" s="19">
        <v>0</v>
      </c>
      <c r="AK90" s="20">
        <v>20157</v>
      </c>
      <c r="AL90" s="5">
        <v>23814758.93107235</v>
      </c>
      <c r="AM90" s="21">
        <f t="shared" si="67"/>
        <v>5090296</v>
      </c>
      <c r="AN90" s="19">
        <f t="shared" si="68"/>
        <v>730242</v>
      </c>
      <c r="AO90" s="19">
        <f t="shared" si="69"/>
        <v>369802.19999999995</v>
      </c>
      <c r="AP90" s="19">
        <f t="shared" si="70"/>
        <v>7876010</v>
      </c>
      <c r="AQ90" s="19">
        <f t="shared" si="71"/>
        <v>2505515.1</v>
      </c>
      <c r="AR90" s="19"/>
      <c r="AS90" s="19">
        <f t="shared" si="72"/>
        <v>40386624.23107235</v>
      </c>
      <c r="AT90" s="21">
        <f t="shared" si="73"/>
        <v>47281256.72794109</v>
      </c>
      <c r="AU90" s="5">
        <v>31.516595489675485</v>
      </c>
      <c r="AX90" s="5" t="str">
        <f t="shared" si="82"/>
        <v>Svendborg Spildevand A/S</v>
      </c>
      <c r="AY90" s="5">
        <f t="shared" si="83"/>
        <v>58.96694607307617</v>
      </c>
      <c r="AZ90" s="5">
        <f t="shared" si="84"/>
        <v>12.603915521326655</v>
      </c>
      <c r="BA90" s="5">
        <f t="shared" si="85"/>
        <v>1.8081283442307912</v>
      </c>
      <c r="BB90" s="5">
        <f t="shared" si="86"/>
        <v>0.9156551384046709</v>
      </c>
      <c r="BC90" s="5">
        <f t="shared" si="87"/>
        <v>19.50153089036943</v>
      </c>
      <c r="BD90" s="5">
        <f t="shared" si="88"/>
        <v>6.203824032592271</v>
      </c>
      <c r="BF90" s="5">
        <f t="shared" si="97"/>
        <v>27.51348326719249</v>
      </c>
      <c r="BH90" s="5">
        <f t="shared" si="89"/>
        <v>-10.325662727782976</v>
      </c>
      <c r="BI90" s="5">
        <f t="shared" si="90"/>
        <v>3.9065721802497926</v>
      </c>
      <c r="BJ90" s="5">
        <f t="shared" si="91"/>
        <v>0.30323034100019197</v>
      </c>
      <c r="BK90" s="5">
        <f t="shared" si="92"/>
        <v>-0.08450778331407227</v>
      </c>
      <c r="BL90" s="5">
        <f t="shared" si="93"/>
        <v>5.233790678335012</v>
      </c>
      <c r="BM90" s="5">
        <f t="shared" si="94"/>
        <v>0.96657731151205</v>
      </c>
      <c r="BO90" s="5">
        <f t="shared" si="95"/>
        <v>4.392239645616272</v>
      </c>
      <c r="BP90" s="5">
        <f t="shared" si="96"/>
        <v>0</v>
      </c>
    </row>
    <row r="91" spans="1:68" ht="15">
      <c r="A91" s="4" t="s">
        <v>87</v>
      </c>
      <c r="B91" s="5">
        <v>23819006</v>
      </c>
      <c r="C91" s="5">
        <f t="shared" si="74"/>
        <v>23938101.029999997</v>
      </c>
      <c r="D91" s="5">
        <v>24933043.626645</v>
      </c>
      <c r="E91" s="5">
        <v>8196868.596645001</v>
      </c>
      <c r="F91" s="5">
        <f t="shared" si="75"/>
        <v>994942.5966450013</v>
      </c>
      <c r="G91" s="5">
        <f>IF(F91="ingen",D91,IF(E91&lt;F91,D91-E91,C91))</f>
        <v>23938101.029999997</v>
      </c>
      <c r="H91" s="5">
        <f t="shared" si="77"/>
        <v>25630568.908940278</v>
      </c>
      <c r="I91" s="5">
        <f t="shared" si="78"/>
        <v>33132134.61958631</v>
      </c>
      <c r="J91" s="5">
        <f t="shared" si="79"/>
        <v>32811999.21794028</v>
      </c>
      <c r="K91" s="5">
        <f t="shared" si="80"/>
        <v>40313564.92858631</v>
      </c>
      <c r="L91" s="5" t="e">
        <f>'Potentialer og krav'!#REF!</f>
        <v>#REF!</v>
      </c>
      <c r="M91" s="5">
        <f t="shared" si="58"/>
        <v>119095.03</v>
      </c>
      <c r="N91" s="5">
        <f t="shared" si="59"/>
        <v>550576.32369</v>
      </c>
      <c r="O91" s="5">
        <f t="shared" si="60"/>
        <v>16736175.029999997</v>
      </c>
      <c r="P91" s="5">
        <f t="shared" si="61"/>
        <v>550576.32369</v>
      </c>
      <c r="Q91" s="5">
        <f t="shared" si="62"/>
        <v>24488677.353689995</v>
      </c>
      <c r="R91" s="5">
        <f t="shared" si="63"/>
        <v>24488677.353689995</v>
      </c>
      <c r="S91" s="5">
        <f t="shared" si="64"/>
        <v>573460.003412835</v>
      </c>
      <c r="T91" s="5">
        <f t="shared" si="65"/>
        <v>25506503.63005783</v>
      </c>
      <c r="U91" s="20">
        <f t="shared" si="81"/>
        <v>-1017826.2763678357</v>
      </c>
      <c r="V91" s="20" t="str">
        <f t="shared" si="66"/>
        <v>tal til venstre</v>
      </c>
      <c r="X91" s="19" t="s">
        <v>87</v>
      </c>
      <c r="Y91" s="19">
        <v>253</v>
      </c>
      <c r="Z91" s="19">
        <v>143</v>
      </c>
      <c r="AA91" s="19">
        <v>9</v>
      </c>
      <c r="AB91" s="19"/>
      <c r="AC91" s="19"/>
      <c r="AD91" s="19"/>
      <c r="AE91" s="19">
        <v>55</v>
      </c>
      <c r="AF91" s="19">
        <v>6241</v>
      </c>
      <c r="AG91" s="19">
        <v>427</v>
      </c>
      <c r="AH91" s="19">
        <v>311</v>
      </c>
      <c r="AI91" s="19"/>
      <c r="AJ91" s="19"/>
      <c r="AK91" s="20">
        <v>20377</v>
      </c>
      <c r="AL91" s="5">
        <v>13037796.348940277</v>
      </c>
      <c r="AM91" s="21">
        <f t="shared" si="67"/>
        <v>5121748</v>
      </c>
      <c r="AN91" s="19">
        <f t="shared" si="68"/>
        <v>743765</v>
      </c>
      <c r="AO91" s="19">
        <f t="shared" si="69"/>
        <v>150158.46</v>
      </c>
      <c r="AP91" s="19">
        <f t="shared" si="70"/>
        <v>4044240.0000000005</v>
      </c>
      <c r="AQ91" s="19">
        <f t="shared" si="71"/>
        <v>2532861.1</v>
      </c>
      <c r="AR91" s="19"/>
      <c r="AS91" s="19">
        <f t="shared" si="72"/>
        <v>25630568.908940278</v>
      </c>
      <c r="AT91" s="21">
        <f t="shared" si="73"/>
        <v>33132134.61958631</v>
      </c>
      <c r="AU91" s="5">
        <v>40.898493958815145</v>
      </c>
      <c r="AX91" s="5" t="str">
        <f t="shared" si="82"/>
        <v>Syddjurs Spildevand A/S</v>
      </c>
      <c r="AY91" s="5">
        <f t="shared" si="83"/>
        <v>50.868150431075776</v>
      </c>
      <c r="AZ91" s="5">
        <f t="shared" si="84"/>
        <v>19.98296650455335</v>
      </c>
      <c r="BA91" s="5">
        <f t="shared" si="85"/>
        <v>2.901866917751346</v>
      </c>
      <c r="BB91" s="5">
        <f t="shared" si="86"/>
        <v>0.5858569138027317</v>
      </c>
      <c r="BC91" s="5">
        <f t="shared" si="87"/>
        <v>15.77897086236473</v>
      </c>
      <c r="BD91" s="5">
        <f t="shared" si="88"/>
        <v>9.882188370452068</v>
      </c>
      <c r="BF91" s="5">
        <f t="shared" si="97"/>
        <v>28.56302615056814</v>
      </c>
      <c r="BH91" s="5">
        <f t="shared" si="89"/>
        <v>-2.2268670857825796</v>
      </c>
      <c r="BI91" s="5">
        <f t="shared" si="90"/>
        <v>-3.4724788029769016</v>
      </c>
      <c r="BJ91" s="5">
        <f t="shared" si="91"/>
        <v>-0.790508232520363</v>
      </c>
      <c r="BK91" s="5">
        <f t="shared" si="92"/>
        <v>0.24529044128786692</v>
      </c>
      <c r="BL91" s="5">
        <f t="shared" si="93"/>
        <v>8.956350706339713</v>
      </c>
      <c r="BM91" s="5">
        <f t="shared" si="94"/>
        <v>-2.7117870263477473</v>
      </c>
      <c r="BO91" s="5">
        <f t="shared" si="95"/>
        <v>3.342696762240621</v>
      </c>
      <c r="BP91" s="5">
        <f t="shared" si="96"/>
        <v>0</v>
      </c>
    </row>
    <row r="92" spans="1:68" ht="15">
      <c r="A92" s="4" t="s">
        <v>88</v>
      </c>
      <c r="B92" s="5">
        <v>59053671</v>
      </c>
      <c r="C92" s="5">
        <f t="shared" si="74"/>
        <v>59348939.355</v>
      </c>
      <c r="D92" s="5">
        <v>50521335.3338904</v>
      </c>
      <c r="E92" s="5">
        <v>17690669.566437684</v>
      </c>
      <c r="F92" s="5" t="str">
        <f t="shared" si="75"/>
        <v>ingen</v>
      </c>
      <c r="G92" s="5">
        <f t="shared" si="76"/>
        <v>50521335.3338904</v>
      </c>
      <c r="H92" s="5">
        <f t="shared" si="77"/>
        <v>50758225.7492495</v>
      </c>
      <c r="I92" s="5">
        <f t="shared" si="78"/>
        <v>61613153.79469294</v>
      </c>
      <c r="J92" s="5">
        <f t="shared" si="79"/>
        <v>65914626.34941662</v>
      </c>
      <c r="K92" s="5">
        <f t="shared" si="80"/>
        <v>76769554.39486006</v>
      </c>
      <c r="L92" s="5">
        <f>'Potentialer og krav'!R49</f>
        <v>1971859.2081347825</v>
      </c>
      <c r="M92" s="5">
        <f t="shared" si="58"/>
        <v>295268.355</v>
      </c>
      <c r="N92" s="5">
        <f t="shared" si="59"/>
        <v>1365025.6051649998</v>
      </c>
      <c r="O92" s="5">
        <f t="shared" si="60"/>
        <v>32830665.767452717</v>
      </c>
      <c r="P92" s="5">
        <f t="shared" si="61"/>
        <v>1161990.7126794793</v>
      </c>
      <c r="Q92" s="5">
        <f t="shared" si="62"/>
        <v>51683326.04656988</v>
      </c>
      <c r="R92" s="5">
        <f t="shared" si="63"/>
        <v>60713964.960164994</v>
      </c>
      <c r="S92" s="5">
        <f t="shared" si="64"/>
        <v>1161990.7126794793</v>
      </c>
      <c r="T92" s="5">
        <f t="shared" si="65"/>
        <v>51683326.04656988</v>
      </c>
      <c r="U92" s="20">
        <f t="shared" si="81"/>
        <v>9030638.913595118</v>
      </c>
      <c r="V92" s="20" t="str">
        <f t="shared" si="66"/>
        <v>ingen</v>
      </c>
      <c r="X92" s="19" t="s">
        <v>88</v>
      </c>
      <c r="Y92" s="19">
        <v>297</v>
      </c>
      <c r="Z92" s="19">
        <v>261</v>
      </c>
      <c r="AA92" s="19">
        <v>39</v>
      </c>
      <c r="AB92" s="19">
        <v>8</v>
      </c>
      <c r="AC92" s="19"/>
      <c r="AD92" s="19"/>
      <c r="AE92" s="19">
        <v>64</v>
      </c>
      <c r="AF92" s="19">
        <v>12759</v>
      </c>
      <c r="AG92" s="19">
        <v>478</v>
      </c>
      <c r="AH92" s="19">
        <v>797</v>
      </c>
      <c r="AI92" s="19"/>
      <c r="AJ92" s="19"/>
      <c r="AK92" s="20">
        <v>30337</v>
      </c>
      <c r="AL92" s="5">
        <v>28725421.109249506</v>
      </c>
      <c r="AM92" s="21">
        <f t="shared" si="67"/>
        <v>10102462</v>
      </c>
      <c r="AN92" s="19">
        <f t="shared" si="68"/>
        <v>865472</v>
      </c>
      <c r="AO92" s="19">
        <f t="shared" si="69"/>
        <v>306981.54</v>
      </c>
      <c r="AP92" s="19">
        <f t="shared" si="70"/>
        <v>6987000.000000001</v>
      </c>
      <c r="AQ92" s="19">
        <f t="shared" si="71"/>
        <v>3770889.1</v>
      </c>
      <c r="AR92" s="19"/>
      <c r="AS92" s="19">
        <f t="shared" si="72"/>
        <v>50758225.7492495</v>
      </c>
      <c r="AT92" s="21">
        <f t="shared" si="73"/>
        <v>61613153.79469294</v>
      </c>
      <c r="AU92" s="5">
        <v>34.83504194520997</v>
      </c>
      <c r="AX92" s="5" t="str">
        <f t="shared" si="82"/>
        <v>Sønderborg Spildevandsforsyning A/S</v>
      </c>
      <c r="AY92" s="5">
        <f t="shared" si="83"/>
        <v>56.592642247102646</v>
      </c>
      <c r="AZ92" s="5">
        <f t="shared" si="84"/>
        <v>19.90310309487004</v>
      </c>
      <c r="BA92" s="5">
        <f t="shared" si="85"/>
        <v>1.7050871799095473</v>
      </c>
      <c r="BB92" s="5">
        <f t="shared" si="86"/>
        <v>0.6047917070949607</v>
      </c>
      <c r="BC92" s="5">
        <f t="shared" si="87"/>
        <v>13.765256560614333</v>
      </c>
      <c r="BD92" s="5">
        <f t="shared" si="88"/>
        <v>7.429119210408483</v>
      </c>
      <c r="BF92" s="5">
        <f t="shared" si="97"/>
        <v>22.899462950932364</v>
      </c>
      <c r="BH92" s="5">
        <f t="shared" si="89"/>
        <v>-7.951358901809449</v>
      </c>
      <c r="BI92" s="5">
        <f t="shared" si="90"/>
        <v>-3.3926153932935925</v>
      </c>
      <c r="BJ92" s="5">
        <f t="shared" si="91"/>
        <v>0.40627150532143586</v>
      </c>
      <c r="BK92" s="5">
        <f t="shared" si="92"/>
        <v>0.226355647995638</v>
      </c>
      <c r="BL92" s="5">
        <f t="shared" si="93"/>
        <v>10.97006500809011</v>
      </c>
      <c r="BM92" s="5">
        <f t="shared" si="94"/>
        <v>-0.2587178663041616</v>
      </c>
      <c r="BO92" s="5">
        <f t="shared" si="95"/>
        <v>9.006259961876399</v>
      </c>
      <c r="BP92" s="5">
        <f t="shared" si="96"/>
        <v>0</v>
      </c>
    </row>
    <row r="93" spans="1:68" ht="15">
      <c r="A93" s="4" t="s">
        <v>89</v>
      </c>
      <c r="B93" s="5">
        <v>42033000</v>
      </c>
      <c r="C93" s="5">
        <f t="shared" si="74"/>
        <v>42243164.99999999</v>
      </c>
      <c r="D93" s="5">
        <v>34700601.9976714</v>
      </c>
      <c r="E93" s="5">
        <v>0</v>
      </c>
      <c r="F93" s="5" t="str">
        <f t="shared" si="75"/>
        <v>ingen</v>
      </c>
      <c r="G93" s="5">
        <f t="shared" si="76"/>
        <v>34700601.9976714</v>
      </c>
      <c r="H93" s="5">
        <f t="shared" si="77"/>
        <v>60350910.546929136</v>
      </c>
      <c r="I93" s="5">
        <f t="shared" si="78"/>
        <v>71920879.9344289</v>
      </c>
      <c r="J93" s="5">
        <f t="shared" si="79"/>
        <v>70761091.14623055</v>
      </c>
      <c r="K93" s="5">
        <f t="shared" si="80"/>
        <v>82331060.53373033</v>
      </c>
      <c r="L93" s="5">
        <f>'Potentialer og krav'!R50</f>
        <v>0</v>
      </c>
      <c r="M93" s="5">
        <f t="shared" si="58"/>
        <v>210165</v>
      </c>
      <c r="N93" s="5">
        <f t="shared" si="59"/>
        <v>971592.7949999998</v>
      </c>
      <c r="O93" s="5">
        <f t="shared" si="60"/>
        <v>34700601.9976714</v>
      </c>
      <c r="P93" s="5">
        <f t="shared" si="61"/>
        <v>798113.8459464422</v>
      </c>
      <c r="Q93" s="5">
        <f t="shared" si="62"/>
        <v>35498715.84361784</v>
      </c>
      <c r="R93" s="5">
        <f t="shared" si="63"/>
        <v>43214757.79499999</v>
      </c>
      <c r="S93" s="5">
        <f t="shared" si="64"/>
        <v>798113.8459464422</v>
      </c>
      <c r="T93" s="5">
        <f t="shared" si="65"/>
        <v>35498715.84361784</v>
      </c>
      <c r="U93" s="20">
        <f t="shared" si="81"/>
        <v>7716041.951382145</v>
      </c>
      <c r="V93" s="20" t="str">
        <f t="shared" si="66"/>
        <v>ingen</v>
      </c>
      <c r="X93" s="19" t="s">
        <v>89</v>
      </c>
      <c r="Y93" s="19">
        <v>119</v>
      </c>
      <c r="Z93" s="19">
        <v>196</v>
      </c>
      <c r="AA93" s="19">
        <v>68</v>
      </c>
      <c r="AB93" s="19">
        <v>0</v>
      </c>
      <c r="AC93" s="19">
        <v>0</v>
      </c>
      <c r="AD93" s="19">
        <v>4</v>
      </c>
      <c r="AE93" s="19">
        <v>37</v>
      </c>
      <c r="AF93" s="19">
        <v>13330</v>
      </c>
      <c r="AG93" s="19">
        <v>351</v>
      </c>
      <c r="AH93" s="19">
        <v>396</v>
      </c>
      <c r="AI93" s="19">
        <v>7</v>
      </c>
      <c r="AJ93" s="19">
        <v>0</v>
      </c>
      <c r="AK93" s="20">
        <v>15068</v>
      </c>
      <c r="AL93" s="5">
        <v>40834680.34692914</v>
      </c>
      <c r="AM93" s="21">
        <f t="shared" si="67"/>
        <v>12073937</v>
      </c>
      <c r="AN93" s="19">
        <f t="shared" si="68"/>
        <v>500351</v>
      </c>
      <c r="AO93" s="19">
        <f t="shared" si="69"/>
        <v>320719.8</v>
      </c>
      <c r="AP93" s="19">
        <f t="shared" si="70"/>
        <v>4748270</v>
      </c>
      <c r="AQ93" s="19">
        <f t="shared" si="71"/>
        <v>1872952.4</v>
      </c>
      <c r="AR93" s="19"/>
      <c r="AS93" s="19">
        <f t="shared" si="72"/>
        <v>60350910.546929136</v>
      </c>
      <c r="AT93" s="21">
        <f t="shared" si="73"/>
        <v>71920879.9344289</v>
      </c>
      <c r="AU93" s="5">
        <v>33.1316612390474</v>
      </c>
      <c r="AX93" s="5" t="str">
        <f t="shared" si="82"/>
        <v>Thisted Spildevand A/S</v>
      </c>
      <c r="AY93" s="5">
        <f t="shared" si="83"/>
        <v>67.66207829652531</v>
      </c>
      <c r="AZ93" s="5">
        <f t="shared" si="84"/>
        <v>20.006221762986083</v>
      </c>
      <c r="BA93" s="5">
        <f t="shared" si="85"/>
        <v>0.8290695127307562</v>
      </c>
      <c r="BB93" s="5">
        <f t="shared" si="86"/>
        <v>0.5314249562988894</v>
      </c>
      <c r="BC93" s="5">
        <f t="shared" si="87"/>
        <v>7.8677686168591014</v>
      </c>
      <c r="BD93" s="5">
        <f t="shared" si="88"/>
        <v>3.1034368545998716</v>
      </c>
      <c r="BF93" s="5">
        <f t="shared" si="97"/>
        <v>11.80027498418973</v>
      </c>
      <c r="BH93" s="5">
        <f t="shared" si="89"/>
        <v>-19.020794951232112</v>
      </c>
      <c r="BI93" s="5">
        <f t="shared" si="90"/>
        <v>-3.4957340614096353</v>
      </c>
      <c r="BJ93" s="5">
        <f t="shared" si="91"/>
        <v>1.282289172500227</v>
      </c>
      <c r="BK93" s="5">
        <f t="shared" si="92"/>
        <v>0.29972239879170925</v>
      </c>
      <c r="BL93" s="5">
        <f t="shared" si="93"/>
        <v>16.86755295184534</v>
      </c>
      <c r="BM93" s="5">
        <f t="shared" si="94"/>
        <v>4.06696448950445</v>
      </c>
      <c r="BO93" s="5">
        <f t="shared" si="95"/>
        <v>20.105447928619032</v>
      </c>
      <c r="BP93" s="5">
        <f t="shared" si="96"/>
        <v>0</v>
      </c>
    </row>
    <row r="94" spans="1:68" ht="15">
      <c r="A94" s="4" t="s">
        <v>90</v>
      </c>
      <c r="B94" s="5">
        <v>28408613.36</v>
      </c>
      <c r="C94" s="5">
        <f t="shared" si="74"/>
        <v>28550656.426799998</v>
      </c>
      <c r="D94" s="5">
        <v>22744483.565322403</v>
      </c>
      <c r="E94" s="5">
        <v>0</v>
      </c>
      <c r="F94" s="5" t="str">
        <f t="shared" si="75"/>
        <v>ingen</v>
      </c>
      <c r="G94" s="5">
        <f t="shared" si="76"/>
        <v>22744483.565322403</v>
      </c>
      <c r="H94" s="5">
        <f t="shared" si="77"/>
        <v>41722509.92039508</v>
      </c>
      <c r="I94" s="5">
        <f t="shared" si="78"/>
        <v>49928215.87387824</v>
      </c>
      <c r="J94" s="5">
        <f t="shared" si="79"/>
        <v>48545854.9899918</v>
      </c>
      <c r="K94" s="5">
        <f t="shared" si="80"/>
        <v>56751560.94347496</v>
      </c>
      <c r="L94" s="5">
        <f>'Potentialer og krav'!R51</f>
        <v>0</v>
      </c>
      <c r="M94" s="5">
        <f t="shared" si="58"/>
        <v>142043.0668</v>
      </c>
      <c r="N94" s="5">
        <f t="shared" si="59"/>
        <v>656665.0978163999</v>
      </c>
      <c r="O94" s="5">
        <f t="shared" si="60"/>
        <v>22744483.565322403</v>
      </c>
      <c r="P94" s="5">
        <f t="shared" si="61"/>
        <v>523123.12200241524</v>
      </c>
      <c r="Q94" s="5">
        <f t="shared" si="62"/>
        <v>23267606.687324814</v>
      </c>
      <c r="R94" s="5">
        <f t="shared" si="63"/>
        <v>29207321.524616394</v>
      </c>
      <c r="S94" s="5">
        <f t="shared" si="64"/>
        <v>523123.12200241524</v>
      </c>
      <c r="T94" s="5">
        <f t="shared" si="65"/>
        <v>23267606.687324814</v>
      </c>
      <c r="U94" s="20">
        <f t="shared" si="81"/>
        <v>5939714.83729158</v>
      </c>
      <c r="V94" s="20" t="str">
        <f t="shared" si="66"/>
        <v>ingen</v>
      </c>
      <c r="X94" s="19" t="s">
        <v>90</v>
      </c>
      <c r="Y94" s="19">
        <v>272</v>
      </c>
      <c r="Z94" s="19">
        <v>139</v>
      </c>
      <c r="AA94" s="19">
        <v>0</v>
      </c>
      <c r="AB94" s="19">
        <v>0</v>
      </c>
      <c r="AC94" s="19">
        <v>0</v>
      </c>
      <c r="AD94" s="19">
        <v>0</v>
      </c>
      <c r="AE94" s="19">
        <v>21</v>
      </c>
      <c r="AF94" s="19">
        <v>9780</v>
      </c>
      <c r="AG94" s="19">
        <v>302</v>
      </c>
      <c r="AH94" s="19">
        <v>534</v>
      </c>
      <c r="AI94" s="19">
        <v>0</v>
      </c>
      <c r="AJ94" s="19">
        <v>0</v>
      </c>
      <c r="AK94" s="20">
        <v>18221</v>
      </c>
      <c r="AL94" s="5">
        <v>29762645.820395082</v>
      </c>
      <c r="AM94" s="21">
        <f t="shared" si="67"/>
        <v>4594424</v>
      </c>
      <c r="AN94" s="19">
        <f t="shared" si="68"/>
        <v>283983</v>
      </c>
      <c r="AO94" s="19">
        <f t="shared" si="69"/>
        <v>235306.8</v>
      </c>
      <c r="AP94" s="19">
        <f t="shared" si="70"/>
        <v>4581280.000000001</v>
      </c>
      <c r="AQ94" s="19">
        <f t="shared" si="71"/>
        <v>2264870.3</v>
      </c>
      <c r="AR94" s="19"/>
      <c r="AS94" s="19">
        <f t="shared" si="72"/>
        <v>41722509.92039508</v>
      </c>
      <c r="AT94" s="21">
        <f t="shared" si="73"/>
        <v>49928215.87387824</v>
      </c>
      <c r="AU94" s="5">
        <v>33.51333490489968</v>
      </c>
      <c r="AX94" s="5" t="str">
        <f t="shared" si="82"/>
        <v>Tønder Spildevand A/S</v>
      </c>
      <c r="AY94" s="5">
        <f t="shared" si="83"/>
        <v>71.33474442736319</v>
      </c>
      <c r="AZ94" s="5">
        <f t="shared" si="84"/>
        <v>11.011859087015576</v>
      </c>
      <c r="BA94" s="5">
        <f t="shared" si="85"/>
        <v>0.6806469710039701</v>
      </c>
      <c r="BB94" s="5">
        <f t="shared" si="86"/>
        <v>0.5639804519166182</v>
      </c>
      <c r="BC94" s="5">
        <f t="shared" si="87"/>
        <v>10.980355709042684</v>
      </c>
      <c r="BD94" s="5">
        <f t="shared" si="88"/>
        <v>5.428413353657975</v>
      </c>
      <c r="BF94" s="5">
        <f t="shared" si="97"/>
        <v>17.08941603370463</v>
      </c>
      <c r="BH94" s="5">
        <f t="shared" si="89"/>
        <v>-22.693461082069994</v>
      </c>
      <c r="BI94" s="5">
        <f t="shared" si="90"/>
        <v>5.498628614560872</v>
      </c>
      <c r="BJ94" s="5">
        <f t="shared" si="91"/>
        <v>1.4307117142270132</v>
      </c>
      <c r="BK94" s="5">
        <f t="shared" si="92"/>
        <v>0.2671669031739805</v>
      </c>
      <c r="BL94" s="5">
        <f t="shared" si="93"/>
        <v>13.754965859661759</v>
      </c>
      <c r="BM94" s="5">
        <f t="shared" si="94"/>
        <v>1.7419879904463462</v>
      </c>
      <c r="BO94" s="5">
        <f t="shared" si="95"/>
        <v>14.816306879104133</v>
      </c>
      <c r="BP94" s="5">
        <f t="shared" si="96"/>
        <v>0</v>
      </c>
    </row>
    <row r="95" spans="1:68" ht="15">
      <c r="A95" s="4" t="s">
        <v>91</v>
      </c>
      <c r="B95" s="5">
        <v>24779983</v>
      </c>
      <c r="C95" s="5">
        <f t="shared" si="74"/>
        <v>24903882.915</v>
      </c>
      <c r="D95" s="5">
        <v>24329539.706991863</v>
      </c>
      <c r="E95" s="5">
        <v>7547557.403296583</v>
      </c>
      <c r="F95" s="5" t="str">
        <f t="shared" si="75"/>
        <v>ingen</v>
      </c>
      <c r="G95" s="5">
        <f t="shared" si="76"/>
        <v>24329539.706991863</v>
      </c>
      <c r="H95" s="5">
        <f t="shared" si="77"/>
        <v>23254913.209983416</v>
      </c>
      <c r="I95" s="5">
        <f t="shared" si="78"/>
        <v>32382274.335209824</v>
      </c>
      <c r="J95" s="5">
        <f t="shared" si="79"/>
        <v>30553775.122080974</v>
      </c>
      <c r="K95" s="5">
        <f t="shared" si="80"/>
        <v>39681136.24730738</v>
      </c>
      <c r="L95" s="5">
        <f>'Potentialer og krav'!R52</f>
        <v>885491.2031832661</v>
      </c>
      <c r="M95" s="5">
        <f t="shared" si="58"/>
        <v>123899.91500000001</v>
      </c>
      <c r="N95" s="5">
        <f t="shared" si="59"/>
        <v>572789.307045</v>
      </c>
      <c r="O95" s="5">
        <f t="shared" si="60"/>
        <v>16781982.30369528</v>
      </c>
      <c r="P95" s="5">
        <f t="shared" si="61"/>
        <v>559579.4132608129</v>
      </c>
      <c r="Q95" s="5">
        <f t="shared" si="62"/>
        <v>24889119.120252673</v>
      </c>
      <c r="R95" s="5">
        <f t="shared" si="63"/>
        <v>25476672.222044997</v>
      </c>
      <c r="S95" s="5">
        <f t="shared" si="64"/>
        <v>559579.4132608129</v>
      </c>
      <c r="T95" s="5">
        <f t="shared" si="65"/>
        <v>24889119.120252673</v>
      </c>
      <c r="U95" s="20">
        <f t="shared" si="81"/>
        <v>587553.1017923243</v>
      </c>
      <c r="V95" s="20" t="str">
        <f t="shared" si="66"/>
        <v>ingen</v>
      </c>
      <c r="X95" s="19" t="s">
        <v>91</v>
      </c>
      <c r="Y95" s="19">
        <v>1</v>
      </c>
      <c r="Z95" s="19">
        <v>83</v>
      </c>
      <c r="AA95" s="19">
        <v>14</v>
      </c>
      <c r="AB95" s="19">
        <v>9</v>
      </c>
      <c r="AC95" s="19">
        <v>0</v>
      </c>
      <c r="AD95" s="19">
        <v>2</v>
      </c>
      <c r="AE95" s="19">
        <v>2</v>
      </c>
      <c r="AF95" s="19">
        <v>4000</v>
      </c>
      <c r="AG95" s="19">
        <v>14</v>
      </c>
      <c r="AH95" s="19">
        <v>208</v>
      </c>
      <c r="AI95" s="19">
        <v>45</v>
      </c>
      <c r="AJ95" s="19">
        <v>0</v>
      </c>
      <c r="AK95" s="20">
        <v>9657</v>
      </c>
      <c r="AL95" s="5">
        <v>11942036.109983413</v>
      </c>
      <c r="AM95" s="21">
        <f t="shared" si="67"/>
        <v>4563816</v>
      </c>
      <c r="AN95" s="19">
        <f t="shared" si="68"/>
        <v>27046</v>
      </c>
      <c r="AO95" s="19">
        <f t="shared" si="69"/>
        <v>96240</v>
      </c>
      <c r="AP95" s="19">
        <f t="shared" si="70"/>
        <v>5425410</v>
      </c>
      <c r="AQ95" s="19">
        <f t="shared" si="71"/>
        <v>1200365.0999999999</v>
      </c>
      <c r="AR95" s="19"/>
      <c r="AS95" s="19">
        <f t="shared" si="72"/>
        <v>23254913.209983416</v>
      </c>
      <c r="AT95" s="21">
        <f t="shared" si="73"/>
        <v>32382274.335209824</v>
      </c>
      <c r="AU95" s="5">
        <v>48.576286950995474</v>
      </c>
      <c r="AX95" s="5" t="str">
        <f t="shared" si="82"/>
        <v>TÅRNBYFORSYNING Spildevand</v>
      </c>
      <c r="AY95" s="5">
        <f t="shared" si="83"/>
        <v>51.35274426591562</v>
      </c>
      <c r="AZ95" s="5">
        <f t="shared" si="84"/>
        <v>19.625168921467907</v>
      </c>
      <c r="BA95" s="5">
        <f t="shared" si="85"/>
        <v>0.1163023046174563</v>
      </c>
      <c r="BB95" s="5">
        <f t="shared" si="86"/>
        <v>0.41384802914974467</v>
      </c>
      <c r="BC95" s="5">
        <f t="shared" si="87"/>
        <v>23.33016662333039</v>
      </c>
      <c r="BD95" s="5">
        <f t="shared" si="88"/>
        <v>5.161769855518871</v>
      </c>
      <c r="BF95" s="5">
        <f t="shared" si="97"/>
        <v>28.608238783466717</v>
      </c>
      <c r="BH95" s="5">
        <f t="shared" si="89"/>
        <v>-2.7114609206224216</v>
      </c>
      <c r="BI95" s="5">
        <f t="shared" si="90"/>
        <v>-3.114681219891459</v>
      </c>
      <c r="BJ95" s="5">
        <f t="shared" si="91"/>
        <v>1.9950563806135269</v>
      </c>
      <c r="BK95" s="5">
        <f t="shared" si="92"/>
        <v>0.417299325940854</v>
      </c>
      <c r="BL95" s="5">
        <f t="shared" si="93"/>
        <v>1.4051549453740542</v>
      </c>
      <c r="BM95" s="5">
        <f t="shared" si="94"/>
        <v>2.0086314885854497</v>
      </c>
      <c r="BO95" s="5">
        <f t="shared" si="95"/>
        <v>3.2974841293420454</v>
      </c>
      <c r="BP95" s="5">
        <f t="shared" si="96"/>
        <v>0</v>
      </c>
    </row>
    <row r="96" spans="1:68" ht="15">
      <c r="A96" s="4" t="s">
        <v>92</v>
      </c>
      <c r="B96" s="5">
        <v>5329307</v>
      </c>
      <c r="C96" s="5">
        <f t="shared" si="74"/>
        <v>5355953.534999999</v>
      </c>
      <c r="D96" s="5">
        <v>5084531.836774601</v>
      </c>
      <c r="E96" s="5">
        <v>4157461.334582459</v>
      </c>
      <c r="F96" s="5" t="str">
        <f t="shared" si="75"/>
        <v>ingen</v>
      </c>
      <c r="G96" s="5">
        <f t="shared" si="76"/>
        <v>5084531.836774601</v>
      </c>
      <c r="H96" s="5">
        <f t="shared" si="77"/>
        <v>1433307.9000000001</v>
      </c>
      <c r="I96" s="5">
        <f t="shared" si="78"/>
        <v>1737510.8230796221</v>
      </c>
      <c r="J96" s="5">
        <f t="shared" si="79"/>
        <v>2958667.4510323806</v>
      </c>
      <c r="K96" s="5">
        <f t="shared" si="80"/>
        <v>3262870.3741120026</v>
      </c>
      <c r="L96" s="5">
        <f>'Potentialer og krav'!R53</f>
        <v>254226.59183873003</v>
      </c>
      <c r="M96" s="5">
        <f t="shared" si="58"/>
        <v>26646.535</v>
      </c>
      <c r="N96" s="5">
        <f t="shared" si="59"/>
        <v>123186.93130499998</v>
      </c>
      <c r="O96" s="5">
        <f t="shared" si="60"/>
        <v>927070.5021921415</v>
      </c>
      <c r="P96" s="5">
        <f t="shared" si="61"/>
        <v>116944.23224581582</v>
      </c>
      <c r="Q96" s="5">
        <f t="shared" si="62"/>
        <v>5201476.069020416</v>
      </c>
      <c r="R96" s="5">
        <f t="shared" si="63"/>
        <v>5479140.466304999</v>
      </c>
      <c r="S96" s="5">
        <f t="shared" si="64"/>
        <v>116944.23224581582</v>
      </c>
      <c r="T96" s="5">
        <f t="shared" si="65"/>
        <v>5201476.069020416</v>
      </c>
      <c r="U96" s="20">
        <f t="shared" si="81"/>
        <v>277664.3972845832</v>
      </c>
      <c r="V96" s="20" t="str">
        <f t="shared" si="66"/>
        <v>ingen</v>
      </c>
      <c r="X96" s="19" t="s">
        <v>92</v>
      </c>
      <c r="Y96" s="19">
        <v>1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8</v>
      </c>
      <c r="AF96" s="19">
        <v>0</v>
      </c>
      <c r="AG96" s="19">
        <v>76</v>
      </c>
      <c r="AH96" s="19">
        <v>79</v>
      </c>
      <c r="AI96" s="19">
        <v>0</v>
      </c>
      <c r="AJ96" s="19">
        <v>0</v>
      </c>
      <c r="AK96" s="20">
        <v>3763</v>
      </c>
      <c r="AL96" s="5">
        <v>0</v>
      </c>
      <c r="AM96" s="21">
        <f t="shared" si="67"/>
        <v>7983</v>
      </c>
      <c r="AN96" s="19">
        <f t="shared" si="68"/>
        <v>108184</v>
      </c>
      <c r="AO96" s="19">
        <f t="shared" si="69"/>
        <v>0</v>
      </c>
      <c r="AP96" s="19">
        <f t="shared" si="70"/>
        <v>849400.0000000001</v>
      </c>
      <c r="AQ96" s="19">
        <f t="shared" si="71"/>
        <v>467740.89999999997</v>
      </c>
      <c r="AR96" s="19"/>
      <c r="AS96" s="19">
        <f t="shared" si="72"/>
        <v>1433307.9000000001</v>
      </c>
      <c r="AT96" s="21">
        <f t="shared" si="73"/>
        <v>1737510.8230796221</v>
      </c>
      <c r="AU96" s="5">
        <v>34.71064334572453</v>
      </c>
      <c r="AX96" s="5" t="str">
        <f t="shared" si="82"/>
        <v>Vallensbæk Kloakforsyning A/S</v>
      </c>
      <c r="AY96" s="5">
        <f t="shared" si="83"/>
        <v>0</v>
      </c>
      <c r="AZ96" s="5">
        <f t="shared" si="84"/>
        <v>0.5569633712337733</v>
      </c>
      <c r="BA96" s="5">
        <f t="shared" si="85"/>
        <v>7.547854860773459</v>
      </c>
      <c r="BB96" s="5">
        <f t="shared" si="86"/>
        <v>0</v>
      </c>
      <c r="BC96" s="5">
        <f t="shared" si="87"/>
        <v>59.26151666365615</v>
      </c>
      <c r="BD96" s="5">
        <f t="shared" si="88"/>
        <v>32.633665104336615</v>
      </c>
      <c r="BF96" s="5">
        <f t="shared" si="97"/>
        <v>99.44303662876622</v>
      </c>
      <c r="BH96" s="5">
        <f t="shared" si="89"/>
        <v>48.641283345293196</v>
      </c>
      <c r="BI96" s="5">
        <f t="shared" si="90"/>
        <v>15.953524330342674</v>
      </c>
      <c r="BJ96" s="5">
        <f t="shared" si="91"/>
        <v>-5.436496175542476</v>
      </c>
      <c r="BK96" s="5">
        <f t="shared" si="92"/>
        <v>0.8311473550905987</v>
      </c>
      <c r="BL96" s="5">
        <f t="shared" si="93"/>
        <v>-34.52619509495171</v>
      </c>
      <c r="BM96" s="5">
        <f t="shared" si="94"/>
        <v>-25.463263760232294</v>
      </c>
      <c r="BO96" s="5">
        <f t="shared" si="95"/>
        <v>-67.53731371595745</v>
      </c>
      <c r="BP96" s="5">
        <f t="shared" si="96"/>
        <v>-10.316593982930268</v>
      </c>
    </row>
    <row r="97" spans="1:68" ht="15">
      <c r="A97" s="4" t="s">
        <v>93</v>
      </c>
      <c r="B97" s="5">
        <v>125891519</v>
      </c>
      <c r="C97" s="5">
        <f t="shared" si="74"/>
        <v>126520976.59499998</v>
      </c>
      <c r="D97" s="5">
        <v>129154110.9666934</v>
      </c>
      <c r="E97" s="5">
        <v>37404183.19269997</v>
      </c>
      <c r="F97" s="5">
        <f t="shared" si="75"/>
        <v>2633134.3716934174</v>
      </c>
      <c r="G97" s="5">
        <f t="shared" si="76"/>
        <v>126520976.59499998</v>
      </c>
      <c r="H97" s="5">
        <f t="shared" si="77"/>
        <v>138745860.0414827</v>
      </c>
      <c r="I97" s="5">
        <f t="shared" si="78"/>
        <v>173904019.72708553</v>
      </c>
      <c r="J97" s="5">
        <f t="shared" si="79"/>
        <v>176702153.0199827</v>
      </c>
      <c r="K97" s="5">
        <f t="shared" si="80"/>
        <v>211860312.70558554</v>
      </c>
      <c r="L97" s="5" t="e">
        <f>'Potentialer og krav'!#REF!</f>
        <v>#REF!</v>
      </c>
      <c r="M97" s="5">
        <f t="shared" si="58"/>
        <v>629457.595</v>
      </c>
      <c r="N97" s="5">
        <f t="shared" si="59"/>
        <v>2909982.4616849995</v>
      </c>
      <c r="O97" s="5">
        <f t="shared" si="60"/>
        <v>91749927.77399343</v>
      </c>
      <c r="P97" s="5">
        <f t="shared" si="61"/>
        <v>2909982.4616849995</v>
      </c>
      <c r="Q97" s="5">
        <f t="shared" si="62"/>
        <v>129430959.05668497</v>
      </c>
      <c r="R97" s="5">
        <f t="shared" si="63"/>
        <v>129430959.05668497</v>
      </c>
      <c r="S97" s="5">
        <f t="shared" si="64"/>
        <v>2970544.5522339484</v>
      </c>
      <c r="T97" s="5">
        <f t="shared" si="65"/>
        <v>132124655.51892734</v>
      </c>
      <c r="U97" s="20">
        <f t="shared" si="81"/>
        <v>-2693696.462242365</v>
      </c>
      <c r="V97" s="20" t="str">
        <f t="shared" si="66"/>
        <v>tal til venstre</v>
      </c>
      <c r="X97" s="19" t="s">
        <v>93</v>
      </c>
      <c r="Y97" s="19">
        <v>1120</v>
      </c>
      <c r="Z97" s="19">
        <v>338</v>
      </c>
      <c r="AA97" s="19">
        <v>14</v>
      </c>
      <c r="AB97" s="19">
        <v>3</v>
      </c>
      <c r="AC97" s="19"/>
      <c r="AD97" s="19"/>
      <c r="AE97" s="19">
        <v>152</v>
      </c>
      <c r="AF97" s="19">
        <v>16262</v>
      </c>
      <c r="AG97" s="19">
        <v>488</v>
      </c>
      <c r="AH97" s="19">
        <v>1704</v>
      </c>
      <c r="AI97" s="19">
        <v>194</v>
      </c>
      <c r="AJ97" s="19">
        <v>22</v>
      </c>
      <c r="AK97" s="20">
        <v>73666</v>
      </c>
      <c r="AL97" s="5">
        <v>78943951.52148269</v>
      </c>
      <c r="AM97" s="21">
        <f t="shared" si="67"/>
        <v>15983825</v>
      </c>
      <c r="AN97" s="19">
        <f t="shared" si="68"/>
        <v>2055496</v>
      </c>
      <c r="AO97" s="19">
        <f t="shared" si="69"/>
        <v>391263.72</v>
      </c>
      <c r="AP97" s="19">
        <f t="shared" si="70"/>
        <v>32214640</v>
      </c>
      <c r="AQ97" s="19">
        <f t="shared" si="71"/>
        <v>9156683.799999999</v>
      </c>
      <c r="AR97" s="19"/>
      <c r="AS97" s="19">
        <f t="shared" si="72"/>
        <v>138745860.0414827</v>
      </c>
      <c r="AT97" s="21">
        <f t="shared" si="73"/>
        <v>173904019.72708553</v>
      </c>
      <c r="AU97" s="5">
        <v>37.87690020782277</v>
      </c>
      <c r="AX97" s="5" t="str">
        <f t="shared" si="82"/>
        <v>Vandcenter Syd as</v>
      </c>
      <c r="AY97" s="5">
        <f t="shared" si="83"/>
        <v>56.89823934053223</v>
      </c>
      <c r="AZ97" s="5">
        <f t="shared" si="84"/>
        <v>11.520217608814493</v>
      </c>
      <c r="BA97" s="5">
        <f t="shared" si="85"/>
        <v>1.481482762358056</v>
      </c>
      <c r="BB97" s="5">
        <f t="shared" si="86"/>
        <v>0.2820002844647175</v>
      </c>
      <c r="BC97" s="5">
        <f t="shared" si="87"/>
        <v>23.218451340002765</v>
      </c>
      <c r="BD97" s="5">
        <f t="shared" si="88"/>
        <v>6.5996086638277385</v>
      </c>
      <c r="BF97" s="5">
        <f t="shared" si="97"/>
        <v>31.29954276618856</v>
      </c>
      <c r="BH97" s="5">
        <f t="shared" si="89"/>
        <v>-8.256955995239032</v>
      </c>
      <c r="BI97" s="5">
        <f t="shared" si="90"/>
        <v>4.990270092761955</v>
      </c>
      <c r="BJ97" s="5">
        <f t="shared" si="91"/>
        <v>0.6298759228729272</v>
      </c>
      <c r="BK97" s="5">
        <f t="shared" si="92"/>
        <v>0.5491470706258812</v>
      </c>
      <c r="BL97" s="5">
        <f t="shared" si="93"/>
        <v>1.516870228701677</v>
      </c>
      <c r="BM97" s="5">
        <f t="shared" si="94"/>
        <v>0.5707926802765826</v>
      </c>
      <c r="BO97" s="5">
        <f t="shared" si="95"/>
        <v>0.6061801466202041</v>
      </c>
      <c r="BP97" s="5">
        <f t="shared" si="96"/>
        <v>0</v>
      </c>
    </row>
    <row r="98" spans="1:68" ht="15">
      <c r="A98" s="4" t="s">
        <v>94</v>
      </c>
      <c r="B98" s="5">
        <v>32404308</v>
      </c>
      <c r="C98" s="5">
        <f t="shared" si="74"/>
        <v>32566329.539999995</v>
      </c>
      <c r="D98" s="5">
        <v>34163334.666455396</v>
      </c>
      <c r="E98" s="5">
        <v>13020372.380526772</v>
      </c>
      <c r="F98" s="5">
        <f t="shared" si="75"/>
        <v>1597005.1264554001</v>
      </c>
      <c r="G98" s="5">
        <f t="shared" si="76"/>
        <v>32566329.539999995</v>
      </c>
      <c r="H98" s="5">
        <f t="shared" si="77"/>
        <v>32730846.19345519</v>
      </c>
      <c r="I98" s="5">
        <f t="shared" si="78"/>
        <v>37893765.93127936</v>
      </c>
      <c r="J98" s="5">
        <f t="shared" si="79"/>
        <v>42500745.055455185</v>
      </c>
      <c r="K98" s="5">
        <f t="shared" si="80"/>
        <v>47663664.79327936</v>
      </c>
      <c r="L98" s="5" t="e">
        <f>'Potentialer og krav'!#REF!</f>
        <v>#REF!</v>
      </c>
      <c r="M98" s="5">
        <f t="shared" si="58"/>
        <v>162021.54</v>
      </c>
      <c r="N98" s="5">
        <f t="shared" si="59"/>
        <v>749025.5794199998</v>
      </c>
      <c r="O98" s="5">
        <f t="shared" si="60"/>
        <v>21142962.285928622</v>
      </c>
      <c r="P98" s="5">
        <f t="shared" si="61"/>
        <v>749025.5794199998</v>
      </c>
      <c r="Q98" s="5">
        <f t="shared" si="62"/>
        <v>33315355.119419992</v>
      </c>
      <c r="R98" s="5">
        <f t="shared" si="63"/>
        <v>33315355.119419992</v>
      </c>
      <c r="S98" s="5">
        <f t="shared" si="64"/>
        <v>785756.6973284741</v>
      </c>
      <c r="T98" s="5">
        <f t="shared" si="65"/>
        <v>34949091.363783866</v>
      </c>
      <c r="U98" s="20">
        <f t="shared" si="81"/>
        <v>-1633736.2443638742</v>
      </c>
      <c r="V98" s="20" t="str">
        <f t="shared" si="66"/>
        <v>tal til venstre</v>
      </c>
      <c r="X98" s="19" t="s">
        <v>94</v>
      </c>
      <c r="Y98" s="19">
        <v>219</v>
      </c>
      <c r="Z98" s="19">
        <v>22</v>
      </c>
      <c r="AA98" s="19">
        <v>3</v>
      </c>
      <c r="AB98" s="19"/>
      <c r="AC98" s="19"/>
      <c r="AD98" s="19"/>
      <c r="AE98" s="19">
        <v>37</v>
      </c>
      <c r="AF98" s="19">
        <v>15115</v>
      </c>
      <c r="AG98" s="19">
        <v>381</v>
      </c>
      <c r="AH98" s="19">
        <v>487</v>
      </c>
      <c r="AI98" s="19">
        <v>6</v>
      </c>
      <c r="AJ98" s="19"/>
      <c r="AK98" s="20">
        <v>16993</v>
      </c>
      <c r="AL98" s="20">
        <v>22059378.993455194</v>
      </c>
      <c r="AM98" s="21">
        <f t="shared" si="67"/>
        <v>2334872</v>
      </c>
      <c r="AN98" s="19">
        <f t="shared" si="68"/>
        <v>500351</v>
      </c>
      <c r="AO98" s="19">
        <f t="shared" si="69"/>
        <v>363666.89999999997</v>
      </c>
      <c r="AP98" s="19">
        <f t="shared" si="70"/>
        <v>5317820</v>
      </c>
      <c r="AQ98" s="19">
        <f t="shared" si="71"/>
        <v>2112229.9</v>
      </c>
      <c r="AR98" s="19"/>
      <c r="AS98" s="19">
        <f t="shared" si="72"/>
        <v>32730846.19345519</v>
      </c>
      <c r="AT98" s="21">
        <f t="shared" si="73"/>
        <v>37893765.93127936</v>
      </c>
      <c r="AU98" s="5">
        <v>30.51835827024032</v>
      </c>
      <c r="AV98" s="5">
        <v>42527.4</v>
      </c>
      <c r="AX98" s="5" t="str">
        <f t="shared" si="82"/>
        <v>VARDE KLOAK OG SPILDEVAND A/S</v>
      </c>
      <c r="AY98" s="5">
        <f t="shared" si="83"/>
        <v>67.48398145784081</v>
      </c>
      <c r="AZ98" s="5">
        <f t="shared" si="84"/>
        <v>7.142832932929805</v>
      </c>
      <c r="BA98" s="5">
        <f t="shared" si="85"/>
        <v>1.5306721742452523</v>
      </c>
      <c r="BB98" s="5">
        <f t="shared" si="86"/>
        <v>1.1125286139610608</v>
      </c>
      <c r="BC98" s="5">
        <f t="shared" si="87"/>
        <v>16.268257886253625</v>
      </c>
      <c r="BD98" s="5">
        <f t="shared" si="88"/>
        <v>6.461726934769456</v>
      </c>
      <c r="BF98" s="5">
        <f t="shared" si="97"/>
        <v>24.260656995268334</v>
      </c>
      <c r="BH98" s="5">
        <f t="shared" si="89"/>
        <v>-18.842698112547616</v>
      </c>
      <c r="BI98" s="5">
        <f t="shared" si="90"/>
        <v>9.367654768646643</v>
      </c>
      <c r="BJ98" s="5">
        <f t="shared" si="91"/>
        <v>0.5806865109857309</v>
      </c>
      <c r="BK98" s="5">
        <f t="shared" si="92"/>
        <v>-0.28138125887046217</v>
      </c>
      <c r="BL98" s="5">
        <f t="shared" si="93"/>
        <v>8.467063682450817</v>
      </c>
      <c r="BM98" s="5">
        <f t="shared" si="94"/>
        <v>0.7086744093348649</v>
      </c>
      <c r="BO98" s="5">
        <f t="shared" si="95"/>
        <v>7.645065917540428</v>
      </c>
      <c r="BP98" s="5">
        <f t="shared" si="96"/>
        <v>0</v>
      </c>
    </row>
    <row r="99" spans="1:68" ht="15">
      <c r="A99" s="4" t="s">
        <v>95</v>
      </c>
      <c r="B99" s="5">
        <v>22033861</v>
      </c>
      <c r="C99" s="5">
        <f t="shared" si="74"/>
        <v>22144030.304999996</v>
      </c>
      <c r="D99" s="5">
        <v>25701088.1957704</v>
      </c>
      <c r="E99" s="5">
        <v>11021126.836391</v>
      </c>
      <c r="F99" s="5">
        <f t="shared" si="75"/>
        <v>3557057.8907704055</v>
      </c>
      <c r="G99" s="5">
        <f t="shared" si="76"/>
        <v>22144030.304999996</v>
      </c>
      <c r="H99" s="5">
        <f t="shared" si="77"/>
        <v>22696122.198769253</v>
      </c>
      <c r="I99" s="5">
        <f t="shared" si="78"/>
        <v>27453653.7377592</v>
      </c>
      <c r="J99" s="5">
        <f t="shared" si="79"/>
        <v>29339331.290269252</v>
      </c>
      <c r="K99" s="5">
        <f t="shared" si="80"/>
        <v>34096862.829259194</v>
      </c>
      <c r="L99" s="5" t="e">
        <f>'Potentialer og krav'!#REF!</f>
        <v>#REF!</v>
      </c>
      <c r="M99" s="5">
        <f t="shared" si="58"/>
        <v>110169.30500000001</v>
      </c>
      <c r="N99" s="5">
        <f t="shared" si="59"/>
        <v>509312.6970149999</v>
      </c>
      <c r="O99" s="5">
        <f t="shared" si="60"/>
        <v>14679961.359379401</v>
      </c>
      <c r="P99" s="5">
        <f t="shared" si="61"/>
        <v>509312.6970149999</v>
      </c>
      <c r="Q99" s="5">
        <f t="shared" si="62"/>
        <v>22653343.002014995</v>
      </c>
      <c r="R99" s="5">
        <f t="shared" si="63"/>
        <v>22653343.002014995</v>
      </c>
      <c r="S99" s="5">
        <f t="shared" si="64"/>
        <v>591125.0285027192</v>
      </c>
      <c r="T99" s="5">
        <f t="shared" si="65"/>
        <v>26292213.22427312</v>
      </c>
      <c r="U99" s="20">
        <f t="shared" si="81"/>
        <v>-3638870.2222581245</v>
      </c>
      <c r="V99" s="20" t="str">
        <f t="shared" si="66"/>
        <v>tal til venstre</v>
      </c>
      <c r="X99" s="19" t="s">
        <v>95</v>
      </c>
      <c r="Y99" s="19">
        <v>39</v>
      </c>
      <c r="Z99" s="19">
        <v>45</v>
      </c>
      <c r="AA99" s="19">
        <v>2</v>
      </c>
      <c r="AB99" s="19">
        <v>1</v>
      </c>
      <c r="AC99" s="19">
        <v>0</v>
      </c>
      <c r="AD99" s="19">
        <v>0</v>
      </c>
      <c r="AE99" s="19">
        <v>77</v>
      </c>
      <c r="AF99" s="19">
        <v>21407</v>
      </c>
      <c r="AG99" s="19">
        <v>155</v>
      </c>
      <c r="AH99" s="19">
        <v>612</v>
      </c>
      <c r="AI99" s="19">
        <v>0</v>
      </c>
      <c r="AJ99" s="19">
        <v>0</v>
      </c>
      <c r="AK99" s="22">
        <v>4414</v>
      </c>
      <c r="AL99" s="5">
        <v>15089110.578769254</v>
      </c>
      <c r="AM99" s="21">
        <f t="shared" si="67"/>
        <v>1298868</v>
      </c>
      <c r="AN99" s="19">
        <f t="shared" si="68"/>
        <v>1041271</v>
      </c>
      <c r="AO99" s="19">
        <f t="shared" si="69"/>
        <v>515052.42</v>
      </c>
      <c r="AP99" s="19">
        <f t="shared" si="70"/>
        <v>4203160.000000001</v>
      </c>
      <c r="AQ99" s="19">
        <f t="shared" si="71"/>
        <v>548660.2</v>
      </c>
      <c r="AR99" s="19"/>
      <c r="AS99" s="19">
        <f t="shared" si="72"/>
        <v>22696122.198769253</v>
      </c>
      <c r="AT99" s="21">
        <f t="shared" si="73"/>
        <v>27453653.7377592</v>
      </c>
      <c r="AU99" s="5">
        <v>34.50913045959737</v>
      </c>
      <c r="AX99" s="5" t="str">
        <f t="shared" si="82"/>
        <v>Vejen Forsyning A/S</v>
      </c>
      <c r="AY99" s="5">
        <f t="shared" si="83"/>
        <v>66.4832099801943</v>
      </c>
      <c r="AZ99" s="5">
        <f t="shared" si="84"/>
        <v>5.722863089230432</v>
      </c>
      <c r="BA99" s="5">
        <f t="shared" si="85"/>
        <v>4.587880655914274</v>
      </c>
      <c r="BB99" s="5">
        <f t="shared" si="86"/>
        <v>2.2693410596279295</v>
      </c>
      <c r="BC99" s="5">
        <f t="shared" si="87"/>
        <v>18.519286965365065</v>
      </c>
      <c r="BD99" s="5">
        <f t="shared" si="88"/>
        <v>2.4174182496680086</v>
      </c>
      <c r="BF99" s="5">
        <f t="shared" si="97"/>
        <v>25.524585870947348</v>
      </c>
      <c r="BH99" s="5">
        <f t="shared" si="89"/>
        <v>-17.841926634901107</v>
      </c>
      <c r="BI99" s="5">
        <f t="shared" si="90"/>
        <v>10.787624612346015</v>
      </c>
      <c r="BJ99" s="5">
        <f t="shared" si="91"/>
        <v>-2.476521970683291</v>
      </c>
      <c r="BK99" s="5">
        <f t="shared" si="92"/>
        <v>-1.4381937045373308</v>
      </c>
      <c r="BL99" s="5">
        <f t="shared" si="93"/>
        <v>6.216034603339377</v>
      </c>
      <c r="BM99" s="5">
        <f t="shared" si="94"/>
        <v>4.7529830944363125</v>
      </c>
      <c r="BO99" s="5">
        <f t="shared" si="95"/>
        <v>6.381137041861415</v>
      </c>
      <c r="BP99" s="5">
        <f t="shared" si="96"/>
        <v>0</v>
      </c>
    </row>
    <row r="100" spans="1:68" ht="15">
      <c r="A100" s="4" t="s">
        <v>96</v>
      </c>
      <c r="B100" s="5">
        <v>74886684</v>
      </c>
      <c r="C100" s="5">
        <f t="shared" si="74"/>
        <v>75261117.41999999</v>
      </c>
      <c r="D100" s="5">
        <v>79735348</v>
      </c>
      <c r="E100" s="5">
        <f>25610049.5330824+F100</f>
        <v>30084280.113082413</v>
      </c>
      <c r="F100" s="5">
        <f t="shared" si="75"/>
        <v>4474230.580000013</v>
      </c>
      <c r="G100" s="5">
        <f t="shared" si="76"/>
        <v>75261117.41999999</v>
      </c>
      <c r="H100" s="5">
        <f t="shared" si="77"/>
        <v>90018320.67124085</v>
      </c>
      <c r="I100" s="5">
        <f t="shared" si="78"/>
        <v>105781449.78946805</v>
      </c>
      <c r="J100" s="5">
        <f t="shared" si="79"/>
        <v>112596655.89724085</v>
      </c>
      <c r="K100" s="5">
        <f t="shared" si="80"/>
        <v>128359785.01546805</v>
      </c>
      <c r="L100" s="5" t="e">
        <f>'Potentialer og krav'!#REF!</f>
        <v>#REF!</v>
      </c>
      <c r="M100" s="5">
        <f aca="true" t="shared" si="98" ref="M100:M106">0.005*B100</f>
        <v>374433.42</v>
      </c>
      <c r="N100" s="5">
        <f aca="true" t="shared" si="99" ref="N100:N106">0.023*C100</f>
        <v>1731005.7006599996</v>
      </c>
      <c r="O100" s="5">
        <f aca="true" t="shared" si="100" ref="O100:O106">D100-E100</f>
        <v>49651067.88691759</v>
      </c>
      <c r="P100" s="5">
        <f aca="true" t="shared" si="101" ref="P100:P106">0.023*G100</f>
        <v>1731005.7006599996</v>
      </c>
      <c r="Q100" s="5">
        <f aca="true" t="shared" si="102" ref="Q100:Q106">1.023*G100</f>
        <v>76992123.12065998</v>
      </c>
      <c r="R100" s="5">
        <f aca="true" t="shared" si="103" ref="R100:R106">1.023*C100</f>
        <v>76992123.12065998</v>
      </c>
      <c r="S100" s="5">
        <f aca="true" t="shared" si="104" ref="S100:S106">0.023*D100</f>
        <v>1833913.004</v>
      </c>
      <c r="T100" s="5">
        <f aca="true" t="shared" si="105" ref="T100:T106">1.023*D100</f>
        <v>81569261.004</v>
      </c>
      <c r="U100" s="20">
        <f t="shared" si="81"/>
        <v>-4577137.883340016</v>
      </c>
      <c r="V100" s="20" t="str">
        <f aca="true" t="shared" si="106" ref="V100:V106">IF(F100="ingen","ingen",IF(G100&lt;=O100,Q100-T100,"tal til venstre"))</f>
        <v>tal til venstre</v>
      </c>
      <c r="X100" s="19" t="s">
        <v>96</v>
      </c>
      <c r="Y100" s="19">
        <v>610</v>
      </c>
      <c r="Z100" s="19">
        <v>225</v>
      </c>
      <c r="AA100" s="19">
        <v>3</v>
      </c>
      <c r="AB100" s="19">
        <v>1</v>
      </c>
      <c r="AC100" s="19"/>
      <c r="AD100" s="19"/>
      <c r="AE100" s="19">
        <v>189</v>
      </c>
      <c r="AF100" s="19">
        <v>25321</v>
      </c>
      <c r="AG100" s="19">
        <v>478</v>
      </c>
      <c r="AH100" s="19">
        <v>1254</v>
      </c>
      <c r="AI100" s="19">
        <v>90</v>
      </c>
      <c r="AJ100" s="19">
        <v>0</v>
      </c>
      <c r="AK100" s="20">
        <v>28299</v>
      </c>
      <c r="AL100" s="5">
        <v>43109286.71124084</v>
      </c>
      <c r="AM100" s="21">
        <f aca="true" t="shared" si="107" ref="AM100:AM106">7983*Y100+17432*Z100+67697*(AA100+AB100)+775973*(AC100+AD100)</f>
        <v>9062618</v>
      </c>
      <c r="AN100" s="19">
        <f aca="true" t="shared" si="108" ref="AN100:AN106">AE100*13523</f>
        <v>2555847</v>
      </c>
      <c r="AO100" s="19">
        <f aca="true" t="shared" si="109" ref="AO100:AO106">AF100*24.06</f>
        <v>609223.26</v>
      </c>
      <c r="AP100" s="19">
        <f aca="true" t="shared" si="110" ref="AP100:AP106">5.48*(AG100+AH100)*1000+93.53*(AI100+AJ100)*1000</f>
        <v>17909060</v>
      </c>
      <c r="AQ100" s="19">
        <f aca="true" t="shared" si="111" ref="AQ100:AQ106">124.3*AK100</f>
        <v>3517565.6999999997</v>
      </c>
      <c r="AR100" s="19"/>
      <c r="AS100" s="19">
        <f aca="true" t="shared" si="112" ref="AS100:AS108">SUM(AL100:AR100)+AV100</f>
        <v>90018320.67124085</v>
      </c>
      <c r="AT100" s="21">
        <f aca="true" t="shared" si="113" ref="AT100:AT106">(0.761+0.013*AU100)*AS100</f>
        <v>105781449.78946805</v>
      </c>
      <c r="AU100" s="5">
        <v>31.854633317277955</v>
      </c>
      <c r="AV100" s="5">
        <v>13254720</v>
      </c>
      <c r="AX100" s="5" t="str">
        <f t="shared" si="82"/>
        <v>Vejle Spildevand a/s</v>
      </c>
      <c r="AY100" s="5">
        <f t="shared" si="83"/>
        <v>56.15850003684305</v>
      </c>
      <c r="AZ100" s="5">
        <f t="shared" si="84"/>
        <v>11.805879245832811</v>
      </c>
      <c r="BA100" s="5">
        <f t="shared" si="85"/>
        <v>3.329503798220785</v>
      </c>
      <c r="BB100" s="5">
        <f t="shared" si="86"/>
        <v>0.7936355963930738</v>
      </c>
      <c r="BC100" s="5">
        <f t="shared" si="87"/>
        <v>23.330145854804268</v>
      </c>
      <c r="BD100" s="5">
        <f t="shared" si="88"/>
        <v>4.582335467906002</v>
      </c>
      <c r="BF100" s="5">
        <f t="shared" si="97"/>
        <v>31.241985120931055</v>
      </c>
      <c r="BH100" s="5">
        <f t="shared" si="89"/>
        <v>-7.517216691549855</v>
      </c>
      <c r="BI100" s="5">
        <f t="shared" si="90"/>
        <v>4.704608455743637</v>
      </c>
      <c r="BJ100" s="5">
        <f t="shared" si="91"/>
        <v>-1.2181451129898018</v>
      </c>
      <c r="BK100" s="5">
        <f t="shared" si="92"/>
        <v>0.03751175869752488</v>
      </c>
      <c r="BL100" s="5">
        <f t="shared" si="93"/>
        <v>1.4051757139001744</v>
      </c>
      <c r="BM100" s="5">
        <f t="shared" si="94"/>
        <v>2.5880658761983186</v>
      </c>
      <c r="BO100" s="5">
        <f t="shared" si="95"/>
        <v>0.6637377918777077</v>
      </c>
      <c r="BP100" s="5">
        <f t="shared" si="96"/>
        <v>0</v>
      </c>
    </row>
    <row r="101" spans="1:68" ht="15">
      <c r="A101" s="4" t="s">
        <v>97</v>
      </c>
      <c r="B101" s="5">
        <f>47162094-393811</f>
        <v>46768283</v>
      </c>
      <c r="C101" s="5">
        <f t="shared" si="74"/>
        <v>47002124.41499999</v>
      </c>
      <c r="D101" s="5">
        <v>44328701.3001168</v>
      </c>
      <c r="E101" s="5">
        <v>11200397.288854223</v>
      </c>
      <c r="F101" s="5" t="str">
        <f t="shared" si="75"/>
        <v>ingen</v>
      </c>
      <c r="G101" s="5">
        <f t="shared" si="76"/>
        <v>44328701.3001168</v>
      </c>
      <c r="H101" s="5">
        <f t="shared" si="77"/>
        <v>51218392.92219788</v>
      </c>
      <c r="I101" s="5">
        <f t="shared" si="78"/>
        <v>59887578.63865492</v>
      </c>
      <c r="J101" s="5">
        <f t="shared" si="79"/>
        <v>64517003.31223292</v>
      </c>
      <c r="K101" s="5">
        <f t="shared" si="80"/>
        <v>73186189.02868995</v>
      </c>
      <c r="L101" s="5">
        <f>'Potentialer og krav'!R54</f>
        <v>649698.0249334105</v>
      </c>
      <c r="M101" s="5">
        <f t="shared" si="98"/>
        <v>233841.415</v>
      </c>
      <c r="N101" s="5">
        <f t="shared" si="99"/>
        <v>1081048.8615449998</v>
      </c>
      <c r="O101" s="5">
        <f t="shared" si="100"/>
        <v>33128304.011262577</v>
      </c>
      <c r="P101" s="5">
        <f t="shared" si="101"/>
        <v>1019560.1299026863</v>
      </c>
      <c r="Q101" s="5">
        <f t="shared" si="102"/>
        <v>45348261.43001948</v>
      </c>
      <c r="R101" s="5">
        <f t="shared" si="103"/>
        <v>48083173.27654499</v>
      </c>
      <c r="S101" s="5">
        <f t="shared" si="104"/>
        <v>1019560.1299026863</v>
      </c>
      <c r="T101" s="5">
        <f t="shared" si="105"/>
        <v>45348261.43001948</v>
      </c>
      <c r="U101" s="20">
        <f t="shared" si="81"/>
        <v>2734911.846525505</v>
      </c>
      <c r="V101" s="20" t="str">
        <f t="shared" si="106"/>
        <v>ingen</v>
      </c>
      <c r="X101" s="19" t="s">
        <v>97</v>
      </c>
      <c r="Y101" s="19">
        <v>96</v>
      </c>
      <c r="Z101" s="19">
        <v>290</v>
      </c>
      <c r="AA101" s="19">
        <v>4</v>
      </c>
      <c r="AB101" s="19">
        <v>0</v>
      </c>
      <c r="AC101" s="19">
        <v>0</v>
      </c>
      <c r="AD101" s="19">
        <v>0</v>
      </c>
      <c r="AE101" s="19">
        <v>77</v>
      </c>
      <c r="AF101" s="19">
        <v>6194</v>
      </c>
      <c r="AG101" s="19">
        <v>243</v>
      </c>
      <c r="AH101" s="19">
        <v>882</v>
      </c>
      <c r="AI101" s="19">
        <v>45</v>
      </c>
      <c r="AJ101" s="19">
        <v>0</v>
      </c>
      <c r="AK101" s="20">
        <v>18161</v>
      </c>
      <c r="AL101" s="5">
        <v>31304395.98219788</v>
      </c>
      <c r="AM101" s="21">
        <f t="shared" si="107"/>
        <v>6092436</v>
      </c>
      <c r="AN101" s="19">
        <f t="shared" si="108"/>
        <v>1041271</v>
      </c>
      <c r="AO101" s="19">
        <f t="shared" si="109"/>
        <v>149027.63999999998</v>
      </c>
      <c r="AP101" s="19">
        <f t="shared" si="110"/>
        <v>10373850</v>
      </c>
      <c r="AQ101" s="19">
        <f t="shared" si="111"/>
        <v>2257412.3</v>
      </c>
      <c r="AR101" s="19"/>
      <c r="AS101" s="19">
        <f t="shared" si="112"/>
        <v>51218392.92219788</v>
      </c>
      <c r="AT101" s="21">
        <f t="shared" si="113"/>
        <v>59887578.63865492</v>
      </c>
      <c r="AU101" s="5">
        <v>31.404556106700195</v>
      </c>
      <c r="AX101" s="5" t="str">
        <f t="shared" si="82"/>
        <v>Vestforsyning Spildevand A/S</v>
      </c>
      <c r="AY101" s="5">
        <f t="shared" si="83"/>
        <v>61.11944205229185</v>
      </c>
      <c r="AZ101" s="5">
        <f t="shared" si="84"/>
        <v>11.895015935495232</v>
      </c>
      <c r="BA101" s="5">
        <f t="shared" si="85"/>
        <v>2.0330020927867043</v>
      </c>
      <c r="BB101" s="5">
        <f t="shared" si="86"/>
        <v>0.2909650840204553</v>
      </c>
      <c r="BC101" s="5">
        <f t="shared" si="87"/>
        <v>20.25414974608469</v>
      </c>
      <c r="BD101" s="5">
        <f t="shared" si="88"/>
        <v>4.407425089321077</v>
      </c>
      <c r="BF101" s="5">
        <f t="shared" si="97"/>
        <v>26.694576928192472</v>
      </c>
      <c r="BH101" s="5">
        <f t="shared" si="89"/>
        <v>-12.478158706998656</v>
      </c>
      <c r="BI101" s="5">
        <f t="shared" si="90"/>
        <v>4.615471766081216</v>
      </c>
      <c r="BJ101" s="5">
        <f t="shared" si="91"/>
        <v>0.07835659244427884</v>
      </c>
      <c r="BK101" s="5">
        <f t="shared" si="92"/>
        <v>0.5401822710701434</v>
      </c>
      <c r="BL101" s="5">
        <f t="shared" si="93"/>
        <v>4.481171822619753</v>
      </c>
      <c r="BM101" s="5">
        <f t="shared" si="94"/>
        <v>2.7629762547832444</v>
      </c>
      <c r="BO101" s="5">
        <f t="shared" si="95"/>
        <v>5.211145984616291</v>
      </c>
      <c r="BP101" s="5">
        <f t="shared" si="96"/>
        <v>0</v>
      </c>
    </row>
    <row r="102" spans="1:68" ht="15">
      <c r="A102" s="4" t="s">
        <v>98</v>
      </c>
      <c r="B102" s="5">
        <v>28105158</v>
      </c>
      <c r="C102" s="5">
        <f t="shared" si="74"/>
        <v>28245683.789999995</v>
      </c>
      <c r="D102" s="5">
        <v>25811026.9786922</v>
      </c>
      <c r="E102" s="5">
        <v>0</v>
      </c>
      <c r="F102" s="5" t="str">
        <f t="shared" si="75"/>
        <v>ingen</v>
      </c>
      <c r="G102" s="5">
        <f t="shared" si="76"/>
        <v>25811026.9786922</v>
      </c>
      <c r="H102" s="5">
        <f t="shared" si="77"/>
        <v>43452301.1240885</v>
      </c>
      <c r="I102" s="5">
        <f t="shared" si="78"/>
        <v>52968673.08136916</v>
      </c>
      <c r="J102" s="5">
        <f t="shared" si="79"/>
        <v>51195609.21769616</v>
      </c>
      <c r="K102" s="5">
        <f t="shared" si="80"/>
        <v>60711981.17497682</v>
      </c>
      <c r="L102" s="5">
        <f>'Potentialer og krav'!R55</f>
        <v>0</v>
      </c>
      <c r="M102" s="5">
        <f t="shared" si="98"/>
        <v>140525.79</v>
      </c>
      <c r="N102" s="5">
        <f t="shared" si="99"/>
        <v>649650.7271699999</v>
      </c>
      <c r="O102" s="5">
        <f t="shared" si="100"/>
        <v>25811026.9786922</v>
      </c>
      <c r="P102" s="5">
        <f t="shared" si="101"/>
        <v>593653.6205099206</v>
      </c>
      <c r="Q102" s="5">
        <f t="shared" si="102"/>
        <v>26404680.59920212</v>
      </c>
      <c r="R102" s="5">
        <f t="shared" si="103"/>
        <v>28895334.517169993</v>
      </c>
      <c r="S102" s="5">
        <f t="shared" si="104"/>
        <v>593653.6205099206</v>
      </c>
      <c r="T102" s="5">
        <f t="shared" si="105"/>
        <v>26404680.59920212</v>
      </c>
      <c r="U102" s="20">
        <f t="shared" si="81"/>
        <v>2490653.9179678746</v>
      </c>
      <c r="V102" s="20" t="str">
        <f t="shared" si="106"/>
        <v>ingen</v>
      </c>
      <c r="X102" s="19" t="s">
        <v>98</v>
      </c>
      <c r="Y102" s="19">
        <v>73</v>
      </c>
      <c r="Z102" s="19">
        <v>175</v>
      </c>
      <c r="AA102" s="19">
        <v>0</v>
      </c>
      <c r="AB102" s="19">
        <v>5</v>
      </c>
      <c r="AC102" s="19">
        <v>0</v>
      </c>
      <c r="AD102" s="19">
        <v>0</v>
      </c>
      <c r="AE102" s="19">
        <v>52</v>
      </c>
      <c r="AF102" s="19">
        <v>2464</v>
      </c>
      <c r="AG102" s="19">
        <v>156</v>
      </c>
      <c r="AH102" s="19">
        <v>679</v>
      </c>
      <c r="AI102" s="19">
        <v>0</v>
      </c>
      <c r="AJ102" s="19">
        <v>0</v>
      </c>
      <c r="AK102" s="20">
        <v>12331</v>
      </c>
      <c r="AL102" s="5">
        <v>32609433.984088503</v>
      </c>
      <c r="AM102" s="21">
        <f t="shared" si="107"/>
        <v>3971844</v>
      </c>
      <c r="AN102" s="19">
        <f t="shared" si="108"/>
        <v>703196</v>
      </c>
      <c r="AO102" s="19">
        <f t="shared" si="109"/>
        <v>59283.84</v>
      </c>
      <c r="AP102" s="19">
        <f t="shared" si="110"/>
        <v>4575800</v>
      </c>
      <c r="AQ102" s="19">
        <f t="shared" si="111"/>
        <v>1532743.3</v>
      </c>
      <c r="AR102" s="19"/>
      <c r="AS102" s="19">
        <f t="shared" si="112"/>
        <v>43452301.1240885</v>
      </c>
      <c r="AT102" s="21">
        <f t="shared" si="113"/>
        <v>52968673.08136916</v>
      </c>
      <c r="AU102" s="5">
        <v>35.23133220193718</v>
      </c>
      <c r="AX102" s="5" t="str">
        <f t="shared" si="82"/>
        <v>Vesthimmerlands Vand A/S</v>
      </c>
      <c r="AY102" s="5">
        <f t="shared" si="83"/>
        <v>75.04650649217498</v>
      </c>
      <c r="AZ102" s="5">
        <f t="shared" si="84"/>
        <v>9.140698874974293</v>
      </c>
      <c r="BA102" s="5">
        <f t="shared" si="85"/>
        <v>1.6183170552736774</v>
      </c>
      <c r="BB102" s="5">
        <f t="shared" si="86"/>
        <v>0.1364342933892056</v>
      </c>
      <c r="BC102" s="5">
        <f t="shared" si="87"/>
        <v>10.530627565460117</v>
      </c>
      <c r="BD102" s="5">
        <f t="shared" si="88"/>
        <v>3.527415718727721</v>
      </c>
      <c r="BF102" s="5">
        <f t="shared" si="97"/>
        <v>15.676360339461514</v>
      </c>
      <c r="BH102" s="5">
        <f t="shared" si="89"/>
        <v>-26.405223146881788</v>
      </c>
      <c r="BI102" s="5">
        <f t="shared" si="90"/>
        <v>7.369788826602155</v>
      </c>
      <c r="BJ102" s="5">
        <f t="shared" si="91"/>
        <v>0.4930416299573057</v>
      </c>
      <c r="BK102" s="5">
        <f t="shared" si="92"/>
        <v>0.694713061701393</v>
      </c>
      <c r="BL102" s="5">
        <f t="shared" si="93"/>
        <v>14.204694003244326</v>
      </c>
      <c r="BM102" s="5">
        <f t="shared" si="94"/>
        <v>3.6429856253766</v>
      </c>
      <c r="BO102" s="5">
        <f t="shared" si="95"/>
        <v>16.22936257334725</v>
      </c>
      <c r="BP102" s="5">
        <f t="shared" si="96"/>
        <v>0</v>
      </c>
    </row>
    <row r="103" spans="1:68" ht="15">
      <c r="A103" s="4" t="s">
        <v>99</v>
      </c>
      <c r="B103" s="5">
        <v>32330806</v>
      </c>
      <c r="C103" s="5">
        <f t="shared" si="74"/>
        <v>32492460.029999997</v>
      </c>
      <c r="D103" s="5">
        <v>28178182</v>
      </c>
      <c r="E103" s="5">
        <v>6314896.8374737995</v>
      </c>
      <c r="F103" s="5" t="str">
        <f t="shared" si="75"/>
        <v>ingen</v>
      </c>
      <c r="G103" s="5">
        <f t="shared" si="76"/>
        <v>28178182</v>
      </c>
      <c r="H103" s="5">
        <f t="shared" si="77"/>
        <v>33801983.74359283</v>
      </c>
      <c r="I103" s="5">
        <f t="shared" si="78"/>
        <v>40400047.05892012</v>
      </c>
      <c r="J103" s="5">
        <f t="shared" si="79"/>
        <v>42255438.34359283</v>
      </c>
      <c r="K103" s="5">
        <f t="shared" si="80"/>
        <v>48853501.658920124</v>
      </c>
      <c r="L103" s="5">
        <f>'Potentialer og krav'!R56</f>
        <v>0</v>
      </c>
      <c r="M103" s="5">
        <f t="shared" si="98"/>
        <v>161654.03</v>
      </c>
      <c r="N103" s="5">
        <f t="shared" si="99"/>
        <v>747326.58069</v>
      </c>
      <c r="O103" s="5">
        <f t="shared" si="100"/>
        <v>21863285.1625262</v>
      </c>
      <c r="P103" s="5">
        <f t="shared" si="101"/>
        <v>648098.186</v>
      </c>
      <c r="Q103" s="5">
        <f t="shared" si="102"/>
        <v>28826280.185999997</v>
      </c>
      <c r="R103" s="5">
        <f t="shared" si="103"/>
        <v>33239786.610689994</v>
      </c>
      <c r="S103" s="5">
        <f t="shared" si="104"/>
        <v>648098.186</v>
      </c>
      <c r="T103" s="5">
        <f t="shared" si="105"/>
        <v>28826280.185999997</v>
      </c>
      <c r="U103" s="20">
        <f t="shared" si="81"/>
        <v>4413506.424689997</v>
      </c>
      <c r="V103" s="20" t="str">
        <f t="shared" si="106"/>
        <v>ingen</v>
      </c>
      <c r="X103" s="19" t="s">
        <v>99</v>
      </c>
      <c r="Y103" s="19">
        <v>251</v>
      </c>
      <c r="Z103" s="19">
        <v>231</v>
      </c>
      <c r="AA103" s="19">
        <v>9</v>
      </c>
      <c r="AB103" s="19">
        <v>1</v>
      </c>
      <c r="AC103" s="19">
        <v>0</v>
      </c>
      <c r="AD103" s="19">
        <v>0</v>
      </c>
      <c r="AE103" s="19">
        <v>56</v>
      </c>
      <c r="AF103" s="19">
        <v>3207</v>
      </c>
      <c r="AG103" s="19">
        <v>369</v>
      </c>
      <c r="AH103" s="19">
        <f>400-12</f>
        <v>388</v>
      </c>
      <c r="AI103" s="19">
        <v>12</v>
      </c>
      <c r="AJ103" s="19">
        <v>0</v>
      </c>
      <c r="AK103" s="20">
        <v>18720</v>
      </c>
      <c r="AL103" s="5">
        <v>18662424.32359283</v>
      </c>
      <c r="AM103" s="21">
        <f t="shared" si="107"/>
        <v>6707495</v>
      </c>
      <c r="AN103" s="19">
        <f t="shared" si="108"/>
        <v>757288</v>
      </c>
      <c r="AO103" s="19">
        <f t="shared" si="109"/>
        <v>77160.42</v>
      </c>
      <c r="AP103" s="19">
        <f t="shared" si="110"/>
        <v>5270720.000000001</v>
      </c>
      <c r="AQ103" s="19">
        <f t="shared" si="111"/>
        <v>2326896</v>
      </c>
      <c r="AR103" s="19"/>
      <c r="AS103" s="19">
        <f t="shared" si="112"/>
        <v>33801983.74359283</v>
      </c>
      <c r="AT103" s="21">
        <f t="shared" si="113"/>
        <v>40400047.05892012</v>
      </c>
      <c r="AU103" s="5">
        <v>33.39980904301889</v>
      </c>
      <c r="AX103" s="5" t="str">
        <f t="shared" si="82"/>
        <v>Vordingborg Spildevand A/S</v>
      </c>
      <c r="AY103" s="5">
        <f t="shared" si="83"/>
        <v>55.21103277593965</v>
      </c>
      <c r="AZ103" s="5">
        <f t="shared" si="84"/>
        <v>19.843495135907244</v>
      </c>
      <c r="BA103" s="5">
        <f t="shared" si="85"/>
        <v>2.240365552934579</v>
      </c>
      <c r="BB103" s="5">
        <f t="shared" si="86"/>
        <v>0.22827186885037704</v>
      </c>
      <c r="BC103" s="5">
        <f t="shared" si="87"/>
        <v>15.59293099476467</v>
      </c>
      <c r="BD103" s="5">
        <f t="shared" si="88"/>
        <v>6.883903671603485</v>
      </c>
      <c r="BF103" s="5">
        <f t="shared" si="97"/>
        <v>24.717200219302732</v>
      </c>
      <c r="BH103" s="5">
        <f t="shared" si="89"/>
        <v>-6.5697494306464534</v>
      </c>
      <c r="BI103" s="5">
        <f t="shared" si="90"/>
        <v>-3.3330074343307956</v>
      </c>
      <c r="BJ103" s="5">
        <f t="shared" si="91"/>
        <v>-0.12900686770359604</v>
      </c>
      <c r="BK103" s="5">
        <f t="shared" si="92"/>
        <v>0.6028754862402217</v>
      </c>
      <c r="BL103" s="5">
        <f t="shared" si="93"/>
        <v>9.142390573939773</v>
      </c>
      <c r="BM103" s="5">
        <f t="shared" si="94"/>
        <v>0.28649767250083613</v>
      </c>
      <c r="BO103" s="5">
        <f t="shared" si="95"/>
        <v>7.18852269350603</v>
      </c>
      <c r="BP103" s="5">
        <f t="shared" si="96"/>
        <v>0</v>
      </c>
    </row>
    <row r="104" spans="1:68" ht="15">
      <c r="A104" s="4" t="s">
        <v>100</v>
      </c>
      <c r="B104" s="5">
        <v>6055442</v>
      </c>
      <c r="C104" s="5">
        <f t="shared" si="74"/>
        <v>6085719.209999999</v>
      </c>
      <c r="D104" s="5">
        <v>6067226.5184384</v>
      </c>
      <c r="E104" s="5">
        <v>2386280.5951587935</v>
      </c>
      <c r="F104" s="5" t="str">
        <f t="shared" si="75"/>
        <v>ingen</v>
      </c>
      <c r="G104" s="5">
        <f t="shared" si="76"/>
        <v>6067226.5184384</v>
      </c>
      <c r="H104" s="5">
        <f t="shared" si="77"/>
        <v>5690969.071201191</v>
      </c>
      <c r="I104" s="5">
        <f t="shared" si="78"/>
        <v>6175835.846857349</v>
      </c>
      <c r="J104" s="5">
        <f t="shared" si="79"/>
        <v>7511137.026732711</v>
      </c>
      <c r="K104" s="5">
        <f t="shared" si="80"/>
        <v>7996003.802388869</v>
      </c>
      <c r="L104" s="5">
        <f>'Potentialer og krav'!R57</f>
        <v>302246.81038792536</v>
      </c>
      <c r="M104" s="5">
        <f t="shared" si="98"/>
        <v>30277.21</v>
      </c>
      <c r="N104" s="5">
        <f t="shared" si="99"/>
        <v>139971.54182999997</v>
      </c>
      <c r="O104" s="5">
        <f t="shared" si="100"/>
        <v>3680945.9232796063</v>
      </c>
      <c r="P104" s="5">
        <f t="shared" si="101"/>
        <v>139546.2099240832</v>
      </c>
      <c r="Q104" s="5">
        <f t="shared" si="102"/>
        <v>6206772.728362482</v>
      </c>
      <c r="R104" s="5">
        <f t="shared" si="103"/>
        <v>6225690.751829999</v>
      </c>
      <c r="S104" s="5">
        <f t="shared" si="104"/>
        <v>139546.2099240832</v>
      </c>
      <c r="T104" s="5">
        <f t="shared" si="105"/>
        <v>6206772.728362482</v>
      </c>
      <c r="U104" s="20">
        <f t="shared" si="81"/>
        <v>18918.023467516527</v>
      </c>
      <c r="V104" s="20" t="str">
        <f t="shared" si="106"/>
        <v>ingen</v>
      </c>
      <c r="X104" s="19" t="s">
        <v>100</v>
      </c>
      <c r="Y104" s="19">
        <v>37</v>
      </c>
      <c r="Z104" s="19">
        <v>22</v>
      </c>
      <c r="AA104" s="19"/>
      <c r="AB104" s="19"/>
      <c r="AC104" s="19"/>
      <c r="AD104" s="19"/>
      <c r="AE104" s="19">
        <v>3</v>
      </c>
      <c r="AF104" s="19">
        <v>250</v>
      </c>
      <c r="AG104" s="19">
        <v>53</v>
      </c>
      <c r="AH104" s="19">
        <v>78</v>
      </c>
      <c r="AI104" s="19"/>
      <c r="AJ104" s="19"/>
      <c r="AK104" s="20">
        <v>3879</v>
      </c>
      <c r="AL104" s="5">
        <v>3765470.371201191</v>
      </c>
      <c r="AM104" s="21">
        <f t="shared" si="107"/>
        <v>678875</v>
      </c>
      <c r="AN104" s="19">
        <f t="shared" si="108"/>
        <v>40569</v>
      </c>
      <c r="AO104" s="19">
        <f t="shared" si="109"/>
        <v>6015</v>
      </c>
      <c r="AP104" s="19">
        <f t="shared" si="110"/>
        <v>717880.0000000001</v>
      </c>
      <c r="AQ104" s="19">
        <f t="shared" si="111"/>
        <v>482159.7</v>
      </c>
      <c r="AR104" s="19"/>
      <c r="AS104" s="19">
        <f t="shared" si="112"/>
        <v>5690969.071201191</v>
      </c>
      <c r="AT104" s="21">
        <f t="shared" si="113"/>
        <v>6175835.846857349</v>
      </c>
      <c r="AU104" s="5">
        <v>24.938410320874027</v>
      </c>
      <c r="AX104" s="5" t="str">
        <f t="shared" si="82"/>
        <v>Ærø Vand A/S</v>
      </c>
      <c r="AY104" s="5">
        <f t="shared" si="83"/>
        <v>66.16571490883915</v>
      </c>
      <c r="AZ104" s="5">
        <f t="shared" si="84"/>
        <v>11.928987690961216</v>
      </c>
      <c r="BA104" s="5">
        <f t="shared" si="85"/>
        <v>0.7128662885429653</v>
      </c>
      <c r="BB104" s="5">
        <f t="shared" si="86"/>
        <v>0.10569377420163023</v>
      </c>
      <c r="BC104" s="5">
        <f t="shared" si="87"/>
        <v>12.614371841041782</v>
      </c>
      <c r="BD104" s="5">
        <f t="shared" si="88"/>
        <v>8.472365496413262</v>
      </c>
      <c r="BF104" s="5">
        <f t="shared" si="97"/>
        <v>21.79960362599801</v>
      </c>
      <c r="BH104" s="5">
        <f t="shared" si="89"/>
        <v>-17.524431563545953</v>
      </c>
      <c r="BI104" s="5">
        <f t="shared" si="90"/>
        <v>4.5815000106152315</v>
      </c>
      <c r="BJ104" s="5">
        <f t="shared" si="91"/>
        <v>1.3984923966880178</v>
      </c>
      <c r="BK104" s="5">
        <f t="shared" si="92"/>
        <v>0.7254535808889684</v>
      </c>
      <c r="BL104" s="5">
        <f t="shared" si="93"/>
        <v>12.12094972766266</v>
      </c>
      <c r="BM104" s="5">
        <f t="shared" si="94"/>
        <v>-1.3019641523089414</v>
      </c>
      <c r="BO104" s="5">
        <f t="shared" si="95"/>
        <v>10.106119286810753</v>
      </c>
      <c r="BP104" s="5">
        <f t="shared" si="96"/>
        <v>0</v>
      </c>
    </row>
    <row r="105" spans="1:68" ht="15">
      <c r="A105" s="4" t="s">
        <v>101</v>
      </c>
      <c r="B105" s="5">
        <v>113588743</v>
      </c>
      <c r="C105" s="5">
        <f t="shared" si="74"/>
        <v>114156686.71499999</v>
      </c>
      <c r="D105" s="5">
        <v>106373783.508174</v>
      </c>
      <c r="E105" s="5">
        <v>32923813.557885043</v>
      </c>
      <c r="F105" s="5" t="str">
        <f t="shared" si="75"/>
        <v>ingen</v>
      </c>
      <c r="G105" s="5">
        <f t="shared" si="76"/>
        <v>106373783.508174</v>
      </c>
      <c r="H105" s="5">
        <f t="shared" si="77"/>
        <v>110960967.7150898</v>
      </c>
      <c r="I105" s="5">
        <f t="shared" si="78"/>
        <v>139253423.74556863</v>
      </c>
      <c r="J105" s="5">
        <f t="shared" si="79"/>
        <v>142873102.767542</v>
      </c>
      <c r="K105" s="5">
        <f t="shared" si="80"/>
        <v>171165558.79802084</v>
      </c>
      <c r="L105" s="5">
        <f>'Potentialer og krav'!R58</f>
        <v>3490692.842172654</v>
      </c>
      <c r="M105" s="5">
        <f t="shared" si="98"/>
        <v>567943.715</v>
      </c>
      <c r="N105" s="5">
        <f t="shared" si="99"/>
        <v>2625603.7944449997</v>
      </c>
      <c r="O105" s="5">
        <f t="shared" si="100"/>
        <v>73449969.95028895</v>
      </c>
      <c r="P105" s="5">
        <f t="shared" si="101"/>
        <v>2446597.020688002</v>
      </c>
      <c r="Q105" s="5">
        <f t="shared" si="102"/>
        <v>108820380.528862</v>
      </c>
      <c r="R105" s="5">
        <f t="shared" si="103"/>
        <v>116782290.50944498</v>
      </c>
      <c r="S105" s="5">
        <f t="shared" si="104"/>
        <v>2446597.020688002</v>
      </c>
      <c r="T105" s="5">
        <f t="shared" si="105"/>
        <v>108820380.528862</v>
      </c>
      <c r="U105" s="20">
        <f t="shared" si="81"/>
        <v>7961909.980582982</v>
      </c>
      <c r="V105" s="20" t="str">
        <f t="shared" si="106"/>
        <v>ingen</v>
      </c>
      <c r="X105" s="19" t="s">
        <v>101</v>
      </c>
      <c r="Y105" s="19">
        <v>184</v>
      </c>
      <c r="Z105" s="19">
        <v>242</v>
      </c>
      <c r="AA105" s="19">
        <v>57</v>
      </c>
      <c r="AB105" s="19">
        <v>3</v>
      </c>
      <c r="AC105" s="19">
        <v>3</v>
      </c>
      <c r="AD105" s="19">
        <v>0</v>
      </c>
      <c r="AE105" s="19">
        <v>87</v>
      </c>
      <c r="AF105" s="19">
        <v>8830</v>
      </c>
      <c r="AG105" s="19">
        <v>440</v>
      </c>
      <c r="AH105" s="19">
        <v>1677</v>
      </c>
      <c r="AI105" s="19">
        <v>59</v>
      </c>
      <c r="AJ105" s="19">
        <v>135</v>
      </c>
      <c r="AK105" s="20">
        <v>49780</v>
      </c>
      <c r="AL105" s="5">
        <v>61561227.9150898</v>
      </c>
      <c r="AM105" s="21">
        <f t="shared" si="107"/>
        <v>12077155</v>
      </c>
      <c r="AN105" s="19">
        <f t="shared" si="108"/>
        <v>1176501</v>
      </c>
      <c r="AO105" s="19">
        <f t="shared" si="109"/>
        <v>212449.8</v>
      </c>
      <c r="AP105" s="19">
        <f t="shared" si="110"/>
        <v>29745980</v>
      </c>
      <c r="AQ105" s="19">
        <f t="shared" si="111"/>
        <v>6187654</v>
      </c>
      <c r="AR105" s="19"/>
      <c r="AS105" s="19">
        <f t="shared" si="112"/>
        <v>110960967.7150898</v>
      </c>
      <c r="AT105" s="21">
        <f t="shared" si="113"/>
        <v>139253423.74556863</v>
      </c>
      <c r="AU105" s="5">
        <v>37.99820398600003</v>
      </c>
      <c r="AX105" s="5" t="str">
        <f t="shared" si="82"/>
        <v>Aalborg Forsyning, Kloak A/S</v>
      </c>
      <c r="AY105" s="5">
        <f t="shared" si="83"/>
        <v>55.48007482519276</v>
      </c>
      <c r="AZ105" s="5">
        <f t="shared" si="84"/>
        <v>10.884147145336769</v>
      </c>
      <c r="BA105" s="5">
        <f t="shared" si="85"/>
        <v>1.0602836512933596</v>
      </c>
      <c r="BB105" s="5">
        <f t="shared" si="86"/>
        <v>0.19146354287887896</v>
      </c>
      <c r="BC105" s="5">
        <f t="shared" si="87"/>
        <v>26.807606866206868</v>
      </c>
      <c r="BD105" s="5">
        <f t="shared" si="88"/>
        <v>5.576423969091366</v>
      </c>
      <c r="BF105" s="5">
        <f t="shared" si="97"/>
        <v>33.444314486591594</v>
      </c>
      <c r="BH105" s="5">
        <f t="shared" si="89"/>
        <v>-6.838791479899562</v>
      </c>
      <c r="BI105" s="5">
        <f t="shared" si="90"/>
        <v>5.626340556239679</v>
      </c>
      <c r="BJ105" s="5">
        <f t="shared" si="91"/>
        <v>1.0510750339376236</v>
      </c>
      <c r="BK105" s="5">
        <f t="shared" si="92"/>
        <v>0.6396838122117197</v>
      </c>
      <c r="BL105" s="5">
        <f t="shared" si="93"/>
        <v>-2.0722852975024253</v>
      </c>
      <c r="BM105" s="5">
        <f t="shared" si="94"/>
        <v>1.5939773750129547</v>
      </c>
      <c r="BO105" s="5">
        <f t="shared" si="95"/>
        <v>-1.5385915737828313</v>
      </c>
      <c r="BP105" s="5">
        <f t="shared" si="96"/>
        <v>0</v>
      </c>
    </row>
    <row r="106" spans="1:68" ht="15">
      <c r="A106" s="4" t="s">
        <v>102</v>
      </c>
      <c r="B106" s="5">
        <v>131477484</v>
      </c>
      <c r="C106" s="5">
        <f t="shared" si="74"/>
        <v>132134871.41999999</v>
      </c>
      <c r="D106" s="5">
        <v>160772226.8690412</v>
      </c>
      <c r="E106" s="5">
        <v>58942205.05287769</v>
      </c>
      <c r="F106" s="5">
        <f t="shared" si="75"/>
        <v>28637355.449041218</v>
      </c>
      <c r="G106" s="5">
        <f t="shared" si="76"/>
        <v>132134871.41999999</v>
      </c>
      <c r="H106" s="5">
        <f t="shared" si="77"/>
        <v>154436501.89245</v>
      </c>
      <c r="I106" s="5">
        <f t="shared" si="78"/>
        <v>192867830.6314843</v>
      </c>
      <c r="J106" s="5">
        <f t="shared" si="79"/>
        <v>194076963.31845</v>
      </c>
      <c r="K106" s="5">
        <f t="shared" si="80"/>
        <v>232508292.0574843</v>
      </c>
      <c r="L106" s="5" t="e">
        <f>'Potentialer og krav'!#REF!</f>
        <v>#REF!</v>
      </c>
      <c r="M106" s="5">
        <f t="shared" si="98"/>
        <v>657387.42</v>
      </c>
      <c r="N106" s="5">
        <f t="shared" si="99"/>
        <v>3039102.04266</v>
      </c>
      <c r="O106" s="5">
        <f t="shared" si="100"/>
        <v>101830021.81616351</v>
      </c>
      <c r="P106" s="5">
        <f t="shared" si="101"/>
        <v>3039102.04266</v>
      </c>
      <c r="Q106" s="5">
        <f t="shared" si="102"/>
        <v>135173973.46265998</v>
      </c>
      <c r="R106" s="5">
        <f t="shared" si="103"/>
        <v>135173973.46265998</v>
      </c>
      <c r="S106" s="5">
        <f t="shared" si="104"/>
        <v>3697761.2179879476</v>
      </c>
      <c r="T106" s="5">
        <f t="shared" si="105"/>
        <v>164469988.08702913</v>
      </c>
      <c r="U106" s="20">
        <f t="shared" si="81"/>
        <v>-29296014.624369144</v>
      </c>
      <c r="V106" s="20" t="str">
        <f t="shared" si="106"/>
        <v>tal til venstre</v>
      </c>
      <c r="X106" s="19" t="s">
        <v>102</v>
      </c>
      <c r="Y106" s="19">
        <v>545</v>
      </c>
      <c r="Z106" s="19">
        <v>152</v>
      </c>
      <c r="AA106" s="19">
        <v>12</v>
      </c>
      <c r="AB106" s="19">
        <v>2</v>
      </c>
      <c r="AC106" s="19">
        <v>0</v>
      </c>
      <c r="AD106" s="19">
        <v>0</v>
      </c>
      <c r="AE106" s="19">
        <v>311</v>
      </c>
      <c r="AF106" s="19">
        <v>39517</v>
      </c>
      <c r="AG106" s="19">
        <v>273</v>
      </c>
      <c r="AH106" s="19">
        <v>1885</v>
      </c>
      <c r="AI106" s="19">
        <v>189</v>
      </c>
      <c r="AJ106" s="19">
        <v>165</v>
      </c>
      <c r="AK106" s="20">
        <v>78343</v>
      </c>
      <c r="AL106" s="5">
        <v>86658417.97245002</v>
      </c>
      <c r="AM106" s="21">
        <f t="shared" si="107"/>
        <v>7948157</v>
      </c>
      <c r="AN106" s="19">
        <f t="shared" si="108"/>
        <v>4205653</v>
      </c>
      <c r="AO106" s="19">
        <f t="shared" si="109"/>
        <v>950779.0199999999</v>
      </c>
      <c r="AP106" s="19">
        <f t="shared" si="110"/>
        <v>44935460</v>
      </c>
      <c r="AQ106" s="19">
        <f t="shared" si="111"/>
        <v>9738034.9</v>
      </c>
      <c r="AR106" s="19"/>
      <c r="AS106" s="19">
        <f t="shared" si="112"/>
        <v>154436501.89245</v>
      </c>
      <c r="AT106" s="21">
        <f t="shared" si="113"/>
        <v>192867830.6314843</v>
      </c>
      <c r="AU106" s="5">
        <v>37.5268260707104</v>
      </c>
      <c r="AX106" s="5" t="str">
        <f t="shared" si="82"/>
        <v>Århus Vand A/S</v>
      </c>
      <c r="AY106" s="5">
        <f t="shared" si="83"/>
        <v>56.11265271522349</v>
      </c>
      <c r="AZ106" s="5">
        <f t="shared" si="84"/>
        <v>5.146553374755353</v>
      </c>
      <c r="BA106" s="5">
        <f t="shared" si="85"/>
        <v>2.7232247224356505</v>
      </c>
      <c r="BB106" s="5">
        <f t="shared" si="86"/>
        <v>0.6156439755817087</v>
      </c>
      <c r="BC106" s="5">
        <f t="shared" si="87"/>
        <v>29.09639848699317</v>
      </c>
      <c r="BD106" s="5">
        <f>(AQ106/SUM($AL106:$AQ106))*100</f>
        <v>6.305526725010642</v>
      </c>
      <c r="BF106" s="5">
        <f>BA106+BC106+BD106</f>
        <v>38.12514993443946</v>
      </c>
      <c r="BH106" s="5">
        <f t="shared" si="89"/>
        <v>-7.471369369930294</v>
      </c>
      <c r="BI106" s="5">
        <f t="shared" si="90"/>
        <v>11.363934326821095</v>
      </c>
      <c r="BJ106" s="5">
        <f t="shared" si="91"/>
        <v>-0.6118660372046674</v>
      </c>
      <c r="BK106" s="5">
        <f t="shared" si="92"/>
        <v>0.21550337950888998</v>
      </c>
      <c r="BL106" s="5">
        <f t="shared" si="93"/>
        <v>-4.3610769182887275</v>
      </c>
      <c r="BM106" s="5">
        <f t="shared" si="94"/>
        <v>0.8648746190936789</v>
      </c>
      <c r="BO106" s="5">
        <f t="shared" si="95"/>
        <v>-6.2194270216307</v>
      </c>
      <c r="BP106" s="5">
        <f t="shared" si="96"/>
        <v>0</v>
      </c>
    </row>
    <row r="107" spans="1:46" ht="15">
      <c r="A107" s="4"/>
      <c r="U107" s="20"/>
      <c r="V107" s="20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20"/>
      <c r="AM107" s="21"/>
      <c r="AN107" s="19"/>
      <c r="AO107" s="19"/>
      <c r="AP107" s="19"/>
      <c r="AQ107" s="19"/>
      <c r="AR107" s="19"/>
      <c r="AS107" s="19"/>
      <c r="AT107" s="21"/>
    </row>
    <row r="108" spans="1:45" ht="15.75">
      <c r="A108" s="5" t="s">
        <v>177</v>
      </c>
      <c r="B108" s="5">
        <v>1574909</v>
      </c>
      <c r="C108" s="5">
        <f t="shared" si="74"/>
        <v>1582783.545</v>
      </c>
      <c r="D108" s="26">
        <v>956145</v>
      </c>
      <c r="E108" s="25">
        <v>0</v>
      </c>
      <c r="L108" s="5">
        <v>0</v>
      </c>
      <c r="Y108" s="5">
        <v>33</v>
      </c>
      <c r="Z108" s="5">
        <v>4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120</v>
      </c>
      <c r="AG108" s="5">
        <v>20</v>
      </c>
      <c r="AH108" s="5">
        <v>30</v>
      </c>
      <c r="AI108" s="5">
        <v>0</v>
      </c>
      <c r="AJ108" s="5">
        <v>0</v>
      </c>
      <c r="AK108" s="5">
        <v>2494</v>
      </c>
      <c r="AL108" s="5">
        <v>992395.2906158165</v>
      </c>
      <c r="AM108" s="21">
        <f>7983*Y108+17432*Z108+67697*(AA108+AB108)+775973*(AC108+AD108)</f>
        <v>333167</v>
      </c>
      <c r="AN108" s="19">
        <f>AE108*13523</f>
        <v>0</v>
      </c>
      <c r="AO108" s="19">
        <f>AF108*24.06</f>
        <v>2887.2</v>
      </c>
      <c r="AP108" s="19">
        <f>5.48*(AG108+AH108)*1000+93.53*(AI108+AJ108)*1000</f>
        <v>274000</v>
      </c>
      <c r="AQ108" s="19">
        <f>124.3*AK108</f>
        <v>310004.2</v>
      </c>
      <c r="AS108" s="19">
        <f t="shared" si="112"/>
        <v>1912453.6906158165</v>
      </c>
    </row>
    <row r="110" spans="50:58" ht="15">
      <c r="AX110" s="27" t="s">
        <v>158</v>
      </c>
      <c r="AY110" s="28">
        <v>48.641283345293196</v>
      </c>
      <c r="AZ110" s="28">
        <v>16.510487701576448</v>
      </c>
      <c r="BA110" s="28">
        <v>2.111358685230983</v>
      </c>
      <c r="BB110" s="28">
        <v>0.8311473550905987</v>
      </c>
      <c r="BC110" s="28">
        <v>24.735321568704443</v>
      </c>
      <c r="BD110" s="28">
        <v>7.170401344104321</v>
      </c>
      <c r="BE110" s="28"/>
      <c r="BF110" s="29">
        <v>31.905722912808763</v>
      </c>
    </row>
    <row r="111" spans="50:58" ht="15">
      <c r="AX111" s="30" t="s">
        <v>159</v>
      </c>
      <c r="AY111" s="5">
        <v>689.4206777704003</v>
      </c>
      <c r="AZ111" s="5">
        <v>102.6096693799502</v>
      </c>
      <c r="BA111" s="5">
        <v>3.1092878386135707</v>
      </c>
      <c r="BB111" s="5">
        <v>1.441259952648922</v>
      </c>
      <c r="BC111" s="5">
        <v>378.4688815584033</v>
      </c>
      <c r="BD111" s="5">
        <v>23.530934754238523</v>
      </c>
      <c r="BF111" s="31">
        <v>501.6696526998812</v>
      </c>
    </row>
    <row r="112" spans="1:58" ht="15.75">
      <c r="A112" s="5" t="s">
        <v>177</v>
      </c>
      <c r="B112" s="19">
        <v>1912453.6906158165</v>
      </c>
      <c r="C112" s="26">
        <v>956145</v>
      </c>
      <c r="D112" s="25">
        <f>C112/B112</f>
        <v>0.49995720403149635</v>
      </c>
      <c r="AX112" s="30" t="s">
        <v>160</v>
      </c>
      <c r="AY112" s="5">
        <v>26.256821547369366</v>
      </c>
      <c r="AZ112" s="5">
        <v>10.129643102298827</v>
      </c>
      <c r="BA112" s="5">
        <v>1.763317282457576</v>
      </c>
      <c r="BB112" s="5">
        <v>1.2005248654854768</v>
      </c>
      <c r="BC112" s="5">
        <v>19.45427669070231</v>
      </c>
      <c r="BD112" s="5">
        <v>4.850869484354173</v>
      </c>
      <c r="BF112" s="31">
        <v>22.39798322840432</v>
      </c>
    </row>
    <row r="113" spans="1:58" ht="15">
      <c r="A113" s="4" t="s">
        <v>51</v>
      </c>
      <c r="B113" s="5">
        <v>53978112</v>
      </c>
      <c r="C113" s="19">
        <v>88156195.4305153</v>
      </c>
      <c r="D113" s="25">
        <f aca="true" t="shared" si="114" ref="D113:D144">B113/C113</f>
        <v>0.6123008341772818</v>
      </c>
      <c r="AX113" s="32" t="s">
        <v>161</v>
      </c>
      <c r="AY113" s="33">
        <v>-26.256821547369366</v>
      </c>
      <c r="AZ113" s="33">
        <v>-10.129643102298827</v>
      </c>
      <c r="BA113" s="33">
        <v>-1.763317282457576</v>
      </c>
      <c r="BB113" s="33">
        <v>-1.2005248654854768</v>
      </c>
      <c r="BC113" s="33">
        <v>-19.45427669070231</v>
      </c>
      <c r="BD113" s="33">
        <v>-4.850869484354173</v>
      </c>
      <c r="BE113" s="33"/>
      <c r="BF113" s="34">
        <v>-22.39798322840432</v>
      </c>
    </row>
    <row r="114" spans="1:4" ht="15">
      <c r="A114" s="4" t="s">
        <v>98</v>
      </c>
      <c r="B114" s="5">
        <v>28105158</v>
      </c>
      <c r="C114" s="19">
        <v>43452301.1240885</v>
      </c>
      <c r="D114" s="25">
        <f t="shared" si="114"/>
        <v>0.6468048244381571</v>
      </c>
    </row>
    <row r="115" spans="1:4" ht="15">
      <c r="A115" s="2" t="s">
        <v>29</v>
      </c>
      <c r="B115" s="5">
        <v>36472926</v>
      </c>
      <c r="C115" s="19">
        <v>53690789.14100843</v>
      </c>
      <c r="D115" s="25">
        <f t="shared" si="114"/>
        <v>0.6793143960728709</v>
      </c>
    </row>
    <row r="116" spans="1:4" ht="15">
      <c r="A116" s="4" t="s">
        <v>90</v>
      </c>
      <c r="B116" s="5">
        <v>28408613.36</v>
      </c>
      <c r="C116" s="19">
        <v>41722509.92039508</v>
      </c>
      <c r="D116" s="25">
        <f t="shared" si="114"/>
        <v>0.6808941603513913</v>
      </c>
    </row>
    <row r="117" spans="1:4" ht="15">
      <c r="A117" s="4" t="s">
        <v>85</v>
      </c>
      <c r="B117" s="5">
        <v>11621016</v>
      </c>
      <c r="C117" s="19">
        <v>17025855.24365536</v>
      </c>
      <c r="D117" s="25">
        <f t="shared" si="114"/>
        <v>0.6825510867849379</v>
      </c>
    </row>
    <row r="118" spans="1:4" ht="15">
      <c r="A118" s="2" t="s">
        <v>19</v>
      </c>
      <c r="B118" s="5">
        <v>52219000</v>
      </c>
      <c r="C118" s="19">
        <v>75743818.12532808</v>
      </c>
      <c r="D118" s="25">
        <f t="shared" si="114"/>
        <v>0.6894159984593966</v>
      </c>
    </row>
    <row r="119" spans="1:4" ht="15">
      <c r="A119" s="4" t="s">
        <v>71</v>
      </c>
      <c r="B119" s="5">
        <v>14182607</v>
      </c>
      <c r="C119" s="19">
        <v>20388931.305796113</v>
      </c>
      <c r="D119" s="25">
        <f t="shared" si="114"/>
        <v>0.6956032558689432</v>
      </c>
    </row>
    <row r="120" spans="1:4" ht="15">
      <c r="A120" s="4" t="s">
        <v>89</v>
      </c>
      <c r="B120" s="5">
        <v>42033000</v>
      </c>
      <c r="C120" s="19">
        <v>60350910.546929136</v>
      </c>
      <c r="D120" s="25">
        <f t="shared" si="114"/>
        <v>0.6964766499639629</v>
      </c>
    </row>
    <row r="121" spans="1:4" ht="15">
      <c r="A121" s="4" t="s">
        <v>37</v>
      </c>
      <c r="B121" s="5">
        <v>47505473</v>
      </c>
      <c r="C121" s="19">
        <v>68183535.0741502</v>
      </c>
      <c r="D121" s="25">
        <f t="shared" si="114"/>
        <v>0.6967293929295009</v>
      </c>
    </row>
    <row r="122" spans="1:4" ht="15">
      <c r="A122" s="2" t="s">
        <v>13</v>
      </c>
      <c r="B122" s="5">
        <v>61966713</v>
      </c>
      <c r="C122" s="19">
        <v>88114758.10738167</v>
      </c>
      <c r="D122" s="25">
        <f t="shared" si="114"/>
        <v>0.7032501062362769</v>
      </c>
    </row>
    <row r="123" spans="1:4" ht="15">
      <c r="A123" s="4" t="s">
        <v>40</v>
      </c>
      <c r="B123" s="5">
        <v>10088807</v>
      </c>
      <c r="C123" s="19">
        <v>14193433.718356542</v>
      </c>
      <c r="D123" s="25">
        <f t="shared" si="114"/>
        <v>0.71080805393497</v>
      </c>
    </row>
    <row r="124" spans="1:4" ht="15">
      <c r="A124" s="2" t="s">
        <v>8</v>
      </c>
      <c r="B124" s="5">
        <v>5501030</v>
      </c>
      <c r="C124" s="19">
        <v>7727092.5</v>
      </c>
      <c r="D124" s="25">
        <f t="shared" si="114"/>
        <v>0.7119146043612135</v>
      </c>
    </row>
    <row r="125" spans="1:4" ht="15">
      <c r="A125" s="4" t="s">
        <v>80</v>
      </c>
      <c r="B125" s="5">
        <v>27581000</v>
      </c>
      <c r="C125" s="19">
        <v>37963858.72948311</v>
      </c>
      <c r="D125" s="25">
        <f t="shared" si="114"/>
        <v>0.7265067599300784</v>
      </c>
    </row>
    <row r="126" spans="1:13" ht="15">
      <c r="A126" s="2" t="s">
        <v>21</v>
      </c>
      <c r="B126" s="5">
        <v>60664750</v>
      </c>
      <c r="C126" s="19">
        <v>81774235.80290097</v>
      </c>
      <c r="D126" s="25">
        <f t="shared" si="114"/>
        <v>0.7418565200195719</v>
      </c>
      <c r="M126" s="25"/>
    </row>
    <row r="127" spans="1:4" ht="15">
      <c r="A127" s="3" t="s">
        <v>103</v>
      </c>
      <c r="B127" s="5">
        <v>44699666</v>
      </c>
      <c r="C127" s="19">
        <v>59768850.25150751</v>
      </c>
      <c r="D127" s="25">
        <f t="shared" si="114"/>
        <v>0.7478756210284063</v>
      </c>
    </row>
    <row r="128" spans="1:4" ht="15">
      <c r="A128" s="2" t="s">
        <v>6</v>
      </c>
      <c r="B128" s="5">
        <v>18314206</v>
      </c>
      <c r="C128" s="19">
        <v>24290164.73290362</v>
      </c>
      <c r="D128" s="25">
        <f t="shared" si="114"/>
        <v>0.7539761957724171</v>
      </c>
    </row>
    <row r="129" spans="1:4" ht="15">
      <c r="A129" s="4" t="s">
        <v>35</v>
      </c>
      <c r="B129" s="5">
        <v>45346597</v>
      </c>
      <c r="C129" s="19">
        <v>59020155.28609191</v>
      </c>
      <c r="D129" s="25">
        <f t="shared" si="114"/>
        <v>0.7683239188407543</v>
      </c>
    </row>
    <row r="130" spans="1:4" ht="15">
      <c r="A130" s="4" t="s">
        <v>46</v>
      </c>
      <c r="B130" s="5">
        <v>21252106</v>
      </c>
      <c r="C130" s="19">
        <v>27163174.38683273</v>
      </c>
      <c r="D130" s="25">
        <f t="shared" si="114"/>
        <v>0.7823866863771967</v>
      </c>
    </row>
    <row r="131" spans="1:4" ht="15">
      <c r="A131" s="4" t="s">
        <v>77</v>
      </c>
      <c r="B131" s="5">
        <v>41722000</v>
      </c>
      <c r="C131" s="19">
        <v>53249522.695407964</v>
      </c>
      <c r="D131" s="25">
        <f t="shared" si="114"/>
        <v>0.7835187601333738</v>
      </c>
    </row>
    <row r="132" spans="1:4" ht="15">
      <c r="A132" s="4" t="s">
        <v>76</v>
      </c>
      <c r="B132" s="5">
        <v>4429781</v>
      </c>
      <c r="C132" s="19">
        <v>5522142.146257664</v>
      </c>
      <c r="D132" s="25">
        <f t="shared" si="114"/>
        <v>0.8021852539601949</v>
      </c>
    </row>
    <row r="133" spans="1:4" ht="15">
      <c r="A133" s="4" t="s">
        <v>64</v>
      </c>
      <c r="B133" s="5">
        <v>24766353</v>
      </c>
      <c r="C133" s="19">
        <v>30614483.635087598</v>
      </c>
      <c r="D133" s="25">
        <f t="shared" si="114"/>
        <v>0.8089750359733329</v>
      </c>
    </row>
    <row r="134" spans="1:4" ht="15">
      <c r="A134" s="4" t="s">
        <v>96</v>
      </c>
      <c r="B134" s="5">
        <v>74886684</v>
      </c>
      <c r="C134" s="19">
        <v>90018320.67124085</v>
      </c>
      <c r="D134" s="25">
        <f t="shared" si="114"/>
        <v>0.8319049215936426</v>
      </c>
    </row>
    <row r="135" spans="1:4" ht="15">
      <c r="A135" s="4" t="s">
        <v>53</v>
      </c>
      <c r="B135" s="5">
        <v>11692950</v>
      </c>
      <c r="C135" s="19">
        <v>13973098.318244955</v>
      </c>
      <c r="D135" s="25">
        <f t="shared" si="114"/>
        <v>0.8368187021723221</v>
      </c>
    </row>
    <row r="136" spans="1:4" ht="15">
      <c r="A136" s="2" t="s">
        <v>30</v>
      </c>
      <c r="B136" s="5">
        <v>39574727</v>
      </c>
      <c r="C136" s="19">
        <v>47282526.81711181</v>
      </c>
      <c r="D136" s="25">
        <f t="shared" si="114"/>
        <v>0.8369841813461983</v>
      </c>
    </row>
    <row r="137" spans="1:4" ht="15">
      <c r="A137" s="2" t="s">
        <v>12</v>
      </c>
      <c r="B137" s="5">
        <v>55681418</v>
      </c>
      <c r="C137" s="19">
        <v>66081858.96405048</v>
      </c>
      <c r="D137" s="25">
        <f t="shared" si="114"/>
        <v>0.8426127665429558</v>
      </c>
    </row>
    <row r="138" spans="1:4" ht="15">
      <c r="A138" s="4" t="s">
        <v>102</v>
      </c>
      <c r="B138" s="5">
        <v>131477484</v>
      </c>
      <c r="C138" s="19">
        <v>154436501.89245</v>
      </c>
      <c r="D138" s="25">
        <f t="shared" si="114"/>
        <v>0.8513368432260999</v>
      </c>
    </row>
    <row r="139" spans="1:4" ht="15">
      <c r="A139" s="2" t="s">
        <v>16</v>
      </c>
      <c r="B139" s="5">
        <v>33589762</v>
      </c>
      <c r="C139" s="19">
        <v>39322262.505242996</v>
      </c>
      <c r="D139" s="25">
        <f t="shared" si="114"/>
        <v>0.8542174295164563</v>
      </c>
    </row>
    <row r="140" spans="1:4" ht="15">
      <c r="A140" s="2" t="s">
        <v>32</v>
      </c>
      <c r="B140" s="5">
        <v>30123727</v>
      </c>
      <c r="C140" s="19">
        <v>34942244.25787762</v>
      </c>
      <c r="D140" s="25">
        <f t="shared" si="114"/>
        <v>0.8621005215830893</v>
      </c>
    </row>
    <row r="141" spans="1:4" ht="15">
      <c r="A141" s="2" t="s">
        <v>5</v>
      </c>
      <c r="B141" s="5">
        <v>28014707</v>
      </c>
      <c r="C141" s="19">
        <v>32403800.60844338</v>
      </c>
      <c r="D141" s="25">
        <f t="shared" si="114"/>
        <v>0.8645500365380064</v>
      </c>
    </row>
    <row r="142" spans="1:4" ht="15">
      <c r="A142" s="2" t="s">
        <v>10</v>
      </c>
      <c r="B142" s="5">
        <v>7078903</v>
      </c>
      <c r="C142" s="19">
        <v>8110533.776826253</v>
      </c>
      <c r="D142" s="25">
        <f t="shared" si="114"/>
        <v>0.8728035903415049</v>
      </c>
    </row>
    <row r="143" spans="1:4" ht="15">
      <c r="A143" s="4" t="s">
        <v>50</v>
      </c>
      <c r="B143" s="5">
        <v>13962592</v>
      </c>
      <c r="C143" s="19">
        <v>15938080.349456046</v>
      </c>
      <c r="D143" s="25">
        <f t="shared" si="114"/>
        <v>0.8760523032798321</v>
      </c>
    </row>
    <row r="144" spans="1:4" ht="15">
      <c r="A144" s="2" t="s">
        <v>28</v>
      </c>
      <c r="B144" s="5">
        <v>30792854</v>
      </c>
      <c r="C144" s="19">
        <v>34946825.50547621</v>
      </c>
      <c r="D144" s="25">
        <f t="shared" si="114"/>
        <v>0.8811345109207337</v>
      </c>
    </row>
    <row r="145" spans="1:4" ht="15">
      <c r="A145" s="4" t="s">
        <v>70</v>
      </c>
      <c r="B145" s="5">
        <v>41514313</v>
      </c>
      <c r="C145" s="19">
        <v>46537853.652060166</v>
      </c>
      <c r="D145" s="25">
        <f aca="true" t="shared" si="115" ref="D145:D176">B145/C145</f>
        <v>0.8920547412947185</v>
      </c>
    </row>
    <row r="146" spans="1:4" ht="15">
      <c r="A146" s="2" t="s">
        <v>15</v>
      </c>
      <c r="B146" s="5">
        <v>27352691</v>
      </c>
      <c r="C146" s="19">
        <v>30296858.867613565</v>
      </c>
      <c r="D146" s="25">
        <f t="shared" si="115"/>
        <v>0.9028226694893182</v>
      </c>
    </row>
    <row r="147" spans="1:4" ht="15">
      <c r="A147" s="4" t="s">
        <v>57</v>
      </c>
      <c r="B147" s="5">
        <v>172350635</v>
      </c>
      <c r="C147" s="19">
        <v>190491809.19256216</v>
      </c>
      <c r="D147" s="25">
        <f t="shared" si="115"/>
        <v>0.9047666444585876</v>
      </c>
    </row>
    <row r="148" spans="1:4" ht="15">
      <c r="A148" s="4" t="s">
        <v>93</v>
      </c>
      <c r="B148" s="5">
        <v>125891519</v>
      </c>
      <c r="C148" s="19">
        <v>138745860.0414827</v>
      </c>
      <c r="D148" s="25">
        <f t="shared" si="115"/>
        <v>0.9073533362534965</v>
      </c>
    </row>
    <row r="149" spans="1:4" ht="15">
      <c r="A149" s="4" t="s">
        <v>55</v>
      </c>
      <c r="B149" s="5">
        <v>25522255</v>
      </c>
      <c r="C149" s="19">
        <v>27801307.73675913</v>
      </c>
      <c r="D149" s="25">
        <f t="shared" si="115"/>
        <v>0.918023541973684</v>
      </c>
    </row>
    <row r="150" spans="1:4" ht="15">
      <c r="A150" s="4" t="s">
        <v>79</v>
      </c>
      <c r="B150" s="5">
        <v>32037722</v>
      </c>
      <c r="C150" s="19">
        <v>34843690.45113882</v>
      </c>
      <c r="D150" s="25">
        <f t="shared" si="115"/>
        <v>0.9194698261060028</v>
      </c>
    </row>
    <row r="151" spans="1:4" ht="15">
      <c r="A151" s="4" t="s">
        <v>97</v>
      </c>
      <c r="B151" s="5">
        <v>47162094</v>
      </c>
      <c r="C151" s="19">
        <v>51218392.92219788</v>
      </c>
      <c r="D151" s="25">
        <f t="shared" si="115"/>
        <v>0.9208038618400326</v>
      </c>
    </row>
    <row r="152" spans="1:4" ht="15">
      <c r="A152" s="4" t="s">
        <v>87</v>
      </c>
      <c r="B152" s="5">
        <v>23819006</v>
      </c>
      <c r="C152" s="19">
        <v>25630568.908940278</v>
      </c>
      <c r="D152" s="25">
        <f t="shared" si="115"/>
        <v>0.9293202224509195</v>
      </c>
    </row>
    <row r="153" spans="1:4" ht="15">
      <c r="A153" s="4" t="s">
        <v>56</v>
      </c>
      <c r="B153" s="5">
        <v>33554894</v>
      </c>
      <c r="C153" s="19">
        <v>36048504.734850004</v>
      </c>
      <c r="D153" s="25">
        <f t="shared" si="115"/>
        <v>0.9308262366721886</v>
      </c>
    </row>
    <row r="154" spans="1:4" ht="15">
      <c r="A154" s="4" t="s">
        <v>47</v>
      </c>
      <c r="B154" s="5">
        <v>24072037</v>
      </c>
      <c r="C154" s="19">
        <v>25496792.754082415</v>
      </c>
      <c r="D154" s="25">
        <f t="shared" si="115"/>
        <v>0.9441201970842278</v>
      </c>
    </row>
    <row r="155" spans="1:4" ht="15">
      <c r="A155" s="4" t="s">
        <v>81</v>
      </c>
      <c r="B155" s="5">
        <v>10433840</v>
      </c>
      <c r="C155" s="19">
        <v>10964979.046491107</v>
      </c>
      <c r="D155" s="25">
        <f t="shared" si="115"/>
        <v>0.9515604139105878</v>
      </c>
    </row>
    <row r="156" spans="1:4" ht="15">
      <c r="A156" s="4" t="s">
        <v>44</v>
      </c>
      <c r="B156" s="5">
        <v>24931940</v>
      </c>
      <c r="C156" s="19">
        <v>26129261.927389253</v>
      </c>
      <c r="D156" s="25">
        <f t="shared" si="115"/>
        <v>0.9541769709869151</v>
      </c>
    </row>
    <row r="157" spans="1:4" ht="15">
      <c r="A157" s="4" t="s">
        <v>99</v>
      </c>
      <c r="B157" s="5">
        <v>32330806</v>
      </c>
      <c r="C157" s="19">
        <v>33801983.74359283</v>
      </c>
      <c r="D157" s="25">
        <f t="shared" si="115"/>
        <v>0.9564765856716415</v>
      </c>
    </row>
    <row r="158" spans="1:4" ht="15">
      <c r="A158" s="4" t="s">
        <v>95</v>
      </c>
      <c r="B158" s="5">
        <v>22033861</v>
      </c>
      <c r="C158" s="19">
        <v>22696122.198769253</v>
      </c>
      <c r="D158" s="25">
        <f t="shared" si="115"/>
        <v>0.9708205131709607</v>
      </c>
    </row>
    <row r="159" spans="1:4" ht="15">
      <c r="A159" s="4" t="s">
        <v>94</v>
      </c>
      <c r="B159" s="5">
        <v>32404308</v>
      </c>
      <c r="C159" s="19">
        <v>32688318.79345519</v>
      </c>
      <c r="D159" s="25">
        <f t="shared" si="115"/>
        <v>0.991311550916713</v>
      </c>
    </row>
    <row r="160" spans="1:4" ht="15">
      <c r="A160" s="4" t="s">
        <v>49</v>
      </c>
      <c r="B160" s="5">
        <v>101685019</v>
      </c>
      <c r="C160" s="19">
        <v>101822782.84000002</v>
      </c>
      <c r="D160" s="25">
        <f t="shared" si="115"/>
        <v>0.998647023424841</v>
      </c>
    </row>
    <row r="161" spans="1:4" ht="15">
      <c r="A161" s="2" t="s">
        <v>17</v>
      </c>
      <c r="B161" s="5">
        <v>42667062</v>
      </c>
      <c r="C161" s="19">
        <v>42583092.27201131</v>
      </c>
      <c r="D161" s="25">
        <f t="shared" si="115"/>
        <v>1.001971903013814</v>
      </c>
    </row>
    <row r="162" spans="1:4" ht="15">
      <c r="A162" s="4" t="s">
        <v>61</v>
      </c>
      <c r="B162" s="5">
        <v>21120308</v>
      </c>
      <c r="C162" s="19">
        <v>21072754.178806704</v>
      </c>
      <c r="D162" s="25">
        <f t="shared" si="115"/>
        <v>1.0022566495480274</v>
      </c>
    </row>
    <row r="163" spans="1:4" ht="15">
      <c r="A163" s="4" t="s">
        <v>41</v>
      </c>
      <c r="B163" s="5">
        <v>5991325</v>
      </c>
      <c r="C163" s="19">
        <v>5951190.710618698</v>
      </c>
      <c r="D163" s="25">
        <f t="shared" si="115"/>
        <v>1.0067439091322834</v>
      </c>
    </row>
    <row r="164" spans="1:4" ht="15">
      <c r="A164" s="4" t="s">
        <v>66</v>
      </c>
      <c r="B164" s="5">
        <v>12959401</v>
      </c>
      <c r="C164" s="19">
        <v>12862913.816481266</v>
      </c>
      <c r="D164" s="25">
        <f t="shared" si="115"/>
        <v>1.0075011917902383</v>
      </c>
    </row>
    <row r="165" spans="1:4" ht="15">
      <c r="A165" s="4" t="s">
        <v>101</v>
      </c>
      <c r="B165" s="5">
        <v>113588743</v>
      </c>
      <c r="C165" s="19">
        <v>110960967.7150898</v>
      </c>
      <c r="D165" s="25">
        <f t="shared" si="115"/>
        <v>1.023681978798684</v>
      </c>
    </row>
    <row r="166" spans="1:4" ht="15">
      <c r="A166" s="2" t="s">
        <v>7</v>
      </c>
      <c r="B166" s="5">
        <v>31261886</v>
      </c>
      <c r="C166" s="19">
        <v>30389948.582175776</v>
      </c>
      <c r="D166" s="25">
        <f t="shared" si="115"/>
        <v>1.0286916384694258</v>
      </c>
    </row>
    <row r="167" spans="1:4" ht="15">
      <c r="A167" s="4" t="s">
        <v>38</v>
      </c>
      <c r="B167" s="5">
        <v>38756342</v>
      </c>
      <c r="C167" s="19">
        <v>37547341.64368646</v>
      </c>
      <c r="D167" s="25">
        <f t="shared" si="115"/>
        <v>1.032199359618761</v>
      </c>
    </row>
    <row r="168" spans="1:4" ht="15">
      <c r="A168" s="4" t="s">
        <v>68</v>
      </c>
      <c r="B168" s="5">
        <v>58486408</v>
      </c>
      <c r="C168" s="19">
        <v>56412004.10225323</v>
      </c>
      <c r="D168" s="25">
        <f t="shared" si="115"/>
        <v>1.0367723843667507</v>
      </c>
    </row>
    <row r="169" spans="1:4" ht="15">
      <c r="A169" s="4" t="s">
        <v>48</v>
      </c>
      <c r="B169" s="5">
        <v>16393853</v>
      </c>
      <c r="C169" s="19">
        <v>15695716.28</v>
      </c>
      <c r="D169" s="25">
        <f t="shared" si="115"/>
        <v>1.0444794431516062</v>
      </c>
    </row>
    <row r="170" spans="1:4" ht="15">
      <c r="A170" s="4" t="s">
        <v>74</v>
      </c>
      <c r="B170" s="5">
        <v>22826574</v>
      </c>
      <c r="C170" s="19">
        <v>21601554.120736256</v>
      </c>
      <c r="D170" s="25">
        <f t="shared" si="115"/>
        <v>1.0567098030269866</v>
      </c>
    </row>
    <row r="171" spans="1:4" ht="15">
      <c r="A171" s="4" t="s">
        <v>60</v>
      </c>
      <c r="B171" s="5">
        <v>27205472</v>
      </c>
      <c r="C171" s="19">
        <v>25703257.872439306</v>
      </c>
      <c r="D171" s="25">
        <f t="shared" si="115"/>
        <v>1.0584445028336842</v>
      </c>
    </row>
    <row r="172" spans="1:4" ht="15">
      <c r="A172" s="4" t="s">
        <v>54</v>
      </c>
      <c r="B172" s="5">
        <v>21240607</v>
      </c>
      <c r="C172" s="19">
        <v>20003602.842049003</v>
      </c>
      <c r="D172" s="25">
        <f t="shared" si="115"/>
        <v>1.0618390680778127</v>
      </c>
    </row>
    <row r="173" spans="1:4" ht="15">
      <c r="A173" s="4" t="s">
        <v>100</v>
      </c>
      <c r="B173" s="5">
        <v>6055442</v>
      </c>
      <c r="C173" s="19">
        <v>5690969.071201191</v>
      </c>
      <c r="D173" s="25">
        <f t="shared" si="115"/>
        <v>1.064044088843006</v>
      </c>
    </row>
    <row r="174" spans="1:4" ht="15">
      <c r="A174" s="4" t="s">
        <v>91</v>
      </c>
      <c r="B174" s="5">
        <v>24779983</v>
      </c>
      <c r="C174" s="19">
        <v>23254913.209983416</v>
      </c>
      <c r="D174" s="25">
        <f t="shared" si="115"/>
        <v>1.0655805410343078</v>
      </c>
    </row>
    <row r="175" spans="1:4" ht="15">
      <c r="A175" s="4" t="s">
        <v>84</v>
      </c>
      <c r="B175" s="5">
        <v>19495989</v>
      </c>
      <c r="C175" s="19">
        <v>18069893.764306016</v>
      </c>
      <c r="D175" s="25">
        <f t="shared" si="115"/>
        <v>1.0789210636374074</v>
      </c>
    </row>
    <row r="176" spans="1:4" ht="15">
      <c r="A176" s="4" t="s">
        <v>62</v>
      </c>
      <c r="B176" s="5">
        <v>34105625</v>
      </c>
      <c r="C176" s="19">
        <v>31446510.373953465</v>
      </c>
      <c r="D176" s="25">
        <f t="shared" si="115"/>
        <v>1.0845599271405653</v>
      </c>
    </row>
    <row r="177" spans="1:4" ht="15">
      <c r="A177" s="4" t="s">
        <v>33</v>
      </c>
      <c r="B177" s="5">
        <v>51160217</v>
      </c>
      <c r="C177" s="19">
        <v>47088992.86832868</v>
      </c>
      <c r="D177" s="25">
        <f aca="true" t="shared" si="116" ref="D177:D208">B177/C177</f>
        <v>1.0864580846537824</v>
      </c>
    </row>
    <row r="178" spans="1:4" ht="15">
      <c r="A178" s="4" t="s">
        <v>78</v>
      </c>
      <c r="B178" s="5">
        <v>69094392</v>
      </c>
      <c r="C178" s="19">
        <v>61484399.462404825</v>
      </c>
      <c r="D178" s="25">
        <f t="shared" si="116"/>
        <v>1.123771112739718</v>
      </c>
    </row>
    <row r="179" spans="1:4" ht="15">
      <c r="A179" s="4" t="s">
        <v>67</v>
      </c>
      <c r="B179" s="5">
        <v>22285730</v>
      </c>
      <c r="C179" s="19">
        <v>19730166.194255717</v>
      </c>
      <c r="D179" s="25">
        <f t="shared" si="116"/>
        <v>1.1295257110651362</v>
      </c>
    </row>
    <row r="180" spans="1:4" ht="15">
      <c r="A180" s="4" t="s">
        <v>86</v>
      </c>
      <c r="B180" s="5">
        <v>45930143</v>
      </c>
      <c r="C180" s="19">
        <v>40386624.23107235</v>
      </c>
      <c r="D180" s="25">
        <f t="shared" si="116"/>
        <v>1.1372612560339375</v>
      </c>
    </row>
    <row r="181" spans="1:4" ht="15">
      <c r="A181" s="4" t="s">
        <v>69</v>
      </c>
      <c r="B181" s="5">
        <v>13708607</v>
      </c>
      <c r="C181" s="19">
        <v>12018172.206933687</v>
      </c>
      <c r="D181" s="25">
        <f t="shared" si="116"/>
        <v>1.140656562741799</v>
      </c>
    </row>
    <row r="182" spans="1:4" ht="15">
      <c r="A182" s="2" t="s">
        <v>22</v>
      </c>
      <c r="B182" s="5">
        <v>38787002</v>
      </c>
      <c r="C182" s="19">
        <v>33734950.3775925</v>
      </c>
      <c r="D182" s="25">
        <f t="shared" si="116"/>
        <v>1.1497571973831386</v>
      </c>
    </row>
    <row r="183" spans="1:4" ht="15">
      <c r="A183" s="4" t="s">
        <v>65</v>
      </c>
      <c r="B183" s="5">
        <v>52804591</v>
      </c>
      <c r="C183" s="19">
        <v>45673172.78557603</v>
      </c>
      <c r="D183" s="25">
        <f t="shared" si="116"/>
        <v>1.1561401973956171</v>
      </c>
    </row>
    <row r="184" spans="1:4" ht="15">
      <c r="A184" s="4" t="s">
        <v>58</v>
      </c>
      <c r="B184" s="5">
        <v>14367167</v>
      </c>
      <c r="C184" s="19">
        <v>12403536.256</v>
      </c>
      <c r="D184" s="25">
        <f t="shared" si="116"/>
        <v>1.1583121702933812</v>
      </c>
    </row>
    <row r="185" spans="1:4" ht="15">
      <c r="A185" s="4" t="s">
        <v>88</v>
      </c>
      <c r="B185" s="5">
        <v>59053671</v>
      </c>
      <c r="C185" s="19">
        <v>50758225.7492495</v>
      </c>
      <c r="D185" s="25">
        <f t="shared" si="116"/>
        <v>1.1634305598412913</v>
      </c>
    </row>
    <row r="186" spans="1:4" ht="15">
      <c r="A186" s="4" t="s">
        <v>83</v>
      </c>
      <c r="B186" s="5">
        <v>54998294</v>
      </c>
      <c r="C186" s="19">
        <v>47072500.51803879</v>
      </c>
      <c r="D186" s="25">
        <f t="shared" si="116"/>
        <v>1.1683741758932893</v>
      </c>
    </row>
    <row r="187" spans="1:4" ht="15">
      <c r="A187" s="4" t="s">
        <v>59</v>
      </c>
      <c r="B187" s="5">
        <v>35738665</v>
      </c>
      <c r="C187" s="19">
        <v>29870031.717237324</v>
      </c>
      <c r="D187" s="25">
        <f t="shared" si="116"/>
        <v>1.1964722815937292</v>
      </c>
    </row>
    <row r="188" spans="1:4" ht="15">
      <c r="A188" s="2" t="s">
        <v>3</v>
      </c>
      <c r="B188" s="5">
        <v>17443635</v>
      </c>
      <c r="C188" s="19">
        <v>14469134.822614111</v>
      </c>
      <c r="D188" s="25">
        <f t="shared" si="116"/>
        <v>1.205575538126646</v>
      </c>
    </row>
    <row r="189" spans="1:4" ht="15">
      <c r="A189" s="2" t="s">
        <v>14</v>
      </c>
      <c r="B189" s="5">
        <v>1468852</v>
      </c>
      <c r="C189" s="19">
        <v>1216882.5</v>
      </c>
      <c r="D189" s="25">
        <f t="shared" si="116"/>
        <v>1.2070614870375735</v>
      </c>
    </row>
    <row r="190" spans="1:4" ht="15">
      <c r="A190" s="2" t="s">
        <v>9</v>
      </c>
      <c r="B190" s="5">
        <v>20943795</v>
      </c>
      <c r="C190" s="19">
        <v>17194612.624584526</v>
      </c>
      <c r="D190" s="25">
        <f t="shared" si="116"/>
        <v>1.2180440151384955</v>
      </c>
    </row>
    <row r="191" spans="1:4" ht="15">
      <c r="A191" s="4" t="s">
        <v>39</v>
      </c>
      <c r="B191" s="5">
        <v>67673131</v>
      </c>
      <c r="C191" s="19">
        <v>54884938.69615806</v>
      </c>
      <c r="D191" s="25">
        <f t="shared" si="116"/>
        <v>1.2330000289266445</v>
      </c>
    </row>
    <row r="192" spans="1:4" ht="15">
      <c r="A192" s="2" t="s">
        <v>20</v>
      </c>
      <c r="B192" s="5">
        <v>20685139</v>
      </c>
      <c r="C192" s="19">
        <v>16276604.94</v>
      </c>
      <c r="D192" s="25">
        <f t="shared" si="116"/>
        <v>1.2708509591681472</v>
      </c>
    </row>
    <row r="193" spans="1:4" ht="15">
      <c r="A193" s="4" t="s">
        <v>63</v>
      </c>
      <c r="B193" s="5">
        <v>16689596</v>
      </c>
      <c r="C193" s="19">
        <v>13008883.253876723</v>
      </c>
      <c r="D193" s="25">
        <f t="shared" si="116"/>
        <v>1.282938410184164</v>
      </c>
    </row>
    <row r="194" spans="1:4" ht="15">
      <c r="A194" s="2" t="s">
        <v>4</v>
      </c>
      <c r="B194" s="5">
        <v>34249005</v>
      </c>
      <c r="C194" s="19">
        <v>26368194.206568934</v>
      </c>
      <c r="D194" s="25">
        <f t="shared" si="116"/>
        <v>1.2988756352328357</v>
      </c>
    </row>
    <row r="195" spans="1:4" ht="15">
      <c r="A195" s="2" t="s">
        <v>31</v>
      </c>
      <c r="B195" s="5">
        <v>32182395</v>
      </c>
      <c r="C195" s="19">
        <v>24594841.566258304</v>
      </c>
      <c r="D195" s="25">
        <f t="shared" si="116"/>
        <v>1.308501821949163</v>
      </c>
    </row>
    <row r="196" spans="1:4" ht="15">
      <c r="A196" s="4" t="s">
        <v>72</v>
      </c>
      <c r="B196" s="5">
        <v>16539133</v>
      </c>
      <c r="C196" s="19">
        <v>12614168.587022785</v>
      </c>
      <c r="D196" s="25">
        <f t="shared" si="116"/>
        <v>1.3111552208851198</v>
      </c>
    </row>
    <row r="197" spans="1:4" ht="15">
      <c r="A197" s="4" t="s">
        <v>52</v>
      </c>
      <c r="B197" s="5">
        <v>39804681</v>
      </c>
      <c r="C197" s="19">
        <v>29705041.64966191</v>
      </c>
      <c r="D197" s="25">
        <f t="shared" si="116"/>
        <v>1.3399974815538775</v>
      </c>
    </row>
    <row r="198" spans="1:4" ht="15">
      <c r="A198" s="4" t="s">
        <v>36</v>
      </c>
      <c r="B198" s="5">
        <v>39665828</v>
      </c>
      <c r="C198" s="19">
        <v>29376159.41827009</v>
      </c>
      <c r="D198" s="25">
        <f t="shared" si="116"/>
        <v>1.3502727649050814</v>
      </c>
    </row>
    <row r="199" spans="1:4" ht="15">
      <c r="A199" s="2" t="s">
        <v>11</v>
      </c>
      <c r="B199" s="5">
        <v>24620277</v>
      </c>
      <c r="C199" s="19">
        <v>18144374.562567793</v>
      </c>
      <c r="D199" s="25">
        <f t="shared" si="116"/>
        <v>1.35690965346318</v>
      </c>
    </row>
    <row r="200" spans="1:4" ht="15">
      <c r="A200" s="4" t="s">
        <v>42</v>
      </c>
      <c r="B200" s="5">
        <v>19051061</v>
      </c>
      <c r="C200" s="19">
        <v>13644830.76</v>
      </c>
      <c r="D200" s="25">
        <f t="shared" si="116"/>
        <v>1.3962108680635625</v>
      </c>
    </row>
    <row r="201" spans="1:4" ht="15">
      <c r="A201" s="4" t="s">
        <v>43</v>
      </c>
      <c r="B201" s="5">
        <v>21087917</v>
      </c>
      <c r="C201" s="19">
        <v>14625443.267854782</v>
      </c>
      <c r="D201" s="25">
        <f t="shared" si="116"/>
        <v>1.4418651533351519</v>
      </c>
    </row>
    <row r="202" spans="1:4" ht="15">
      <c r="A202" s="4" t="s">
        <v>73</v>
      </c>
      <c r="B202" s="5">
        <v>67130389</v>
      </c>
      <c r="C202" s="19">
        <v>46333107.981488384</v>
      </c>
      <c r="D202" s="25">
        <f t="shared" si="116"/>
        <v>1.4488643634012384</v>
      </c>
    </row>
    <row r="203" spans="1:4" ht="15">
      <c r="A203" s="4" t="s">
        <v>45</v>
      </c>
      <c r="B203" s="5">
        <v>8734111</v>
      </c>
      <c r="C203" s="19">
        <v>5981073.2</v>
      </c>
      <c r="D203" s="25">
        <f t="shared" si="116"/>
        <v>1.4602916078672972</v>
      </c>
    </row>
    <row r="204" spans="1:4" ht="15">
      <c r="A204" s="4" t="s">
        <v>82</v>
      </c>
      <c r="B204" s="5">
        <v>22295516</v>
      </c>
      <c r="C204" s="19">
        <v>14612086.824049655</v>
      </c>
      <c r="D204" s="25">
        <f t="shared" si="116"/>
        <v>1.5258269587684345</v>
      </c>
    </row>
    <row r="205" spans="1:4" ht="15">
      <c r="A205" s="2" t="s">
        <v>26</v>
      </c>
      <c r="B205" s="5">
        <v>9227411</v>
      </c>
      <c r="C205" s="19">
        <v>5972280.04</v>
      </c>
      <c r="D205" s="25">
        <f t="shared" si="116"/>
        <v>1.5450399074052796</v>
      </c>
    </row>
    <row r="206" spans="1:4" ht="15">
      <c r="A206" s="2" t="s">
        <v>23</v>
      </c>
      <c r="B206" s="5">
        <v>25327592</v>
      </c>
      <c r="C206" s="19">
        <v>16197717.99807739</v>
      </c>
      <c r="D206" s="25">
        <f t="shared" si="116"/>
        <v>1.563651867689405</v>
      </c>
    </row>
    <row r="207" spans="1:4" ht="15">
      <c r="A207" s="4" t="s">
        <v>75</v>
      </c>
      <c r="B207" s="5">
        <v>8542313</v>
      </c>
      <c r="C207" s="19">
        <v>5307929.899999999</v>
      </c>
      <c r="D207" s="25">
        <f t="shared" si="116"/>
        <v>1.6093492493184587</v>
      </c>
    </row>
    <row r="208" spans="1:4" ht="15">
      <c r="A208" s="2" t="s">
        <v>2</v>
      </c>
      <c r="B208" s="5">
        <v>11112491</v>
      </c>
      <c r="C208" s="19">
        <v>6802767.2</v>
      </c>
      <c r="D208" s="25">
        <f t="shared" si="116"/>
        <v>1.633525104313433</v>
      </c>
    </row>
    <row r="209" spans="1:4" ht="15">
      <c r="A209" s="2" t="s">
        <v>25</v>
      </c>
      <c r="B209" s="5">
        <v>19736830</v>
      </c>
      <c r="C209" s="19">
        <v>11435120.9</v>
      </c>
      <c r="D209" s="25">
        <f aca="true" t="shared" si="117" ref="D209:D215">B209/C209</f>
        <v>1.7259835005329938</v>
      </c>
    </row>
    <row r="210" spans="1:4" ht="15">
      <c r="A210" s="2" t="s">
        <v>27</v>
      </c>
      <c r="B210" s="5">
        <v>43231028</v>
      </c>
      <c r="C210" s="19">
        <v>25006326.353854142</v>
      </c>
      <c r="D210" s="25">
        <f t="shared" si="117"/>
        <v>1.7288036390573998</v>
      </c>
    </row>
    <row r="211" spans="1:4" ht="15">
      <c r="A211" s="2" t="s">
        <v>24</v>
      </c>
      <c r="B211" s="5">
        <v>24292112</v>
      </c>
      <c r="C211" s="19">
        <v>13782968.5</v>
      </c>
      <c r="D211" s="25">
        <f t="shared" si="117"/>
        <v>1.762473156635307</v>
      </c>
    </row>
    <row r="212" spans="1:4" ht="15">
      <c r="A212" s="2" t="s">
        <v>1</v>
      </c>
      <c r="B212" s="5">
        <v>15734024</v>
      </c>
      <c r="C212" s="19">
        <v>8889615.040000001</v>
      </c>
      <c r="D212" s="25">
        <f t="shared" si="117"/>
        <v>1.7699331106243268</v>
      </c>
    </row>
    <row r="213" spans="1:4" ht="15">
      <c r="A213" s="2" t="s">
        <v>18</v>
      </c>
      <c r="B213" s="5">
        <v>26218055</v>
      </c>
      <c r="C213" s="19">
        <v>13987875.714168493</v>
      </c>
      <c r="D213" s="25">
        <f t="shared" si="117"/>
        <v>1.8743414322335883</v>
      </c>
    </row>
    <row r="214" spans="1:4" ht="15">
      <c r="A214" s="4" t="s">
        <v>34</v>
      </c>
      <c r="B214" s="5">
        <v>11337179</v>
      </c>
      <c r="C214" s="19">
        <v>6021709</v>
      </c>
      <c r="D214" s="25">
        <f t="shared" si="117"/>
        <v>1.882717846378827</v>
      </c>
    </row>
    <row r="215" spans="1:4" ht="15">
      <c r="A215" s="4" t="s">
        <v>92</v>
      </c>
      <c r="B215" s="5">
        <v>5329307</v>
      </c>
      <c r="C215" s="19">
        <v>1433307.9000000001</v>
      </c>
      <c r="D215" s="25">
        <f t="shared" si="117"/>
        <v>3.7181871389950474</v>
      </c>
    </row>
  </sheetData>
  <sheetProtection/>
  <conditionalFormatting sqref="U4:U107">
    <cfRule type="cellIs" priority="17" dxfId="12" operator="greaterThan">
      <formula>0</formula>
    </cfRule>
  </conditionalFormatting>
  <conditionalFormatting sqref="V4:V107">
    <cfRule type="cellIs" priority="16" dxfId="12" operator="greaterThan">
      <formula>0</formula>
    </cfRule>
  </conditionalFormatting>
  <conditionalFormatting sqref="AY4:BD106">
    <cfRule type="cellIs" priority="15" dxfId="12" operator="equal">
      <formula>0</formula>
    </cfRule>
  </conditionalFormatting>
  <conditionalFormatting sqref="BH4:BH106">
    <cfRule type="cellIs" priority="14" dxfId="12" operator="between">
      <formula>$AY$112</formula>
      <formula>$AY$113</formula>
    </cfRule>
  </conditionalFormatting>
  <conditionalFormatting sqref="BI4:BI106">
    <cfRule type="cellIs" priority="13" dxfId="12" operator="between">
      <formula>$AZ$112</formula>
      <formula>$AZ$113</formula>
    </cfRule>
  </conditionalFormatting>
  <conditionalFormatting sqref="BJ4:BJ106">
    <cfRule type="cellIs" priority="12" dxfId="12" operator="between">
      <formula>$BA$112</formula>
      <formula>$BA$113</formula>
    </cfRule>
  </conditionalFormatting>
  <conditionalFormatting sqref="BK4:BK106">
    <cfRule type="cellIs" priority="11" dxfId="12" operator="between">
      <formula>$BB$112</formula>
      <formula>$BB$113</formula>
    </cfRule>
  </conditionalFormatting>
  <conditionalFormatting sqref="BL4:BL106">
    <cfRule type="cellIs" priority="10" dxfId="12" operator="between">
      <formula>$BC$112</formula>
      <formula>$BC$113</formula>
    </cfRule>
  </conditionalFormatting>
  <conditionalFormatting sqref="BM4:BM106">
    <cfRule type="cellIs" priority="9" dxfId="12" operator="between">
      <formula>$BD$112</formula>
      <formula>$BD$113</formula>
    </cfRule>
  </conditionalFormatting>
  <conditionalFormatting sqref="BP4:BP106">
    <cfRule type="cellIs" priority="4" dxfId="12" operator="equal">
      <formula>0</formula>
    </cfRule>
  </conditionalFormatting>
  <conditionalFormatting sqref="BO4:BO106">
    <cfRule type="cellIs" priority="1" dxfId="12" operator="greaterThan">
      <formula>$BF$113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AS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N71" sqref="N71"/>
    </sheetView>
  </sheetViews>
  <sheetFormatPr defaultColWidth="9.140625" defaultRowHeight="15"/>
  <cols>
    <col min="1" max="1" width="36.8515625" style="7" bestFit="1" customWidth="1"/>
    <col min="2" max="17" width="12.7109375" style="7" customWidth="1"/>
    <col min="18" max="18" width="12.7109375" style="10" customWidth="1"/>
    <col min="19" max="19" width="12.7109375" style="7" customWidth="1"/>
    <col min="20" max="16384" width="9.140625" style="7" customWidth="1"/>
  </cols>
  <sheetData>
    <row r="1" spans="1:19" ht="30" customHeight="1">
      <c r="A1" s="11" t="s">
        <v>0</v>
      </c>
      <c r="B1" s="8" t="s">
        <v>109</v>
      </c>
      <c r="C1" s="8" t="s">
        <v>110</v>
      </c>
      <c r="D1" s="8" t="s">
        <v>111</v>
      </c>
      <c r="E1" s="8" t="s">
        <v>112</v>
      </c>
      <c r="F1" s="8" t="s">
        <v>113</v>
      </c>
      <c r="G1" s="12" t="s">
        <v>163</v>
      </c>
      <c r="H1" s="12" t="s">
        <v>170</v>
      </c>
      <c r="I1" s="12" t="s">
        <v>164</v>
      </c>
      <c r="J1" s="6" t="s">
        <v>175</v>
      </c>
      <c r="K1" s="12" t="s">
        <v>173</v>
      </c>
      <c r="L1" s="6" t="s">
        <v>176</v>
      </c>
      <c r="M1" s="8" t="s">
        <v>165</v>
      </c>
      <c r="N1" s="8" t="s">
        <v>171</v>
      </c>
      <c r="O1" s="8" t="s">
        <v>166</v>
      </c>
      <c r="P1" s="13" t="s">
        <v>174</v>
      </c>
      <c r="Q1" s="13" t="s">
        <v>168</v>
      </c>
      <c r="R1" s="8" t="s">
        <v>169</v>
      </c>
      <c r="S1" s="8" t="s">
        <v>167</v>
      </c>
    </row>
    <row r="2" spans="1:19" ht="15">
      <c r="A2" s="7" t="s">
        <v>148</v>
      </c>
      <c r="B2" s="10">
        <f>Spildevand!G2</f>
        <v>5501030</v>
      </c>
      <c r="C2" s="10">
        <f>Spildevand!H2</f>
        <v>7727092.5</v>
      </c>
      <c r="D2" s="10">
        <f>Spildevand!I2</f>
        <v>10614709.19504405</v>
      </c>
      <c r="E2" s="10">
        <f>Spildevand!J2</f>
        <v>7727092.5</v>
      </c>
      <c r="F2" s="10">
        <f>Spildevand!K2</f>
        <v>10614709.19504405</v>
      </c>
      <c r="G2" s="14">
        <v>0</v>
      </c>
      <c r="H2" s="14"/>
      <c r="I2" s="14">
        <v>0</v>
      </c>
      <c r="J2" s="14"/>
      <c r="K2" s="14"/>
      <c r="L2" s="14"/>
      <c r="M2" s="10">
        <f>G2*B2</f>
        <v>0</v>
      </c>
      <c r="N2" s="10"/>
      <c r="O2" s="10">
        <f>IF(K2&lt;0,(I2+K2)*B2,I2*B2)</f>
        <v>0</v>
      </c>
      <c r="P2" s="15">
        <v>0</v>
      </c>
      <c r="Q2" s="15">
        <f>IF(P2&lt;0.01,0,IF(P2&lt;0.05,P2,0.05))</f>
        <v>0</v>
      </c>
      <c r="R2" s="10">
        <f>Q2*B2</f>
        <v>0</v>
      </c>
      <c r="S2" s="10">
        <f>B2-M2</f>
        <v>5501030</v>
      </c>
    </row>
    <row r="3" spans="1:19" ht="15">
      <c r="A3" s="7" t="s">
        <v>149</v>
      </c>
      <c r="B3" s="10">
        <f>Spildevand!G3</f>
        <v>28105158</v>
      </c>
      <c r="C3" s="10">
        <f>Spildevand!H3</f>
        <v>43452301.1240885</v>
      </c>
      <c r="D3" s="10">
        <f>Spildevand!I3</f>
        <v>52968673.08136916</v>
      </c>
      <c r="E3" s="10">
        <f>Spildevand!J3</f>
        <v>43452301.1240885</v>
      </c>
      <c r="F3" s="10">
        <f>Spildevand!K3</f>
        <v>52968673.08136916</v>
      </c>
      <c r="G3" s="14">
        <v>0</v>
      </c>
      <c r="H3" s="14"/>
      <c r="I3" s="14">
        <v>0</v>
      </c>
      <c r="J3" s="14"/>
      <c r="K3" s="14"/>
      <c r="L3" s="14"/>
      <c r="M3" s="10">
        <f>G3*B3</f>
        <v>0</v>
      </c>
      <c r="N3" s="10"/>
      <c r="O3" s="10">
        <f>IF(K3&lt;0,(I3+K3)*B3,I3*B3)</f>
        <v>0</v>
      </c>
      <c r="P3" s="15">
        <v>0</v>
      </c>
      <c r="Q3" s="15">
        <f>IF(P3&lt;0.01,0,IF(P3&lt;0.05,P3,0.05))</f>
        <v>0</v>
      </c>
      <c r="R3" s="10">
        <f>Q3*B3</f>
        <v>0</v>
      </c>
      <c r="S3" s="10">
        <f>B3-M3</f>
        <v>28105158</v>
      </c>
    </row>
    <row r="4" spans="1:19" ht="15">
      <c r="A4" s="7" t="s">
        <v>1</v>
      </c>
      <c r="B4" s="10">
        <f>Spildevand!G4</f>
        <v>13817810.9048546</v>
      </c>
      <c r="C4" s="10">
        <f>Spildevand!H4</f>
        <v>8889615.040000001</v>
      </c>
      <c r="D4" s="10">
        <f>Spildevand!I4</f>
        <v>11646775.266583228</v>
      </c>
      <c r="E4" s="10">
        <f>Spildevand!J4</f>
        <v>13034958.31145638</v>
      </c>
      <c r="F4" s="10">
        <f>Spildevand!K4</f>
        <v>15792118.538039608</v>
      </c>
      <c r="G4" s="16">
        <v>0.559200394214639</v>
      </c>
      <c r="H4" s="15"/>
      <c r="I4" s="16">
        <v>0.38984013134745366</v>
      </c>
      <c r="J4" s="16">
        <f>IF(Spildevand!BO4&lt;Spildevand!$BF$113,Spildevand!BO4-Spildevand!$BF$113,0)/100</f>
        <v>-0.298511449556911</v>
      </c>
      <c r="K4" s="16">
        <f>Spildevand!BP4/100</f>
        <v>-0.068224791796232</v>
      </c>
      <c r="L4" s="16">
        <f>IF(K4&lt;0,I4+K4,0)</f>
        <v>0.3216153395512217</v>
      </c>
      <c r="M4" s="10">
        <f>G4*B4</f>
        <v>7726925.305178029</v>
      </c>
      <c r="N4" s="10"/>
      <c r="O4" s="10">
        <f>IF(K4&lt;0,(I4+K4)*B4,I4*B4)</f>
        <v>4444019.946019386</v>
      </c>
      <c r="P4" s="15">
        <f>IF(K4&lt;0,(I4+K4)/4,I4/4)</f>
        <v>0.08040383488780542</v>
      </c>
      <c r="Q4" s="15">
        <f aca="true" t="shared" si="0" ref="Q4:Q19">IF(P4&lt;0.01,0,IF(P4&lt;0.05,P4,0.05))</f>
        <v>0.05</v>
      </c>
      <c r="R4" s="10">
        <f aca="true" t="shared" si="1" ref="R4:R19">Q4*B4</f>
        <v>690890.5452427301</v>
      </c>
      <c r="S4" s="10">
        <f aca="true" t="shared" si="2" ref="S4:S19">B4-M4</f>
        <v>6090885.59967657</v>
      </c>
    </row>
    <row r="5" spans="1:19" ht="15">
      <c r="A5" s="7" t="s">
        <v>2</v>
      </c>
      <c r="B5" s="10">
        <f>Spildevand!G5</f>
        <v>10581388.100063201</v>
      </c>
      <c r="C5" s="10">
        <f>Spildevand!H5</f>
        <v>6905080.2</v>
      </c>
      <c r="D5" s="10">
        <f>Spildevand!I5</f>
        <v>8829145.765591098</v>
      </c>
      <c r="E5" s="10">
        <f>Spildevand!J5</f>
        <v>10079496.63001896</v>
      </c>
      <c r="F5" s="10">
        <f>Spildevand!K5</f>
        <v>12003562.195610058</v>
      </c>
      <c r="G5" s="16">
        <v>0.7459558</v>
      </c>
      <c r="H5" s="15">
        <v>0.5615353</v>
      </c>
      <c r="I5" s="16">
        <v>0.3838741</v>
      </c>
      <c r="J5" s="16">
        <f>IF(Spildevand!BO5&lt;Spildevand!$BF$113,Spildevand!BO5-Spildevand!$BF$113,0)/100</f>
        <v>-0.3132165091530347</v>
      </c>
      <c r="K5" s="16">
        <f>Spildevand!BP5/100</f>
        <v>-0.07158563316692607</v>
      </c>
      <c r="L5" s="16">
        <f aca="true" t="shared" si="3" ref="L5:L35">IF(K5&lt;0,I5+K5,0)</f>
        <v>0.31228846683307393</v>
      </c>
      <c r="M5" s="10">
        <f aca="true" t="shared" si="4" ref="M5:M19">G5*B5</f>
        <v>7893247.825293125</v>
      </c>
      <c r="N5" s="10">
        <f>H5*B5</f>
        <v>5941822.941185419</v>
      </c>
      <c r="O5" s="10">
        <f aca="true" t="shared" si="5" ref="O5:O35">IF(K5&lt;0,(I5+K5)*B5,I5*B5)</f>
        <v>3304445.4667344703</v>
      </c>
      <c r="P5" s="15">
        <f aca="true" t="shared" si="6" ref="P5:P34">IF(K5&lt;0,(I5+K5)/4,I5/4)</f>
        <v>0.07807211670826848</v>
      </c>
      <c r="Q5" s="15">
        <f t="shared" si="0"/>
        <v>0.05</v>
      </c>
      <c r="R5" s="10">
        <f t="shared" si="1"/>
        <v>529069.4050031601</v>
      </c>
      <c r="S5" s="10">
        <f t="shared" si="2"/>
        <v>2688140.2747700764</v>
      </c>
    </row>
    <row r="6" spans="1:19" ht="15">
      <c r="A6" s="7" t="s">
        <v>4</v>
      </c>
      <c r="B6" s="10">
        <f>Spildevand!G7</f>
        <v>33333020.5988472</v>
      </c>
      <c r="C6" s="10">
        <f>Spildevand!H7</f>
        <v>26571356.206568934</v>
      </c>
      <c r="D6" s="10">
        <f>Spildevand!I7</f>
        <v>30009923.645602036</v>
      </c>
      <c r="E6" s="10">
        <f>Spildevand!J7</f>
        <v>36571262.38622309</v>
      </c>
      <c r="F6" s="10">
        <f>Spildevand!K7</f>
        <v>40009829.8252562</v>
      </c>
      <c r="G6" s="16">
        <v>0.48834295158467245</v>
      </c>
      <c r="H6" s="15">
        <v>0.4844007</v>
      </c>
      <c r="I6" s="16">
        <v>0.2903593</v>
      </c>
      <c r="J6" s="16">
        <f>IF(Spildevand!BO7&lt;Spildevand!$BF$113,Spildevand!BO7-Spildevand!$BF$113,0)/100</f>
        <v>0</v>
      </c>
      <c r="K6" s="16">
        <f>Spildevand!BP7/100</f>
        <v>0</v>
      </c>
      <c r="L6" s="16">
        <f t="shared" si="3"/>
        <v>0</v>
      </c>
      <c r="M6" s="10">
        <f t="shared" si="4"/>
        <v>16277945.664473727</v>
      </c>
      <c r="N6" s="10">
        <f>H6*B6</f>
        <v>16146538.511196002</v>
      </c>
      <c r="O6" s="10">
        <f t="shared" si="5"/>
        <v>9678552.527966853</v>
      </c>
      <c r="P6" s="15">
        <f t="shared" si="6"/>
        <v>0.072589825</v>
      </c>
      <c r="Q6" s="15">
        <f t="shared" si="0"/>
        <v>0.05</v>
      </c>
      <c r="R6" s="10">
        <f t="shared" si="1"/>
        <v>1666651.02994236</v>
      </c>
      <c r="S6" s="10">
        <f t="shared" si="2"/>
        <v>17055074.934373472</v>
      </c>
    </row>
    <row r="7" spans="1:19" ht="15">
      <c r="A7" s="7" t="s">
        <v>5</v>
      </c>
      <c r="B7" s="10">
        <f>Spildevand!G9</f>
        <v>26519893.227617998</v>
      </c>
      <c r="C7" s="10">
        <f>Spildevand!H9</f>
        <v>32403800.60844338</v>
      </c>
      <c r="D7" s="10">
        <f>Spildevand!I9</f>
        <v>34967173.46791197</v>
      </c>
      <c r="E7" s="10">
        <f>Spildevand!J9</f>
        <v>40359768.576728776</v>
      </c>
      <c r="F7" s="10">
        <f>Spildevand!K9</f>
        <v>42923141.43619737</v>
      </c>
      <c r="G7" s="16">
        <v>0.20969006636688714</v>
      </c>
      <c r="H7" s="15"/>
      <c r="I7" s="16">
        <v>0.01564861604236556</v>
      </c>
      <c r="J7" s="16">
        <f>IF(Spildevand!BO9&lt;Spildevand!$BF$113,Spildevand!BO9-Spildevand!$BF$113,0)/100</f>
        <v>0</v>
      </c>
      <c r="K7" s="16">
        <f>Spildevand!BP9/100</f>
        <v>0</v>
      </c>
      <c r="L7" s="16">
        <f t="shared" si="3"/>
        <v>0</v>
      </c>
      <c r="M7" s="10">
        <f t="shared" si="4"/>
        <v>5560958.170941979</v>
      </c>
      <c r="N7" s="10"/>
      <c r="O7" s="10">
        <f t="shared" si="5"/>
        <v>414999.6266035248</v>
      </c>
      <c r="P7" s="15">
        <f t="shared" si="6"/>
        <v>0.00391215401059139</v>
      </c>
      <c r="Q7" s="15">
        <f t="shared" si="0"/>
        <v>0</v>
      </c>
      <c r="R7" s="10">
        <f t="shared" si="1"/>
        <v>0</v>
      </c>
      <c r="S7" s="10">
        <f t="shared" si="2"/>
        <v>20958935.05667602</v>
      </c>
    </row>
    <row r="8" spans="1:19" ht="15">
      <c r="A8" s="7" t="s">
        <v>8</v>
      </c>
      <c r="B8" s="10">
        <f>Spildevand!G12</f>
        <v>3716090.0911246003</v>
      </c>
      <c r="C8" s="10">
        <f>Spildevand!H12</f>
        <v>7727092.5</v>
      </c>
      <c r="D8" s="10">
        <f>Spildevand!I12</f>
        <v>10614709.19504405</v>
      </c>
      <c r="E8" s="10">
        <f>Spildevand!J12</f>
        <v>8841919.52733738</v>
      </c>
      <c r="F8" s="10">
        <f>Spildevand!K12</f>
        <v>11729536.22238143</v>
      </c>
      <c r="G8" s="16">
        <v>0</v>
      </c>
      <c r="H8" s="15"/>
      <c r="I8" s="16">
        <v>0</v>
      </c>
      <c r="J8" s="16">
        <f>IF(Spildevand!BO12&lt;Spildevand!$BF$113,Spildevand!BO12-Spildevand!$BF$113,0)/100</f>
        <v>-0.32989159836513976</v>
      </c>
      <c r="K8" s="16">
        <f>Spildevand!BP12/100</f>
        <v>-0.07539672480635269</v>
      </c>
      <c r="L8" s="16">
        <f t="shared" si="3"/>
        <v>-0.07539672480635269</v>
      </c>
      <c r="M8" s="10">
        <f t="shared" si="4"/>
        <v>0</v>
      </c>
      <c r="N8" s="10"/>
      <c r="O8" s="10">
        <f t="shared" si="5"/>
        <v>-280181.0219561356</v>
      </c>
      <c r="P8" s="15">
        <f t="shared" si="6"/>
        <v>-0.018849181201588173</v>
      </c>
      <c r="Q8" s="15">
        <f t="shared" si="0"/>
        <v>0</v>
      </c>
      <c r="R8" s="10">
        <f t="shared" si="1"/>
        <v>0</v>
      </c>
      <c r="S8" s="10">
        <f t="shared" si="2"/>
        <v>3716090.0911246003</v>
      </c>
    </row>
    <row r="9" spans="1:19" ht="15">
      <c r="A9" s="7" t="s">
        <v>9</v>
      </c>
      <c r="B9" s="10">
        <f>Spildevand!G13</f>
        <v>15469946.471336</v>
      </c>
      <c r="C9" s="10">
        <f>Spildevand!H13</f>
        <v>17194612.624584526</v>
      </c>
      <c r="D9" s="10">
        <f>Spildevand!I13</f>
        <v>14677881.051199785</v>
      </c>
      <c r="E9" s="10">
        <f>Spildevand!J13</f>
        <v>21835596.565985326</v>
      </c>
      <c r="F9" s="10">
        <f>Spildevand!K13</f>
        <v>19318864.992600583</v>
      </c>
      <c r="G9" s="16">
        <v>0.2810861</v>
      </c>
      <c r="H9" s="15"/>
      <c r="I9" s="16">
        <v>0.08704468</v>
      </c>
      <c r="J9" s="16">
        <f>IF(Spildevand!BO13&lt;Spildevand!$BF$113,Spildevand!BO13-Spildevand!$BF$113,0)/100</f>
        <v>0</v>
      </c>
      <c r="K9" s="16">
        <f>Spildevand!BP13/100</f>
        <v>0</v>
      </c>
      <c r="L9" s="16">
        <f t="shared" si="3"/>
        <v>0</v>
      </c>
      <c r="M9" s="10">
        <f t="shared" si="4"/>
        <v>4348386.920836598</v>
      </c>
      <c r="N9" s="10"/>
      <c r="O9" s="10">
        <f t="shared" si="5"/>
        <v>1346576.5402145712</v>
      </c>
      <c r="P9" s="15">
        <f t="shared" si="6"/>
        <v>0.02176117</v>
      </c>
      <c r="Q9" s="15">
        <f t="shared" si="0"/>
        <v>0.02176117</v>
      </c>
      <c r="R9" s="10">
        <f t="shared" si="1"/>
        <v>336644.1350536428</v>
      </c>
      <c r="S9" s="10">
        <f t="shared" si="2"/>
        <v>11121559.550499402</v>
      </c>
    </row>
    <row r="10" spans="1:19" ht="15">
      <c r="A10" s="7" t="s">
        <v>11</v>
      </c>
      <c r="B10" s="10">
        <f>Spildevand!G15</f>
        <v>23780252.4239672</v>
      </c>
      <c r="C10" s="10">
        <f>Spildevand!H15</f>
        <v>21757786.562567793</v>
      </c>
      <c r="D10" s="10">
        <f>Spildevand!I15</f>
        <v>25208432.495242756</v>
      </c>
      <c r="E10" s="10">
        <f>Spildevand!J15</f>
        <v>28891862.289757952</v>
      </c>
      <c r="F10" s="10">
        <f>Spildevand!K15</f>
        <v>32342508.222432915</v>
      </c>
      <c r="G10" s="16">
        <v>0.414241</v>
      </c>
      <c r="H10" s="15">
        <v>0.4082047</v>
      </c>
      <c r="I10" s="16">
        <v>0.2141633</v>
      </c>
      <c r="J10" s="16">
        <f>IF(Spildevand!BO15&lt;Spildevand!$BF$113,Spildevand!BO15-Spildevand!$BF$113,0)/100</f>
        <v>0</v>
      </c>
      <c r="K10" s="16">
        <f>Spildevand!BP15/100</f>
        <v>0</v>
      </c>
      <c r="L10" s="16">
        <f t="shared" si="3"/>
        <v>0</v>
      </c>
      <c r="M10" s="10">
        <f t="shared" si="4"/>
        <v>9850755.544356598</v>
      </c>
      <c r="N10" s="10">
        <f>H10*B10</f>
        <v>9707210.806649804</v>
      </c>
      <c r="O10" s="10">
        <f t="shared" si="5"/>
        <v>5092857.333949815</v>
      </c>
      <c r="P10" s="15">
        <f t="shared" si="6"/>
        <v>0.053540825</v>
      </c>
      <c r="Q10" s="15">
        <f t="shared" si="0"/>
        <v>0.05</v>
      </c>
      <c r="R10" s="10">
        <f t="shared" si="1"/>
        <v>1189012.62119836</v>
      </c>
      <c r="S10" s="10">
        <f t="shared" si="2"/>
        <v>13929496.879610604</v>
      </c>
    </row>
    <row r="11" spans="1:19" ht="15">
      <c r="A11" s="7" t="s">
        <v>15</v>
      </c>
      <c r="B11" s="10">
        <f>Spildevand!G19</f>
        <v>25287734.1547376</v>
      </c>
      <c r="C11" s="10">
        <f>Spildevand!H19</f>
        <v>30296858.867613565</v>
      </c>
      <c r="D11" s="10">
        <f>Spildevand!I19</f>
        <v>34615418.40656699</v>
      </c>
      <c r="E11" s="10">
        <f>Spildevand!J19</f>
        <v>37883179.11403485</v>
      </c>
      <c r="F11" s="10">
        <f>Spildevand!K19</f>
        <v>42201738.65298827</v>
      </c>
      <c r="G11" s="16">
        <v>0.22507273200184197</v>
      </c>
      <c r="H11" s="15"/>
      <c r="I11" s="16">
        <v>0.03103128923182441</v>
      </c>
      <c r="J11" s="16">
        <f>IF(Spildevand!BO19&lt;Spildevand!$BF$113,Spildevand!BO19-Spildevand!$BF$113,0)/100</f>
        <v>0</v>
      </c>
      <c r="K11" s="16">
        <f>Spildevand!BP19/100</f>
        <v>0</v>
      </c>
      <c r="L11" s="16">
        <f t="shared" si="3"/>
        <v>0</v>
      </c>
      <c r="M11" s="10">
        <f t="shared" si="4"/>
        <v>5691579.412343081</v>
      </c>
      <c r="N11" s="10"/>
      <c r="O11" s="10">
        <f t="shared" si="5"/>
        <v>784710.9925731472</v>
      </c>
      <c r="P11" s="15">
        <f t="shared" si="6"/>
        <v>0.007757822307956103</v>
      </c>
      <c r="Q11" s="15">
        <f t="shared" si="0"/>
        <v>0</v>
      </c>
      <c r="R11" s="10">
        <f t="shared" si="1"/>
        <v>0</v>
      </c>
      <c r="S11" s="10">
        <f t="shared" si="2"/>
        <v>19596154.742394518</v>
      </c>
    </row>
    <row r="12" spans="1:19" ht="15">
      <c r="A12" s="7" t="s">
        <v>16</v>
      </c>
      <c r="B12" s="10">
        <f>Spildevand!G20</f>
        <v>27286525.2870294</v>
      </c>
      <c r="C12" s="10">
        <f>Spildevand!H20</f>
        <v>39322262.505242996</v>
      </c>
      <c r="D12" s="10">
        <f>Spildevand!I20</f>
        <v>46064533.36442895</v>
      </c>
      <c r="E12" s="10">
        <f>Spildevand!J20</f>
        <v>47508220.091351815</v>
      </c>
      <c r="F12" s="10">
        <f>Spildevand!K20</f>
        <v>54250490.95053777</v>
      </c>
      <c r="G12" s="16">
        <v>0.06789781810404749</v>
      </c>
      <c r="H12" s="15"/>
      <c r="I12" s="16">
        <v>0</v>
      </c>
      <c r="J12" s="16">
        <f>IF(Spildevand!BO20&lt;Spildevand!$BF$113,Spildevand!BO20-Spildevand!$BF$113,0)/100</f>
        <v>0</v>
      </c>
      <c r="K12" s="16">
        <f>Spildevand!BP20/100</f>
        <v>0</v>
      </c>
      <c r="L12" s="16">
        <f t="shared" si="3"/>
        <v>0</v>
      </c>
      <c r="M12" s="10">
        <f t="shared" si="4"/>
        <v>1852695.5306302146</v>
      </c>
      <c r="N12" s="10"/>
      <c r="O12" s="10">
        <f t="shared" si="5"/>
        <v>0</v>
      </c>
      <c r="P12" s="15">
        <f t="shared" si="6"/>
        <v>0</v>
      </c>
      <c r="Q12" s="15">
        <f t="shared" si="0"/>
        <v>0</v>
      </c>
      <c r="R12" s="10">
        <f t="shared" si="1"/>
        <v>0</v>
      </c>
      <c r="S12" s="10">
        <f t="shared" si="2"/>
        <v>25433829.756399184</v>
      </c>
    </row>
    <row r="13" spans="1:19" ht="15">
      <c r="A13" s="7" t="s">
        <v>20</v>
      </c>
      <c r="B13" s="10">
        <f>Spildevand!G24</f>
        <v>17960897</v>
      </c>
      <c r="C13" s="10">
        <f>Spildevand!H24</f>
        <v>16276604.94</v>
      </c>
      <c r="D13" s="10">
        <f>Spildevand!I24</f>
        <v>26846423.90498411</v>
      </c>
      <c r="E13" s="10">
        <f>Spildevand!J24</f>
        <v>21664874.04</v>
      </c>
      <c r="F13" s="10">
        <f>Spildevand!K24</f>
        <v>32234693.00498411</v>
      </c>
      <c r="G13" s="16">
        <v>0.2253699446495131</v>
      </c>
      <c r="H13" s="15"/>
      <c r="I13" s="16">
        <v>0.06989616111270669</v>
      </c>
      <c r="J13" s="16">
        <f>IF(Spildevand!BO24&lt;Spildevand!$BF$113,Spildevand!BO24-Spildevand!$BF$113,0)/100</f>
        <v>-0.15599254223935405</v>
      </c>
      <c r="K13" s="16">
        <f>Spildevand!BP24/100</f>
        <v>-0.03565209552880436</v>
      </c>
      <c r="L13" s="16">
        <f t="shared" si="3"/>
        <v>0.034244065583902326</v>
      </c>
      <c r="M13" s="10">
        <f t="shared" si="4"/>
        <v>4047846.362745606</v>
      </c>
      <c r="N13" s="10"/>
      <c r="O13" s="10">
        <f t="shared" si="5"/>
        <v>615054.1348137145</v>
      </c>
      <c r="P13" s="15">
        <f t="shared" si="6"/>
        <v>0.008561016395975582</v>
      </c>
      <c r="Q13" s="15">
        <f t="shared" si="0"/>
        <v>0</v>
      </c>
      <c r="R13" s="10">
        <f t="shared" si="1"/>
        <v>0</v>
      </c>
      <c r="S13" s="10">
        <f t="shared" si="2"/>
        <v>13913050.637254395</v>
      </c>
    </row>
    <row r="14" spans="1:19" ht="15">
      <c r="A14" s="7" t="s">
        <v>22</v>
      </c>
      <c r="B14" s="10">
        <f>Spildevand!G26</f>
        <v>28755325.2641774</v>
      </c>
      <c r="C14" s="10">
        <f>Spildevand!H26</f>
        <v>33734950.3775925</v>
      </c>
      <c r="D14" s="10">
        <f>Spildevand!I26</f>
        <v>39863428.645959355</v>
      </c>
      <c r="E14" s="10">
        <f>Spildevand!J26</f>
        <v>42361547.956845716</v>
      </c>
      <c r="F14" s="10">
        <f>Spildevand!K26</f>
        <v>48490026.225212574</v>
      </c>
      <c r="G14" s="16">
        <v>0.2411865115594395</v>
      </c>
      <c r="H14" s="15"/>
      <c r="I14" s="16">
        <v>0.047145052427163714</v>
      </c>
      <c r="J14" s="16">
        <f>IF(Spildevand!BO26&lt;Spildevand!$BF$113,Spildevand!BO26-Spildevand!$BF$113,0)/100</f>
        <v>0</v>
      </c>
      <c r="K14" s="16">
        <f>Spildevand!BP26/100</f>
        <v>0</v>
      </c>
      <c r="L14" s="16">
        <f t="shared" si="3"/>
        <v>0</v>
      </c>
      <c r="M14" s="10">
        <f t="shared" si="4"/>
        <v>6935396.589223965</v>
      </c>
      <c r="N14" s="10"/>
      <c r="O14" s="10">
        <f t="shared" si="5"/>
        <v>1355671.3171397888</v>
      </c>
      <c r="P14" s="15">
        <f t="shared" si="6"/>
        <v>0.011786263106790928</v>
      </c>
      <c r="Q14" s="15">
        <f t="shared" si="0"/>
        <v>0.011786263106790928</v>
      </c>
      <c r="R14" s="10">
        <f t="shared" si="1"/>
        <v>338917.8292849472</v>
      </c>
      <c r="S14" s="10">
        <f t="shared" si="2"/>
        <v>21819928.674953435</v>
      </c>
    </row>
    <row r="15" spans="1:19" ht="15">
      <c r="A15" s="7" t="s">
        <v>23</v>
      </c>
      <c r="B15" s="10">
        <f>Spildevand!G27</f>
        <v>21607340.869021602</v>
      </c>
      <c r="C15" s="10">
        <f>Spildevand!H27</f>
        <v>16197717.99807739</v>
      </c>
      <c r="D15" s="10">
        <f>Spildevand!I27</f>
        <v>21550102.464883942</v>
      </c>
      <c r="E15" s="10">
        <f>Spildevand!J27</f>
        <v>22679920.25878387</v>
      </c>
      <c r="F15" s="10">
        <f>Spildevand!K27</f>
        <v>28032304.725590423</v>
      </c>
      <c r="G15" s="16">
        <v>0.47996996462849684</v>
      </c>
      <c r="H15" s="15"/>
      <c r="I15" s="16">
        <v>0.31358235108219035</v>
      </c>
      <c r="J15" s="16">
        <f>IF(Spildevand!BO27&lt;Spildevand!$BF$113,Spildevand!BO27-Spildevand!$BF$113,0)/100</f>
        <v>0</v>
      </c>
      <c r="K15" s="16">
        <f>Spildevand!BP27/100</f>
        <v>0</v>
      </c>
      <c r="L15" s="16">
        <f t="shared" si="3"/>
        <v>0</v>
      </c>
      <c r="M15" s="10">
        <f t="shared" si="4"/>
        <v>10370874.632620173</v>
      </c>
      <c r="N15" s="10"/>
      <c r="O15" s="10">
        <f t="shared" si="5"/>
        <v>6775680.750342092</v>
      </c>
      <c r="P15" s="15">
        <f t="shared" si="6"/>
        <v>0.07839558777054759</v>
      </c>
      <c r="Q15" s="15">
        <f t="shared" si="0"/>
        <v>0.05</v>
      </c>
      <c r="R15" s="10">
        <f t="shared" si="1"/>
        <v>1080367.04345108</v>
      </c>
      <c r="S15" s="10">
        <f t="shared" si="2"/>
        <v>11236466.23640143</v>
      </c>
    </row>
    <row r="16" spans="1:19" ht="15">
      <c r="A16" s="7" t="s">
        <v>25</v>
      </c>
      <c r="B16" s="10">
        <f>Spildevand!G29</f>
        <v>17358966.9210356</v>
      </c>
      <c r="C16" s="10">
        <f>Spildevand!H29</f>
        <v>11435120.9</v>
      </c>
      <c r="D16" s="10">
        <f>Spildevand!I29</f>
        <v>16803566.936479677</v>
      </c>
      <c r="E16" s="10">
        <f>Spildevand!J29</f>
        <v>16642810.97631068</v>
      </c>
      <c r="F16" s="10">
        <f>Spildevand!K29</f>
        <v>22011257.012790356</v>
      </c>
      <c r="G16" s="16">
        <v>0.498335320127932</v>
      </c>
      <c r="H16" s="15"/>
      <c r="I16" s="16">
        <v>0.3380892650164097</v>
      </c>
      <c r="J16" s="16">
        <f>IF(Spildevand!BO29&lt;Spildevand!$BF$113,Spildevand!BO29-Spildevand!$BF$113,0)/100</f>
        <v>-0.275439016090469</v>
      </c>
      <c r="K16" s="16">
        <f>Spildevand!BP29/100</f>
        <v>-0.06295158712747669</v>
      </c>
      <c r="L16" s="16">
        <f t="shared" si="3"/>
        <v>0.275137677888933</v>
      </c>
      <c r="M16" s="10">
        <f t="shared" si="4"/>
        <v>8650586.337684458</v>
      </c>
      <c r="N16" s="10"/>
      <c r="O16" s="10">
        <f t="shared" si="5"/>
        <v>4776105.849204536</v>
      </c>
      <c r="P16" s="15">
        <f t="shared" si="6"/>
        <v>0.06878441947223325</v>
      </c>
      <c r="Q16" s="15">
        <f t="shared" si="0"/>
        <v>0.05</v>
      </c>
      <c r="R16" s="10">
        <f t="shared" si="1"/>
        <v>867948.34605178</v>
      </c>
      <c r="S16" s="10">
        <f t="shared" si="2"/>
        <v>8708380.58335114</v>
      </c>
    </row>
    <row r="17" spans="1:19" ht="15">
      <c r="A17" s="7" t="s">
        <v>26</v>
      </c>
      <c r="B17" s="10">
        <f>Spildevand!G30</f>
        <v>6504271.0323108</v>
      </c>
      <c r="C17" s="10">
        <f>Spildevand!H30</f>
        <v>5972280.04</v>
      </c>
      <c r="D17" s="10">
        <f>Spildevand!I30</f>
        <v>7879826.371792827</v>
      </c>
      <c r="E17" s="10">
        <f>Spildevand!J30</f>
        <v>7923561.34969324</v>
      </c>
      <c r="F17" s="10">
        <f>Spildevand!K30</f>
        <v>9831107.681486066</v>
      </c>
      <c r="G17" s="16">
        <v>0.4357991</v>
      </c>
      <c r="H17" s="15">
        <v>0.3672991</v>
      </c>
      <c r="I17" s="16">
        <v>0.2009115</v>
      </c>
      <c r="J17" s="16">
        <f>IF(Spildevand!BO30&lt;Spildevand!$BF$113,Spildevand!BO30-Spildevand!$BF$113,0)/100</f>
        <v>-0.42734627165857597</v>
      </c>
      <c r="K17" s="16">
        <f>Spildevand!BP30/100</f>
        <v>-0.09766999038756753</v>
      </c>
      <c r="L17" s="16">
        <f t="shared" si="3"/>
        <v>0.10324150961243246</v>
      </c>
      <c r="M17" s="10">
        <f t="shared" si="4"/>
        <v>2834555.462037117</v>
      </c>
      <c r="N17" s="10">
        <f>H17*B17</f>
        <v>2389012.8963238276</v>
      </c>
      <c r="O17" s="10">
        <f t="shared" si="5"/>
        <v>671510.7603041815</v>
      </c>
      <c r="P17" s="15">
        <f t="shared" si="6"/>
        <v>0.025810377403108115</v>
      </c>
      <c r="Q17" s="15">
        <f t="shared" si="0"/>
        <v>0.025810377403108115</v>
      </c>
      <c r="R17" s="10">
        <f t="shared" si="1"/>
        <v>167877.69007604537</v>
      </c>
      <c r="S17" s="10">
        <f t="shared" si="2"/>
        <v>3669715.5702736825</v>
      </c>
    </row>
    <row r="18" spans="1:19" ht="15">
      <c r="A18" s="7" t="s">
        <v>27</v>
      </c>
      <c r="B18" s="10">
        <f>Spildevand!G31</f>
        <v>17710235.9070028</v>
      </c>
      <c r="C18" s="10">
        <f>Spildevand!H31</f>
        <v>25006326.353854142</v>
      </c>
      <c r="D18" s="10">
        <f>Spildevand!I31</f>
        <v>31599775.195375625</v>
      </c>
      <c r="E18" s="10">
        <f>Spildevand!J31</f>
        <v>30319397.125954982</v>
      </c>
      <c r="F18" s="10">
        <f>Spildevand!K31</f>
        <v>36912845.967476465</v>
      </c>
      <c r="G18" s="16">
        <v>0.060187349834033066</v>
      </c>
      <c r="H18" s="15"/>
      <c r="I18" s="16">
        <v>0</v>
      </c>
      <c r="J18" s="16">
        <f>IF(Spildevand!BO31&lt;Spildevand!$BF$113,Spildevand!BO31-Spildevand!$BF$113,0)/100</f>
        <v>0</v>
      </c>
      <c r="K18" s="16">
        <f>Spildevand!BP31/100</f>
        <v>0</v>
      </c>
      <c r="L18" s="16">
        <f t="shared" si="3"/>
        <v>0</v>
      </c>
      <c r="M18" s="10">
        <f t="shared" si="4"/>
        <v>1065932.1641780313</v>
      </c>
      <c r="N18" s="10"/>
      <c r="O18" s="10">
        <f t="shared" si="5"/>
        <v>0</v>
      </c>
      <c r="P18" s="15">
        <f t="shared" si="6"/>
        <v>0</v>
      </c>
      <c r="Q18" s="15">
        <f t="shared" si="0"/>
        <v>0</v>
      </c>
      <c r="R18" s="10">
        <f t="shared" si="1"/>
        <v>0</v>
      </c>
      <c r="S18" s="10">
        <f t="shared" si="2"/>
        <v>16644303.742824769</v>
      </c>
    </row>
    <row r="19" spans="1:19" ht="15">
      <c r="A19" s="7" t="s">
        <v>30</v>
      </c>
      <c r="B19" s="10">
        <f>Spildevand!G34</f>
        <v>36220625.8808114</v>
      </c>
      <c r="C19" s="10">
        <f>Spildevand!H34</f>
        <v>47282526.81711181</v>
      </c>
      <c r="D19" s="10">
        <f>Spildevand!I34</f>
        <v>55854799.88022222</v>
      </c>
      <c r="E19" s="10">
        <f>Spildevand!J34</f>
        <v>58148714.58135523</v>
      </c>
      <c r="F19" s="10">
        <f>Spildevand!K34</f>
        <v>66720987.64446564</v>
      </c>
      <c r="G19" s="16">
        <v>0.1556588043905346</v>
      </c>
      <c r="H19" s="15"/>
      <c r="I19" s="16">
        <v>0</v>
      </c>
      <c r="J19" s="16">
        <f>IF(Spildevand!BO34&lt;Spildevand!$BF$113,Spildevand!BO34-Spildevand!$BF$113,0)/100</f>
        <v>0</v>
      </c>
      <c r="K19" s="16">
        <f>Spildevand!BP34/100</f>
        <v>0</v>
      </c>
      <c r="L19" s="16">
        <f t="shared" si="3"/>
        <v>0</v>
      </c>
      <c r="M19" s="10">
        <f t="shared" si="4"/>
        <v>5638059.318883956</v>
      </c>
      <c r="N19" s="10"/>
      <c r="O19" s="10">
        <f t="shared" si="5"/>
        <v>0</v>
      </c>
      <c r="P19" s="15">
        <f t="shared" si="6"/>
        <v>0</v>
      </c>
      <c r="Q19" s="15">
        <f t="shared" si="0"/>
        <v>0</v>
      </c>
      <c r="R19" s="10">
        <f t="shared" si="1"/>
        <v>0</v>
      </c>
      <c r="S19" s="10">
        <f t="shared" si="2"/>
        <v>30582566.561927445</v>
      </c>
    </row>
    <row r="20" spans="1:19" ht="15">
      <c r="A20" s="7" t="s">
        <v>32</v>
      </c>
      <c r="B20" s="10">
        <f>Spildevand!G36</f>
        <v>26092628.8843108</v>
      </c>
      <c r="C20" s="10">
        <f>Spildevand!H36</f>
        <v>34942244.25787762</v>
      </c>
      <c r="D20" s="10">
        <f>Spildevand!I36</f>
        <v>38681474.32438646</v>
      </c>
      <c r="E20" s="10">
        <f>Spildevand!J36</f>
        <v>42770032.92317086</v>
      </c>
      <c r="F20" s="10">
        <f>Spildevand!K36</f>
        <v>46509262.9896797</v>
      </c>
      <c r="G20" s="16">
        <v>0.13382388334892226</v>
      </c>
      <c r="H20" s="15"/>
      <c r="I20" s="16">
        <v>0</v>
      </c>
      <c r="J20" s="16">
        <f>IF(Spildevand!BO36&lt;Spildevand!$BF$113,Spildevand!BO36-Spildevand!$BF$113,0)/100</f>
        <v>0</v>
      </c>
      <c r="K20" s="16">
        <f>Spildevand!BP36/100</f>
        <v>0</v>
      </c>
      <c r="L20" s="16">
        <f t="shared" si="3"/>
        <v>0</v>
      </c>
      <c r="M20" s="10">
        <f aca="true" t="shared" si="7" ref="M20:M35">G20*B20</f>
        <v>3491816.924080728</v>
      </c>
      <c r="N20" s="10"/>
      <c r="O20" s="10">
        <f t="shared" si="5"/>
        <v>0</v>
      </c>
      <c r="P20" s="15">
        <f t="shared" si="6"/>
        <v>0</v>
      </c>
      <c r="Q20" s="15">
        <f aca="true" t="shared" si="8" ref="Q20:Q35">IF(P20&lt;0.01,0,IF(P20&lt;0.05,P20,0.05))</f>
        <v>0</v>
      </c>
      <c r="R20" s="10">
        <f aca="true" t="shared" si="9" ref="R20:R35">Q20*B20</f>
        <v>0</v>
      </c>
      <c r="S20" s="10">
        <f aca="true" t="shared" si="10" ref="S20:S35">B20-M20</f>
        <v>22600811.96023007</v>
      </c>
    </row>
    <row r="21" spans="1:19" ht="15">
      <c r="A21" s="7" t="s">
        <v>33</v>
      </c>
      <c r="B21" s="10">
        <f>Spildevand!G37</f>
        <v>50245913.4501114</v>
      </c>
      <c r="C21" s="10">
        <f>Spildevand!H37</f>
        <v>47758699.86832868</v>
      </c>
      <c r="D21" s="10">
        <f>Spildevand!I37</f>
        <v>61345245.230160475</v>
      </c>
      <c r="E21" s="10">
        <f>Spildevand!J37</f>
        <v>62832473.9033621</v>
      </c>
      <c r="F21" s="10">
        <f>Spildevand!K37</f>
        <v>76419019.2651939</v>
      </c>
      <c r="G21" s="16">
        <v>0.3680064448748144</v>
      </c>
      <c r="H21" s="15">
        <v>0.3590181</v>
      </c>
      <c r="I21" s="16">
        <v>0.1911711</v>
      </c>
      <c r="J21" s="16">
        <f>IF(Spildevand!BO37&lt;Spildevand!$BF$113,Spildevand!BO37-Spildevand!$BF$113,0)/100</f>
        <v>0</v>
      </c>
      <c r="K21" s="16">
        <f>Spildevand!BP37/100</f>
        <v>0</v>
      </c>
      <c r="L21" s="16">
        <f t="shared" si="3"/>
        <v>0</v>
      </c>
      <c r="M21" s="10">
        <f t="shared" si="7"/>
        <v>18490819.978263114</v>
      </c>
      <c r="N21" s="10">
        <f>H21*B21</f>
        <v>18039192.37962344</v>
      </c>
      <c r="O21" s="10">
        <f t="shared" si="5"/>
        <v>9605566.54476259</v>
      </c>
      <c r="P21" s="15">
        <f t="shared" si="6"/>
        <v>0.047792775</v>
      </c>
      <c r="Q21" s="15">
        <f t="shared" si="8"/>
        <v>0.047792775</v>
      </c>
      <c r="R21" s="10">
        <f t="shared" si="9"/>
        <v>2401391.6361906477</v>
      </c>
      <c r="S21" s="10">
        <f t="shared" si="10"/>
        <v>31755093.471848283</v>
      </c>
    </row>
    <row r="22" spans="1:19" ht="15">
      <c r="A22" s="7" t="s">
        <v>35</v>
      </c>
      <c r="B22" s="10">
        <f>Spildevand!G39</f>
        <v>45147993.1225022</v>
      </c>
      <c r="C22" s="10">
        <f>Spildevand!H39</f>
        <v>59020155.28609191</v>
      </c>
      <c r="D22" s="10">
        <f>Spildevand!I39</f>
        <v>69418396.40742712</v>
      </c>
      <c r="E22" s="10">
        <f>Spildevand!J39</f>
        <v>72564553.22284257</v>
      </c>
      <c r="F22" s="10">
        <f>Spildevand!K39</f>
        <v>82962794.34417778</v>
      </c>
      <c r="G22" s="16">
        <v>0.15445807076951723</v>
      </c>
      <c r="H22" s="15"/>
      <c r="I22" s="16">
        <v>0</v>
      </c>
      <c r="J22" s="16">
        <f>IF(Spildevand!BO39&lt;Spildevand!$BF$113,Spildevand!BO39-Spildevand!$BF$113,0)/100</f>
        <v>0</v>
      </c>
      <c r="K22" s="16">
        <f>Spildevand!BP39/100</f>
        <v>0</v>
      </c>
      <c r="L22" s="16">
        <f t="shared" si="3"/>
        <v>0</v>
      </c>
      <c r="M22" s="10">
        <f t="shared" si="7"/>
        <v>6973471.916817122</v>
      </c>
      <c r="N22" s="10"/>
      <c r="O22" s="10">
        <f t="shared" si="5"/>
        <v>0</v>
      </c>
      <c r="P22" s="15">
        <f t="shared" si="6"/>
        <v>0</v>
      </c>
      <c r="Q22" s="15">
        <f t="shared" si="8"/>
        <v>0</v>
      </c>
      <c r="R22" s="10">
        <f t="shared" si="9"/>
        <v>0</v>
      </c>
      <c r="S22" s="10">
        <f t="shared" si="10"/>
        <v>38174521.20568508</v>
      </c>
    </row>
    <row r="23" spans="1:19" ht="15">
      <c r="A23" s="7" t="s">
        <v>37</v>
      </c>
      <c r="B23" s="10">
        <f>Spildevand!G41</f>
        <v>45343407</v>
      </c>
      <c r="C23" s="10">
        <f>Spildevand!H41</f>
        <v>68183535.0741502</v>
      </c>
      <c r="D23" s="10">
        <f>Spildevand!I41</f>
        <v>81402407.37080759</v>
      </c>
      <c r="E23" s="10">
        <f>Spildevand!J41</f>
        <v>81786557.1741502</v>
      </c>
      <c r="F23" s="10">
        <f>Spildevand!K41</f>
        <v>95005429.47080758</v>
      </c>
      <c r="G23" s="16">
        <v>0.02739025518770133</v>
      </c>
      <c r="H23" s="15"/>
      <c r="I23" s="16">
        <v>0</v>
      </c>
      <c r="J23" s="16">
        <f>IF(Spildevand!BO41&lt;Spildevand!$BF$113,Spildevand!BO41-Spildevand!$BF$113,0)/100</f>
        <v>0</v>
      </c>
      <c r="K23" s="16">
        <f>Spildevand!BP41/100</f>
        <v>0</v>
      </c>
      <c r="L23" s="16">
        <f t="shared" si="3"/>
        <v>0</v>
      </c>
      <c r="M23" s="10">
        <f t="shared" si="7"/>
        <v>1241967.4888098028</v>
      </c>
      <c r="N23" s="10"/>
      <c r="O23" s="10">
        <f t="shared" si="5"/>
        <v>0</v>
      </c>
      <c r="P23" s="15">
        <f t="shared" si="6"/>
        <v>0</v>
      </c>
      <c r="Q23" s="15">
        <f t="shared" si="8"/>
        <v>0</v>
      </c>
      <c r="R23" s="10">
        <f t="shared" si="9"/>
        <v>0</v>
      </c>
      <c r="S23" s="10">
        <f t="shared" si="10"/>
        <v>44101439.5111902</v>
      </c>
    </row>
    <row r="24" spans="1:19" ht="15">
      <c r="A24" s="7" t="s">
        <v>38</v>
      </c>
      <c r="B24" s="10">
        <f>Spildevand!G42</f>
        <v>37773311.42452</v>
      </c>
      <c r="C24" s="10">
        <f>Spildevand!H42</f>
        <v>37547341.64368646</v>
      </c>
      <c r="D24" s="10">
        <f>Spildevand!I42</f>
        <v>43915681.86845751</v>
      </c>
      <c r="E24" s="10">
        <f>Spildevand!J42</f>
        <v>48879335.071042456</v>
      </c>
      <c r="F24" s="10">
        <f>Spildevand!K42</f>
        <v>55247675.29581351</v>
      </c>
      <c r="G24" s="16">
        <v>0.3570645152133106</v>
      </c>
      <c r="H24" s="15"/>
      <c r="I24" s="16">
        <v>0.16302307246473002</v>
      </c>
      <c r="J24" s="16">
        <f>IF(Spildevand!BO42&lt;Spildevand!$BF$113,Spildevand!BO42-Spildevand!$BF$113,0)/100</f>
        <v>0</v>
      </c>
      <c r="K24" s="16">
        <f>Spildevand!BP42/100</f>
        <v>0</v>
      </c>
      <c r="L24" s="16">
        <f t="shared" si="3"/>
        <v>0</v>
      </c>
      <c r="M24" s="10">
        <f t="shared" si="7"/>
        <v>13487509.131797642</v>
      </c>
      <c r="N24" s="10"/>
      <c r="O24" s="10">
        <f t="shared" si="5"/>
        <v>6157921.285592339</v>
      </c>
      <c r="P24" s="15">
        <f t="shared" si="6"/>
        <v>0.040755768116182506</v>
      </c>
      <c r="Q24" s="15">
        <f t="shared" si="8"/>
        <v>0.040755768116182506</v>
      </c>
      <c r="R24" s="10">
        <f t="shared" si="9"/>
        <v>1539480.3213980848</v>
      </c>
      <c r="S24" s="10">
        <f t="shared" si="10"/>
        <v>24285802.29272236</v>
      </c>
    </row>
    <row r="25" spans="1:19" ht="15">
      <c r="A25" s="7" t="s">
        <v>39</v>
      </c>
      <c r="B25" s="10">
        <f>Spildevand!G43</f>
        <v>66044891.802008</v>
      </c>
      <c r="C25" s="10">
        <f>Spildevand!H43</f>
        <v>54884938.69615806</v>
      </c>
      <c r="D25" s="10">
        <f>Spildevand!I43</f>
        <v>64991370.199887</v>
      </c>
      <c r="E25" s="10">
        <f>Spildevand!J43</f>
        <v>74698406.23676047</v>
      </c>
      <c r="F25" s="10">
        <f>Spildevand!K43</f>
        <v>84804837.7404894</v>
      </c>
      <c r="G25" s="16">
        <v>0.46248918938996375</v>
      </c>
      <c r="H25" s="15"/>
      <c r="I25" s="16">
        <v>0.2684477473804314</v>
      </c>
      <c r="J25" s="16">
        <f>IF(Spildevand!BO43&lt;Spildevand!$BF$113,Spildevand!BO43-Spildevand!$BF$113,0)/100</f>
        <v>0</v>
      </c>
      <c r="K25" s="16">
        <f>Spildevand!BP43/100</f>
        <v>0</v>
      </c>
      <c r="L25" s="16">
        <f t="shared" si="3"/>
        <v>0</v>
      </c>
      <c r="M25" s="10">
        <f t="shared" si="7"/>
        <v>30545048.472858544</v>
      </c>
      <c r="N25" s="10"/>
      <c r="O25" s="10">
        <f t="shared" si="5"/>
        <v>17729602.43023337</v>
      </c>
      <c r="P25" s="15">
        <f t="shared" si="6"/>
        <v>0.06711193684510786</v>
      </c>
      <c r="Q25" s="15">
        <f t="shared" si="8"/>
        <v>0.05</v>
      </c>
      <c r="R25" s="10">
        <f t="shared" si="9"/>
        <v>3302244.5901004</v>
      </c>
      <c r="S25" s="10">
        <f t="shared" si="10"/>
        <v>35499843.329149455</v>
      </c>
    </row>
    <row r="26" spans="1:19" ht="15">
      <c r="A26" s="7" t="s">
        <v>43</v>
      </c>
      <c r="B26" s="10">
        <f>Spildevand!G47</f>
        <v>19248394.7805618</v>
      </c>
      <c r="C26" s="10">
        <f>Spildevand!H47</f>
        <v>14625443.267854782</v>
      </c>
      <c r="D26" s="10">
        <f>Spildevand!I47</f>
        <v>20113608.392802075</v>
      </c>
      <c r="E26" s="10">
        <f>Spildevand!J47</f>
        <v>20399961.70202332</v>
      </c>
      <c r="F26" s="10">
        <f>Spildevand!K47</f>
        <v>25888126.826970614</v>
      </c>
      <c r="G26" s="16">
        <v>0.458459</v>
      </c>
      <c r="H26" s="15"/>
      <c r="I26" s="16">
        <v>0.2921858</v>
      </c>
      <c r="J26" s="16">
        <f>IF(Spildevand!BO47&lt;Spildevand!$BF$113,Spildevand!BO47-Spildevand!$BF$113,0)/100</f>
        <v>0</v>
      </c>
      <c r="K26" s="16">
        <f>Spildevand!BP47/100</f>
        <v>0</v>
      </c>
      <c r="L26" s="16">
        <f t="shared" si="3"/>
        <v>0</v>
      </c>
      <c r="M26" s="10">
        <f t="shared" si="7"/>
        <v>8824599.822701583</v>
      </c>
      <c r="N26" s="10"/>
      <c r="O26" s="10">
        <f t="shared" si="5"/>
        <v>5624107.627674274</v>
      </c>
      <c r="P26" s="15">
        <f>IF(K26&lt;0,(I26+K26)/4,I26/4)*(4/5)</f>
        <v>0.05843716</v>
      </c>
      <c r="Q26" s="15">
        <f t="shared" si="8"/>
        <v>0.05</v>
      </c>
      <c r="R26" s="10">
        <f t="shared" si="9"/>
        <v>962419.7390280901</v>
      </c>
      <c r="S26" s="10">
        <f t="shared" si="10"/>
        <v>10423794.957860218</v>
      </c>
    </row>
    <row r="27" spans="1:19" ht="15">
      <c r="A27" s="7" t="s">
        <v>47</v>
      </c>
      <c r="B27" s="10">
        <f>Spildevand!G51</f>
        <v>24809362.665</v>
      </c>
      <c r="C27" s="10">
        <f>Spildevand!H51</f>
        <v>25496792.754082415</v>
      </c>
      <c r="D27" s="10">
        <f>Spildevand!I51</f>
        <v>29870289.92213815</v>
      </c>
      <c r="E27" s="10">
        <f>Spildevand!J51</f>
        <v>32939601.553582415</v>
      </c>
      <c r="F27" s="10">
        <f>Spildevand!K51</f>
        <v>37313098.72163815</v>
      </c>
      <c r="G27" s="16">
        <v>0.36156750377590074</v>
      </c>
      <c r="H27" s="15">
        <v>0.335273174056359</v>
      </c>
      <c r="I27" s="16">
        <v>0.14605724702375178</v>
      </c>
      <c r="J27" s="16">
        <f>IF(Spildevand!BO51&lt;Spildevand!$BF$113,Spildevand!BO51-Spildevand!$BF$113,0)/100</f>
        <v>0</v>
      </c>
      <c r="K27" s="16">
        <f>Spildevand!BP51/100</f>
        <v>0</v>
      </c>
      <c r="L27" s="16">
        <f t="shared" si="3"/>
        <v>0</v>
      </c>
      <c r="M27" s="10">
        <f t="shared" si="7"/>
        <v>8970259.329055078</v>
      </c>
      <c r="N27" s="10">
        <f>H27*B27</f>
        <v>8317913.7670098785</v>
      </c>
      <c r="O27" s="10">
        <f t="shared" si="5"/>
        <v>3623587.2112637497</v>
      </c>
      <c r="P27" s="15">
        <f t="shared" si="6"/>
        <v>0.036514311755937945</v>
      </c>
      <c r="Q27" s="15">
        <f t="shared" si="8"/>
        <v>0.036514311755937945</v>
      </c>
      <c r="R27" s="10">
        <f t="shared" si="9"/>
        <v>905896.8028159374</v>
      </c>
      <c r="S27" s="10">
        <f t="shared" si="10"/>
        <v>15839103.33594492</v>
      </c>
    </row>
    <row r="28" spans="1:19" ht="15">
      <c r="A28" s="7" t="s">
        <v>53</v>
      </c>
      <c r="B28" s="10">
        <f>Spildevand!G57</f>
        <v>11642027.635945</v>
      </c>
      <c r="C28" s="10">
        <f>Spildevand!H57</f>
        <v>13973098.318244955</v>
      </c>
      <c r="D28" s="10">
        <f>Spildevand!I57</f>
        <v>16511038.848611774</v>
      </c>
      <c r="E28" s="10">
        <f>Spildevand!J57</f>
        <v>17465706.609028455</v>
      </c>
      <c r="F28" s="10">
        <f>Spildevand!K57</f>
        <v>20003647.139395274</v>
      </c>
      <c r="G28" s="16">
        <v>0.2236861804011323</v>
      </c>
      <c r="H28" s="15"/>
      <c r="I28" s="16">
        <v>0.029644699180905953</v>
      </c>
      <c r="J28" s="16">
        <f>IF(Spildevand!BO57&lt;Spildevand!$BF$113,Spildevand!BO57-Spildevand!$BF$113,0)/100</f>
        <v>0</v>
      </c>
      <c r="K28" s="16">
        <f>Spildevand!BP57/100</f>
        <v>0</v>
      </c>
      <c r="L28" s="16">
        <f t="shared" si="3"/>
        <v>0</v>
      </c>
      <c r="M28" s="10">
        <f t="shared" si="7"/>
        <v>2604160.694008961</v>
      </c>
      <c r="N28" s="10"/>
      <c r="O28" s="10">
        <f t="shared" si="5"/>
        <v>345124.4071233832</v>
      </c>
      <c r="P28" s="15">
        <f t="shared" si="6"/>
        <v>0.007411174795226488</v>
      </c>
      <c r="Q28" s="15">
        <f t="shared" si="8"/>
        <v>0</v>
      </c>
      <c r="R28" s="10">
        <f t="shared" si="9"/>
        <v>0</v>
      </c>
      <c r="S28" s="10">
        <f t="shared" si="10"/>
        <v>9037866.941936038</v>
      </c>
    </row>
    <row r="29" spans="1:19" ht="15">
      <c r="A29" s="7" t="s">
        <v>54</v>
      </c>
      <c r="B29" s="10">
        <f>Spildevand!G58</f>
        <v>19567513.411129598</v>
      </c>
      <c r="C29" s="10">
        <f>Spildevand!H58</f>
        <v>20003602.842049003</v>
      </c>
      <c r="D29" s="10">
        <f>Spildevand!I58</f>
        <v>23552617.08990661</v>
      </c>
      <c r="E29" s="10">
        <f>Spildevand!J58</f>
        <v>25873856.865387883</v>
      </c>
      <c r="F29" s="10">
        <f>Spildevand!K58</f>
        <v>29422871.11324549</v>
      </c>
      <c r="G29" s="16">
        <v>0.33878020351925253</v>
      </c>
      <c r="H29" s="15"/>
      <c r="I29" s="16">
        <v>0.14473875232816968</v>
      </c>
      <c r="J29" s="16">
        <f>IF(Spildevand!BO58&lt;Spildevand!$BF$113,Spildevand!BO58-Spildevand!$BF$113,0)/100</f>
        <v>0</v>
      </c>
      <c r="K29" s="16">
        <f>Spildevand!BP58/100</f>
        <v>0</v>
      </c>
      <c r="L29" s="16">
        <f t="shared" si="3"/>
        <v>0</v>
      </c>
      <c r="M29" s="10">
        <f t="shared" si="7"/>
        <v>6629086.175788188</v>
      </c>
      <c r="N29" s="10"/>
      <c r="O29" s="10">
        <f t="shared" si="5"/>
        <v>2832177.4772916255</v>
      </c>
      <c r="P29" s="15">
        <f t="shared" si="6"/>
        <v>0.03618468808204242</v>
      </c>
      <c r="Q29" s="15">
        <f t="shared" si="8"/>
        <v>0.03618468808204242</v>
      </c>
      <c r="R29" s="10">
        <f t="shared" si="9"/>
        <v>708044.3693229064</v>
      </c>
      <c r="S29" s="10">
        <f t="shared" si="10"/>
        <v>12938427.23534141</v>
      </c>
    </row>
    <row r="30" spans="1:19" ht="15">
      <c r="A30" s="7" t="s">
        <v>55</v>
      </c>
      <c r="B30" s="10">
        <f>Spildevand!G59</f>
        <v>14222295.318774201</v>
      </c>
      <c r="C30" s="10">
        <f>Spildevand!H59</f>
        <v>27801307.73675913</v>
      </c>
      <c r="D30" s="10">
        <f>Spildevand!I59</f>
        <v>30444507.365308937</v>
      </c>
      <c r="E30" s="10">
        <f>Spildevand!J59</f>
        <v>32067996.33239139</v>
      </c>
      <c r="F30" s="10">
        <f>Spildevand!K59</f>
        <v>34711195.960941195</v>
      </c>
      <c r="G30" s="16">
        <v>0</v>
      </c>
      <c r="H30" s="15"/>
      <c r="I30" s="16">
        <v>0</v>
      </c>
      <c r="J30" s="16">
        <f>IF(Spildevand!BO59&lt;Spildevand!$BF$113,Spildevand!BO59-Spildevand!$BF$113,0)/100</f>
        <v>0</v>
      </c>
      <c r="K30" s="16">
        <f>Spildevand!BP59/100</f>
        <v>0</v>
      </c>
      <c r="L30" s="16">
        <f t="shared" si="3"/>
        <v>0</v>
      </c>
      <c r="M30" s="10">
        <f t="shared" si="7"/>
        <v>0</v>
      </c>
      <c r="N30" s="10"/>
      <c r="O30" s="10">
        <f t="shared" si="5"/>
        <v>0</v>
      </c>
      <c r="P30" s="15">
        <f t="shared" si="6"/>
        <v>0</v>
      </c>
      <c r="Q30" s="15">
        <f t="shared" si="8"/>
        <v>0</v>
      </c>
      <c r="R30" s="10">
        <f t="shared" si="9"/>
        <v>0</v>
      </c>
      <c r="S30" s="10">
        <f t="shared" si="10"/>
        <v>14222295.318774201</v>
      </c>
    </row>
    <row r="31" spans="1:19" ht="15">
      <c r="A31" s="7" t="s">
        <v>57</v>
      </c>
      <c r="B31" s="10">
        <f>Spildevand!G61</f>
        <v>165537989.1169046</v>
      </c>
      <c r="C31" s="10">
        <f>Spildevand!H61</f>
        <v>193080835.19256216</v>
      </c>
      <c r="D31" s="10">
        <f>Spildevand!I61</f>
        <v>146934515.5815398</v>
      </c>
      <c r="E31" s="10">
        <f>Spildevand!J61</f>
        <v>242742231.92763352</v>
      </c>
      <c r="F31" s="10">
        <f>Spildevand!K61</f>
        <v>196595912.31661117</v>
      </c>
      <c r="G31" s="16">
        <v>0.3808556</v>
      </c>
      <c r="H31" s="16">
        <v>0.2455773</v>
      </c>
      <c r="I31" s="16">
        <v>0.05153586</v>
      </c>
      <c r="J31" s="16">
        <f>IF(Spildevand!BO61&lt;Spildevand!$BF$113,Spildevand!BO61-Spildevand!$BF$113,0)/100</f>
        <v>0</v>
      </c>
      <c r="K31" s="16">
        <f>Spildevand!BP61/100</f>
        <v>0</v>
      </c>
      <c r="L31" s="16">
        <f t="shared" si="3"/>
        <v>0</v>
      </c>
      <c r="M31" s="10">
        <f t="shared" si="7"/>
        <v>63046070.16791217</v>
      </c>
      <c r="N31" s="10">
        <f>H31*B31</f>
        <v>40652372.41475881</v>
      </c>
      <c r="O31" s="10">
        <f t="shared" si="5"/>
        <v>8531142.631810319</v>
      </c>
      <c r="P31" s="15">
        <f t="shared" si="6"/>
        <v>0.012883965</v>
      </c>
      <c r="Q31" s="15">
        <f t="shared" si="8"/>
        <v>0.012883965</v>
      </c>
      <c r="R31" s="10">
        <f t="shared" si="9"/>
        <v>2132785.6579525797</v>
      </c>
      <c r="S31" s="10">
        <f t="shared" si="10"/>
        <v>102491918.94899242</v>
      </c>
    </row>
    <row r="32" spans="1:19" ht="15">
      <c r="A32" s="7" t="s">
        <v>59</v>
      </c>
      <c r="B32" s="10">
        <f>Spildevand!G63</f>
        <v>33686469.0522822</v>
      </c>
      <c r="C32" s="10">
        <f>Spildevand!H63</f>
        <v>31126355.717237324</v>
      </c>
      <c r="D32" s="10">
        <f>Spildevand!I63</f>
        <v>36374122.88639856</v>
      </c>
      <c r="E32" s="10">
        <f>Spildevand!J63</f>
        <v>41232296.43292198</v>
      </c>
      <c r="F32" s="10">
        <f>Spildevand!K63</f>
        <v>46480063.60208322</v>
      </c>
      <c r="G32" s="16">
        <v>0.4264735535536459</v>
      </c>
      <c r="H32" s="15">
        <v>0.4023512</v>
      </c>
      <c r="I32" s="16">
        <v>0.2083098</v>
      </c>
      <c r="J32" s="16">
        <f>IF(Spildevand!BO63&lt;Spildevand!$BF$113,Spildevand!BO63-Spildevand!$BF$113,0)/100</f>
        <v>0</v>
      </c>
      <c r="K32" s="16">
        <f>Spildevand!BP63/100</f>
        <v>0</v>
      </c>
      <c r="L32" s="16">
        <f t="shared" si="3"/>
        <v>0</v>
      </c>
      <c r="M32" s="10">
        <f t="shared" si="7"/>
        <v>14366388.163401708</v>
      </c>
      <c r="N32" s="10">
        <f>H32*B32</f>
        <v>13553791.246948605</v>
      </c>
      <c r="O32" s="10">
        <f t="shared" si="5"/>
        <v>7017221.630987094</v>
      </c>
      <c r="P32" s="15">
        <f t="shared" si="6"/>
        <v>0.05207745</v>
      </c>
      <c r="Q32" s="15">
        <f t="shared" si="8"/>
        <v>0.05</v>
      </c>
      <c r="R32" s="10">
        <f t="shared" si="9"/>
        <v>1684323.45261411</v>
      </c>
      <c r="S32" s="10">
        <f t="shared" si="10"/>
        <v>19320080.88888049</v>
      </c>
    </row>
    <row r="33" spans="1:19" ht="15">
      <c r="A33" s="7" t="s">
        <v>60</v>
      </c>
      <c r="B33" s="10">
        <f>Spildevand!G64</f>
        <v>22312274.2706528</v>
      </c>
      <c r="C33" s="10">
        <f>Spildevand!H64</f>
        <v>25703257.872439306</v>
      </c>
      <c r="D33" s="10">
        <f>Spildevand!I64</f>
        <v>29971935.465860482</v>
      </c>
      <c r="E33" s="10">
        <f>Spildevand!J64</f>
        <v>32396940.153635144</v>
      </c>
      <c r="F33" s="10">
        <f>Spildevand!K64</f>
        <v>36665617.74705632</v>
      </c>
      <c r="G33" s="16">
        <v>0.2548948024905344</v>
      </c>
      <c r="H33" s="15"/>
      <c r="I33" s="16">
        <v>0.06085336040270395</v>
      </c>
      <c r="J33" s="16">
        <f>IF(Spildevand!BO64&lt;Spildevand!$BF$113,Spildevand!BO64-Spildevand!$BF$113,0)/100</f>
        <v>0</v>
      </c>
      <c r="K33" s="16">
        <f>Spildevand!BP64/100</f>
        <v>0</v>
      </c>
      <c r="L33" s="16">
        <f t="shared" si="3"/>
        <v>0</v>
      </c>
      <c r="M33" s="10">
        <f t="shared" si="7"/>
        <v>5687282.743332678</v>
      </c>
      <c r="N33" s="10"/>
      <c r="O33" s="10">
        <f t="shared" si="5"/>
        <v>1357776.8675960132</v>
      </c>
      <c r="P33" s="15">
        <f t="shared" si="6"/>
        <v>0.015213340100675987</v>
      </c>
      <c r="Q33" s="15">
        <f t="shared" si="8"/>
        <v>0.015213340100675987</v>
      </c>
      <c r="R33" s="10">
        <f t="shared" si="9"/>
        <v>339444.2168990033</v>
      </c>
      <c r="S33" s="10">
        <f t="shared" si="10"/>
        <v>16624991.527320122</v>
      </c>
    </row>
    <row r="34" spans="1:19" ht="15">
      <c r="A34" s="7" t="s">
        <v>62</v>
      </c>
      <c r="B34" s="10">
        <f>Spildevand!G66</f>
        <v>27641744.6307422</v>
      </c>
      <c r="C34" s="10">
        <f>Spildevand!H66</f>
        <v>31446510.373953465</v>
      </c>
      <c r="D34" s="10">
        <f>Spildevand!I66</f>
        <v>42735807.59820276</v>
      </c>
      <c r="E34" s="10">
        <f>Spildevand!J66</f>
        <v>39739033.76317613</v>
      </c>
      <c r="F34" s="10">
        <f>Spildevand!K66</f>
        <v>51028330.98742542</v>
      </c>
      <c r="G34" s="16">
        <v>0.4079053</v>
      </c>
      <c r="H34" s="16">
        <v>0.1971324</v>
      </c>
      <c r="I34" s="16">
        <v>0.03074482</v>
      </c>
      <c r="J34" s="16">
        <f>IF(Spildevand!BO66&lt;Spildevand!$BF$113,Spildevand!BO66-Spildevand!$BF$113,0)/100</f>
        <v>0</v>
      </c>
      <c r="K34" s="16">
        <f>Spildevand!BP66/100</f>
        <v>0</v>
      </c>
      <c r="L34" s="16">
        <f t="shared" si="3"/>
        <v>0</v>
      </c>
      <c r="M34" s="10">
        <f t="shared" si="7"/>
        <v>11275214.136126287</v>
      </c>
      <c r="N34" s="10">
        <f>H34*B34</f>
        <v>5449083.459245324</v>
      </c>
      <c r="O34" s="10">
        <f t="shared" si="5"/>
        <v>849840.4631581354</v>
      </c>
      <c r="P34" s="15">
        <f t="shared" si="6"/>
        <v>0.007686205</v>
      </c>
      <c r="Q34" s="15">
        <f t="shared" si="8"/>
        <v>0</v>
      </c>
      <c r="R34" s="10">
        <f t="shared" si="9"/>
        <v>0</v>
      </c>
      <c r="S34" s="10">
        <f t="shared" si="10"/>
        <v>16366530.494615912</v>
      </c>
    </row>
    <row r="35" spans="1:19" ht="15">
      <c r="A35" s="7" t="s">
        <v>63</v>
      </c>
      <c r="B35" s="10">
        <f>Spildevand!G67</f>
        <v>13400261</v>
      </c>
      <c r="C35" s="10">
        <f>Spildevand!H67</f>
        <v>13008883.253876723</v>
      </c>
      <c r="D35" s="10">
        <f>Spildevand!I67</f>
        <v>9899760.156200187</v>
      </c>
      <c r="E35" s="10">
        <f>Spildevand!J67</f>
        <v>17028961.553876724</v>
      </c>
      <c r="F35" s="10">
        <f>Spildevand!K67</f>
        <v>13919838.456200186</v>
      </c>
      <c r="G35" s="16">
        <v>0.3689</v>
      </c>
      <c r="H35" s="15"/>
      <c r="I35" s="16">
        <v>0.1739</v>
      </c>
      <c r="J35" s="16">
        <f>IF(Spildevand!BO67&lt;Spildevand!$BF$113,Spildevand!BO67-Spildevand!$BF$113,0)/100</f>
        <v>0</v>
      </c>
      <c r="K35" s="16">
        <f>Spildevand!BP67/100</f>
        <v>0</v>
      </c>
      <c r="L35" s="16">
        <f t="shared" si="3"/>
        <v>0</v>
      </c>
      <c r="M35" s="10">
        <f t="shared" si="7"/>
        <v>4943356.2829</v>
      </c>
      <c r="N35" s="10"/>
      <c r="O35" s="10">
        <f t="shared" si="5"/>
        <v>2330305.3879</v>
      </c>
      <c r="P35" s="15">
        <f>IF(K35&lt;0,(I35+K35)/4,I35/4)/3</f>
        <v>0.014491666666666667</v>
      </c>
      <c r="Q35" s="15">
        <f t="shared" si="8"/>
        <v>0.014491666666666667</v>
      </c>
      <c r="R35" s="10">
        <f t="shared" si="9"/>
        <v>194192.11565833332</v>
      </c>
      <c r="S35" s="10">
        <f t="shared" si="10"/>
        <v>8456904.7171</v>
      </c>
    </row>
    <row r="36" spans="1:19" ht="15">
      <c r="A36" s="7" t="s">
        <v>67</v>
      </c>
      <c r="B36" s="10">
        <f>Spildevand!G71</f>
        <v>18676034.170815</v>
      </c>
      <c r="C36" s="10">
        <f>Spildevand!H71</f>
        <v>19730166.194255717</v>
      </c>
      <c r="D36" s="10">
        <f>Spildevand!I71</f>
        <v>22792209.585392438</v>
      </c>
      <c r="E36" s="10">
        <f>Spildevand!J71</f>
        <v>25332976.445500217</v>
      </c>
      <c r="F36" s="10">
        <f>Spildevand!K71</f>
        <v>28395019.83663694</v>
      </c>
      <c r="G36" s="16">
        <v>0.31668754767690954</v>
      </c>
      <c r="H36" s="15"/>
      <c r="I36" s="16">
        <v>0.1226461067179061</v>
      </c>
      <c r="J36" s="16">
        <f>IF(Spildevand!BO71&lt;Spildevand!$BF$113,Spildevand!BO71-Spildevand!$BF$113,0)/100</f>
        <v>0</v>
      </c>
      <c r="K36" s="16">
        <f>Spildevand!BP71/100</f>
        <v>0</v>
      </c>
      <c r="L36" s="16">
        <f aca="true" t="shared" si="11" ref="L36:L58">IF(K36&lt;0,I36+K36,0)</f>
        <v>0</v>
      </c>
      <c r="M36" s="10">
        <f aca="true" t="shared" si="12" ref="M36:M53">G36*B36</f>
        <v>5914467.461885567</v>
      </c>
      <c r="N36" s="10"/>
      <c r="O36" s="10">
        <f aca="true" t="shared" si="13" ref="O36:O58">IF(K36&lt;0,(I36+K36)*B36,I36*B36)</f>
        <v>2290542.879981037</v>
      </c>
      <c r="P36" s="15">
        <f aca="true" t="shared" si="14" ref="P36:P58">IF(K36&lt;0,(I36+K36)/4,I36/4)</f>
        <v>0.030661526679476525</v>
      </c>
      <c r="Q36" s="15">
        <f aca="true" t="shared" si="15" ref="Q36:Q53">IF(P36&lt;0.01,0,IF(P36&lt;0.05,P36,0.05))</f>
        <v>0.030661526679476525</v>
      </c>
      <c r="R36" s="10">
        <f aca="true" t="shared" si="16" ref="R36:R53">Q36*B36</f>
        <v>572635.7199952593</v>
      </c>
      <c r="S36" s="10">
        <f aca="true" t="shared" si="17" ref="S36:S53">B36-M36</f>
        <v>12761566.70892943</v>
      </c>
    </row>
    <row r="37" spans="1:19" ht="15">
      <c r="A37" s="7" t="s">
        <v>68</v>
      </c>
      <c r="B37" s="10">
        <f>Spildevand!G72</f>
        <v>52392542.9854694</v>
      </c>
      <c r="C37" s="10">
        <f>Spildevand!H72</f>
        <v>56412004.10225323</v>
      </c>
      <c r="D37" s="10">
        <f>Spildevand!I72</f>
        <v>68894580.0719023</v>
      </c>
      <c r="E37" s="10">
        <f>Spildevand!J72</f>
        <v>72129766.99789405</v>
      </c>
      <c r="F37" s="10">
        <f>Spildevand!K72</f>
        <v>84612342.96754313</v>
      </c>
      <c r="G37" s="16">
        <v>0.3025457165452107</v>
      </c>
      <c r="H37" s="15"/>
      <c r="I37" s="16">
        <v>0.10953202988387944</v>
      </c>
      <c r="J37" s="16">
        <f>IF(Spildevand!BO72&lt;Spildevand!$BF$113,Spildevand!BO72-Spildevand!$BF$113,0)/100</f>
        <v>0</v>
      </c>
      <c r="K37" s="16">
        <f>Spildevand!BP72/100</f>
        <v>0</v>
      </c>
      <c r="L37" s="16">
        <f t="shared" si="11"/>
        <v>0</v>
      </c>
      <c r="M37" s="10">
        <f t="shared" si="12"/>
        <v>15851139.459164592</v>
      </c>
      <c r="N37" s="10"/>
      <c r="O37" s="10">
        <f t="shared" si="13"/>
        <v>5738661.583976873</v>
      </c>
      <c r="P37" s="15">
        <f t="shared" si="14"/>
        <v>0.02738300747096986</v>
      </c>
      <c r="Q37" s="15">
        <f t="shared" si="15"/>
        <v>0.02738300747096986</v>
      </c>
      <c r="R37" s="10">
        <f t="shared" si="16"/>
        <v>1434665.3959942183</v>
      </c>
      <c r="S37" s="10">
        <f t="shared" si="17"/>
        <v>36541403.52630481</v>
      </c>
    </row>
    <row r="38" spans="1:19" ht="15">
      <c r="A38" s="7" t="s">
        <v>69</v>
      </c>
      <c r="B38" s="10">
        <f>Spildevand!G73</f>
        <v>12454725.022483801</v>
      </c>
      <c r="C38" s="10">
        <f>Spildevand!H73</f>
        <v>12141551.206933687</v>
      </c>
      <c r="D38" s="10">
        <f>Spildevand!I73</f>
        <v>13976579.089774288</v>
      </c>
      <c r="E38" s="10">
        <f>Spildevand!J73</f>
        <v>15877968.713678828</v>
      </c>
      <c r="F38" s="10">
        <f>Spildevand!K73</f>
        <v>17712996.59651943</v>
      </c>
      <c r="G38" s="16">
        <v>0.37777819474446783</v>
      </c>
      <c r="H38" s="15">
        <v>0.3694591</v>
      </c>
      <c r="I38" s="16">
        <v>0.1754176</v>
      </c>
      <c r="J38" s="16">
        <f>IF(Spildevand!BO73&lt;Spildevand!$BF$113,Spildevand!BO73-Spildevand!$BF$113,0)/100</f>
        <v>0</v>
      </c>
      <c r="K38" s="16">
        <f>Spildevand!BP73/100</f>
        <v>0</v>
      </c>
      <c r="L38" s="16">
        <f t="shared" si="11"/>
        <v>0</v>
      </c>
      <c r="M38" s="10">
        <f t="shared" si="12"/>
        <v>4705123.535032682</v>
      </c>
      <c r="N38" s="10">
        <f>H38*B38</f>
        <v>4601511.497554345</v>
      </c>
      <c r="O38" s="10">
        <f t="shared" si="13"/>
        <v>2184777.9721040544</v>
      </c>
      <c r="P38" s="15">
        <f t="shared" si="14"/>
        <v>0.0438544</v>
      </c>
      <c r="Q38" s="15">
        <f t="shared" si="15"/>
        <v>0.0438544</v>
      </c>
      <c r="R38" s="10">
        <f t="shared" si="16"/>
        <v>546194.4930260136</v>
      </c>
      <c r="S38" s="10">
        <f t="shared" si="17"/>
        <v>7749601.487451119</v>
      </c>
    </row>
    <row r="39" spans="1:19" ht="15">
      <c r="A39" s="7" t="s">
        <v>70</v>
      </c>
      <c r="B39" s="10">
        <f>Spildevand!G74</f>
        <v>37860685.0729198</v>
      </c>
      <c r="C39" s="10">
        <f>Spildevand!H74</f>
        <v>46537853.652060166</v>
      </c>
      <c r="D39" s="10">
        <f>Spildevand!I74</f>
        <v>53330080.14571032</v>
      </c>
      <c r="E39" s="10">
        <f>Spildevand!J74</f>
        <v>57896059.173936106</v>
      </c>
      <c r="F39" s="10">
        <f>Spildevand!K74</f>
        <v>64688285.66758626</v>
      </c>
      <c r="G39" s="16">
        <v>0.20495604947034185</v>
      </c>
      <c r="H39" s="15"/>
      <c r="I39" s="16">
        <v>0.0109146101266685</v>
      </c>
      <c r="J39" s="16">
        <f>IF(Spildevand!BO74&lt;Spildevand!$BF$113,Spildevand!BO74-Spildevand!$BF$113,0)/100</f>
        <v>0</v>
      </c>
      <c r="K39" s="16">
        <f>Spildevand!BP74/100</f>
        <v>0</v>
      </c>
      <c r="L39" s="16">
        <f t="shared" si="11"/>
        <v>0</v>
      </c>
      <c r="M39" s="10">
        <f t="shared" si="12"/>
        <v>7759776.442786384</v>
      </c>
      <c r="N39" s="10"/>
      <c r="O39" s="10">
        <f t="shared" si="13"/>
        <v>413234.6166994974</v>
      </c>
      <c r="P39" s="15">
        <f t="shared" si="14"/>
        <v>0.002728652531667125</v>
      </c>
      <c r="Q39" s="15">
        <f t="shared" si="15"/>
        <v>0</v>
      </c>
      <c r="R39" s="10">
        <f t="shared" si="16"/>
        <v>0</v>
      </c>
      <c r="S39" s="10">
        <f t="shared" si="17"/>
        <v>30100908.630133417</v>
      </c>
    </row>
    <row r="40" spans="1:19" ht="15">
      <c r="A40" s="7" t="s">
        <v>71</v>
      </c>
      <c r="B40" s="10">
        <f>Spildevand!G75</f>
        <v>11025141.451395402</v>
      </c>
      <c r="C40" s="10">
        <f>Spildevand!H75</f>
        <v>20388931.305796113</v>
      </c>
      <c r="D40" s="10">
        <f>Spildevand!I75</f>
        <v>25057996.574823424</v>
      </c>
      <c r="E40" s="10">
        <f>Spildevand!J75</f>
        <v>23696473.741214734</v>
      </c>
      <c r="F40" s="10">
        <f>Spildevand!K75</f>
        <v>28365539.010242045</v>
      </c>
      <c r="G40" s="16">
        <v>0</v>
      </c>
      <c r="H40" s="15"/>
      <c r="I40" s="16">
        <v>0</v>
      </c>
      <c r="J40" s="16">
        <f>IF(Spildevand!BO75&lt;Spildevand!$BF$113,Spildevand!BO75-Spildevand!$BF$113,0)/100</f>
        <v>0</v>
      </c>
      <c r="K40" s="16">
        <f>Spildevand!BP75/100</f>
        <v>0</v>
      </c>
      <c r="L40" s="16">
        <f t="shared" si="11"/>
        <v>0</v>
      </c>
      <c r="M40" s="10">
        <f t="shared" si="12"/>
        <v>0</v>
      </c>
      <c r="N40" s="10"/>
      <c r="O40" s="10">
        <f t="shared" si="13"/>
        <v>0</v>
      </c>
      <c r="P40" s="15">
        <f t="shared" si="14"/>
        <v>0</v>
      </c>
      <c r="Q40" s="15">
        <f t="shared" si="15"/>
        <v>0</v>
      </c>
      <c r="R40" s="10">
        <f t="shared" si="16"/>
        <v>0</v>
      </c>
      <c r="S40" s="10">
        <f t="shared" si="17"/>
        <v>11025141.451395402</v>
      </c>
    </row>
    <row r="41" spans="1:19" ht="15">
      <c r="A41" s="7" t="s">
        <v>72</v>
      </c>
      <c r="B41" s="10">
        <f>Spildevand!G76</f>
        <v>8627541.6260348</v>
      </c>
      <c r="C41" s="10">
        <f>Spildevand!H76</f>
        <v>12614168.587022785</v>
      </c>
      <c r="D41" s="10">
        <f>Spildevand!I76</f>
        <v>14996860.746285755</v>
      </c>
      <c r="E41" s="10">
        <f>Spildevand!J76</f>
        <v>15202431.074833225</v>
      </c>
      <c r="F41" s="10">
        <f>Spildevand!K76</f>
        <v>17585123.234096196</v>
      </c>
      <c r="G41" s="16">
        <v>0.054318670511489864</v>
      </c>
      <c r="H41" s="15"/>
      <c r="I41" s="16">
        <v>0</v>
      </c>
      <c r="J41" s="16">
        <f>IF(Spildevand!BO76&lt;Spildevand!$BF$113,Spildevand!BO76-Spildevand!$BF$113,0)/100</f>
        <v>0</v>
      </c>
      <c r="K41" s="16">
        <f>Spildevand!BP76/100</f>
        <v>0</v>
      </c>
      <c r="L41" s="16">
        <f t="shared" si="11"/>
        <v>0</v>
      </c>
      <c r="M41" s="10">
        <f t="shared" si="12"/>
        <v>468636.5909087478</v>
      </c>
      <c r="N41" s="10"/>
      <c r="O41" s="10">
        <f t="shared" si="13"/>
        <v>0</v>
      </c>
      <c r="P41" s="15">
        <f t="shared" si="14"/>
        <v>0</v>
      </c>
      <c r="Q41" s="15">
        <f t="shared" si="15"/>
        <v>0</v>
      </c>
      <c r="R41" s="10">
        <f t="shared" si="16"/>
        <v>0</v>
      </c>
      <c r="S41" s="10">
        <f t="shared" si="17"/>
        <v>8158905.035126052</v>
      </c>
    </row>
    <row r="42" spans="1:19" ht="15">
      <c r="A42" s="7" t="s">
        <v>73</v>
      </c>
      <c r="B42" s="10">
        <f>Spildevand!G77</f>
        <v>64139323.9761134</v>
      </c>
      <c r="C42" s="10">
        <f>Spildevand!H77</f>
        <v>46333107.981488384</v>
      </c>
      <c r="D42" s="10">
        <f>Spildevand!I77</f>
        <v>56944475.02403916</v>
      </c>
      <c r="E42" s="10">
        <f>Spildevand!J77</f>
        <v>65574905.174322404</v>
      </c>
      <c r="F42" s="10">
        <f>Spildevand!K77</f>
        <v>76186272.21687317</v>
      </c>
      <c r="G42" s="16">
        <v>0.5297143062325046</v>
      </c>
      <c r="H42" s="15"/>
      <c r="I42" s="16">
        <v>0.33871824035442455</v>
      </c>
      <c r="J42" s="16">
        <f>IF(Spildevand!BO77&lt;Spildevand!$BF$113,Spildevand!BO77-Spildevand!$BF$113,0)/100</f>
        <v>0</v>
      </c>
      <c r="K42" s="16">
        <f>Spildevand!BP77/100</f>
        <v>0</v>
      </c>
      <c r="L42" s="16">
        <f t="shared" si="11"/>
        <v>0</v>
      </c>
      <c r="M42" s="10">
        <f t="shared" si="12"/>
        <v>33975517.50222876</v>
      </c>
      <c r="N42" s="10"/>
      <c r="O42" s="10">
        <f t="shared" si="13"/>
        <v>21725158.954711486</v>
      </c>
      <c r="P42" s="15">
        <f t="shared" si="14"/>
        <v>0.08467956008860614</v>
      </c>
      <c r="Q42" s="15">
        <f t="shared" si="15"/>
        <v>0.05</v>
      </c>
      <c r="R42" s="10">
        <f t="shared" si="16"/>
        <v>3206966.1988056703</v>
      </c>
      <c r="S42" s="10">
        <f t="shared" si="17"/>
        <v>30163806.473884642</v>
      </c>
    </row>
    <row r="43" spans="1:19" ht="15">
      <c r="A43" s="7" t="s">
        <v>75</v>
      </c>
      <c r="B43" s="10">
        <f>Spildevand!G79</f>
        <v>6057482.536138601</v>
      </c>
      <c r="C43" s="10">
        <f>Spildevand!H79</f>
        <v>5962903.899999999</v>
      </c>
      <c r="D43" s="10">
        <f>Spildevand!I79</f>
        <v>8953425.446139243</v>
      </c>
      <c r="E43" s="10">
        <f>Spildevand!J79</f>
        <v>7780148.66084158</v>
      </c>
      <c r="F43" s="10">
        <f>Spildevand!K79</f>
        <v>10770670.206980823</v>
      </c>
      <c r="G43" s="16">
        <v>0.3181320235792571</v>
      </c>
      <c r="H43" s="15">
        <v>0.2339927</v>
      </c>
      <c r="I43" s="16">
        <v>0.07851889</v>
      </c>
      <c r="J43" s="16">
        <f>IF(Spildevand!BO79&lt;Spildevand!$BF$113,Spildevand!BO79-Spildevand!$BF$113,0)/100</f>
        <v>-0.3068814915815703</v>
      </c>
      <c r="K43" s="16">
        <f>Spildevand!BP79/100</f>
        <v>-0.0701377649009679</v>
      </c>
      <c r="L43" s="16">
        <f t="shared" si="11"/>
        <v>0.008381125099032091</v>
      </c>
      <c r="M43" s="10">
        <f t="shared" si="12"/>
        <v>1927079.1770177833</v>
      </c>
      <c r="N43" s="10">
        <f>H43*B43</f>
        <v>1417406.6938339188</v>
      </c>
      <c r="O43" s="10">
        <f t="shared" si="13"/>
        <v>50768.518920579794</v>
      </c>
      <c r="P43" s="15">
        <f t="shared" si="14"/>
        <v>0.002095281274758023</v>
      </c>
      <c r="Q43" s="15">
        <f t="shared" si="15"/>
        <v>0</v>
      </c>
      <c r="R43" s="10">
        <f t="shared" si="16"/>
        <v>0</v>
      </c>
      <c r="S43" s="10">
        <f>B43-M43</f>
        <v>4130403.3591208174</v>
      </c>
    </row>
    <row r="44" spans="1:19" ht="15">
      <c r="A44" s="7" t="s">
        <v>78</v>
      </c>
      <c r="B44" s="10">
        <f>Spildevand!G82</f>
        <v>50480341.033372596</v>
      </c>
      <c r="C44" s="10">
        <f>Spildevand!H82</f>
        <v>61484399.462404825</v>
      </c>
      <c r="D44" s="10">
        <f>Spildevand!I82</f>
        <v>76100073.33729497</v>
      </c>
      <c r="E44" s="10">
        <f>Spildevand!J82</f>
        <v>76628501.7724166</v>
      </c>
      <c r="F44" s="10">
        <f>Spildevand!K82</f>
        <v>91244175.64730674</v>
      </c>
      <c r="G44" s="16">
        <v>0.20261044745143553</v>
      </c>
      <c r="H44" s="15"/>
      <c r="I44" s="16">
        <v>0.018158674391482332</v>
      </c>
      <c r="J44" s="16">
        <f>IF(Spildevand!BO82&lt;Spildevand!$BF$113,Spildevand!BO82-Spildevand!$BF$113,0)/100</f>
        <v>0</v>
      </c>
      <c r="K44" s="16">
        <f>Spildevand!BP82/100</f>
        <v>0</v>
      </c>
      <c r="L44" s="16">
        <f t="shared" si="11"/>
        <v>0</v>
      </c>
      <c r="M44" s="10">
        <f t="shared" si="12"/>
        <v>10227844.484272683</v>
      </c>
      <c r="N44" s="10"/>
      <c r="O44" s="10">
        <f t="shared" si="13"/>
        <v>916656.0759959978</v>
      </c>
      <c r="P44" s="15">
        <f t="shared" si="14"/>
        <v>0.004539668597870583</v>
      </c>
      <c r="Q44" s="15">
        <f t="shared" si="15"/>
        <v>0</v>
      </c>
      <c r="R44" s="10">
        <f t="shared" si="16"/>
        <v>0</v>
      </c>
      <c r="S44" s="10">
        <f t="shared" si="17"/>
        <v>40252496.549099915</v>
      </c>
    </row>
    <row r="45" spans="1:19" ht="15">
      <c r="A45" s="7" t="s">
        <v>82</v>
      </c>
      <c r="B45" s="10">
        <f>Spildevand!G86</f>
        <v>17677639.6187846</v>
      </c>
      <c r="C45" s="10">
        <f>Spildevand!H86</f>
        <v>14612086.824049655</v>
      </c>
      <c r="D45" s="10">
        <f>Spildevand!I86</f>
        <v>17101171.046194777</v>
      </c>
      <c r="E45" s="10">
        <f>Spildevand!J86</f>
        <v>19915378.709685035</v>
      </c>
      <c r="F45" s="10">
        <f>Spildevand!K86</f>
        <v>22404462.931830157</v>
      </c>
      <c r="G45" s="16">
        <v>0.4653602860053626</v>
      </c>
      <c r="H45" s="15"/>
      <c r="I45" s="16">
        <v>0.2713188381197833</v>
      </c>
      <c r="J45" s="16">
        <f>IF(Spildevand!BO86&lt;Spildevand!$BF$113,Spildevand!BO86-Spildevand!$BF$113,0)/100</f>
        <v>0</v>
      </c>
      <c r="K45" s="16">
        <f>Spildevand!BP86/100</f>
        <v>0</v>
      </c>
      <c r="L45" s="16">
        <f t="shared" si="11"/>
        <v>0</v>
      </c>
      <c r="M45" s="10">
        <f t="shared" si="12"/>
        <v>8226471.428897331</v>
      </c>
      <c r="N45" s="10"/>
      <c r="O45" s="10">
        <f t="shared" si="13"/>
        <v>4796276.642068886</v>
      </c>
      <c r="P45" s="15">
        <f t="shared" si="14"/>
        <v>0.06782970952994583</v>
      </c>
      <c r="Q45" s="15">
        <f t="shared" si="15"/>
        <v>0.05</v>
      </c>
      <c r="R45" s="10">
        <f t="shared" si="16"/>
        <v>883881.98093923</v>
      </c>
      <c r="S45" s="10">
        <f t="shared" si="17"/>
        <v>9451168.189887268</v>
      </c>
    </row>
    <row r="46" spans="1:19" ht="15">
      <c r="A46" s="7" t="s">
        <v>84</v>
      </c>
      <c r="B46" s="10">
        <f>Spildevand!G88</f>
        <v>14629971.304229401</v>
      </c>
      <c r="C46" s="10">
        <f>Spildevand!H88</f>
        <v>18069893.764306016</v>
      </c>
      <c r="D46" s="10">
        <f>Spildevand!I88</f>
        <v>20208167.449368376</v>
      </c>
      <c r="E46" s="10">
        <f>Spildevand!J88</f>
        <v>22458885.155574836</v>
      </c>
      <c r="F46" s="10">
        <f>Spildevand!K88</f>
        <v>24597158.840637196</v>
      </c>
      <c r="G46" s="16">
        <v>0.20111293114230155</v>
      </c>
      <c r="H46" s="15"/>
      <c r="I46" s="16">
        <v>0.0070714965200053825</v>
      </c>
      <c r="J46" s="16">
        <f>IF(Spildevand!BO88&lt;Spildevand!$BF$113,Spildevand!BO88-Spildevand!$BF$113,0)/100</f>
        <v>0</v>
      </c>
      <c r="K46" s="16">
        <f>Spildevand!BP88/100</f>
        <v>0</v>
      </c>
      <c r="L46" s="16">
        <f t="shared" si="11"/>
        <v>0</v>
      </c>
      <c r="M46" s="10">
        <f t="shared" si="12"/>
        <v>2942276.411521335</v>
      </c>
      <c r="N46" s="10"/>
      <c r="O46" s="10">
        <f t="shared" si="13"/>
        <v>103455.79116563682</v>
      </c>
      <c r="P46" s="15">
        <f t="shared" si="14"/>
        <v>0.0017678741300013456</v>
      </c>
      <c r="Q46" s="15">
        <f t="shared" si="15"/>
        <v>0</v>
      </c>
      <c r="R46" s="10">
        <f t="shared" si="16"/>
        <v>0</v>
      </c>
      <c r="S46" s="10">
        <f t="shared" si="17"/>
        <v>11687694.892708067</v>
      </c>
    </row>
    <row r="47" spans="1:19" ht="15">
      <c r="A47" s="7" t="s">
        <v>85</v>
      </c>
      <c r="B47" s="10">
        <f>Spildevand!G89</f>
        <v>11435424.1593228</v>
      </c>
      <c r="C47" s="10">
        <f>Spildevand!H89</f>
        <v>17025855.24365536</v>
      </c>
      <c r="D47" s="10">
        <f>Spildevand!I89</f>
        <v>23029484.483949676</v>
      </c>
      <c r="E47" s="10">
        <f>Spildevand!J89</f>
        <v>20456482.491452202</v>
      </c>
      <c r="F47" s="10">
        <f>Spildevand!K89</f>
        <v>26460111.731746517</v>
      </c>
      <c r="G47" s="16">
        <v>0</v>
      </c>
      <c r="H47" s="15"/>
      <c r="I47" s="16">
        <v>0</v>
      </c>
      <c r="J47" s="16">
        <f>IF(Spildevand!BO89&lt;Spildevand!$BF$113,Spildevand!BO89-Spildevand!$BF$113,0)/100</f>
        <v>0</v>
      </c>
      <c r="K47" s="16">
        <f>Spildevand!BP89/100</f>
        <v>0</v>
      </c>
      <c r="L47" s="16">
        <f t="shared" si="11"/>
        <v>0</v>
      </c>
      <c r="M47" s="10">
        <f t="shared" si="12"/>
        <v>0</v>
      </c>
      <c r="N47" s="10"/>
      <c r="O47" s="10">
        <f t="shared" si="13"/>
        <v>0</v>
      </c>
      <c r="P47" s="15">
        <f t="shared" si="14"/>
        <v>0</v>
      </c>
      <c r="Q47" s="15">
        <f t="shared" si="15"/>
        <v>0</v>
      </c>
      <c r="R47" s="10">
        <f t="shared" si="16"/>
        <v>0</v>
      </c>
      <c r="S47" s="10">
        <f t="shared" si="17"/>
        <v>11435424.1593228</v>
      </c>
    </row>
    <row r="48" spans="1:19" ht="15">
      <c r="A48" s="7" t="s">
        <v>86</v>
      </c>
      <c r="B48" s="10">
        <f>Spildevand!G90</f>
        <v>40508338.808014005</v>
      </c>
      <c r="C48" s="10">
        <f>Spildevand!H90</f>
        <v>40386624.23107235</v>
      </c>
      <c r="D48" s="10">
        <f>Spildevand!I90</f>
        <v>47281256.72794109</v>
      </c>
      <c r="E48" s="10">
        <f>Spildevand!J90</f>
        <v>52539125.87347655</v>
      </c>
      <c r="F48" s="10">
        <f>Spildevand!K90</f>
        <v>59433758.37034529</v>
      </c>
      <c r="G48" s="16">
        <v>0.35513862169050503</v>
      </c>
      <c r="H48" s="15"/>
      <c r="I48" s="16">
        <v>0.16109716901476523</v>
      </c>
      <c r="J48" s="16">
        <f>IF(Spildevand!BO90&lt;Spildevand!$BF$113,Spildevand!BO90-Spildevand!$BF$113,0)/100</f>
        <v>0</v>
      </c>
      <c r="K48" s="16">
        <f>Spildevand!BP90/100</f>
        <v>0</v>
      </c>
      <c r="L48" s="16">
        <f t="shared" si="11"/>
        <v>0</v>
      </c>
      <c r="M48" s="10">
        <f t="shared" si="12"/>
        <v>14386075.61125009</v>
      </c>
      <c r="N48" s="10"/>
      <c r="O48" s="10">
        <f t="shared" si="13"/>
        <v>6525778.703462006</v>
      </c>
      <c r="P48" s="15">
        <f t="shared" si="14"/>
        <v>0.04027429225369131</v>
      </c>
      <c r="Q48" s="15">
        <f t="shared" si="15"/>
        <v>0.04027429225369131</v>
      </c>
      <c r="R48" s="10">
        <f t="shared" si="16"/>
        <v>1631444.6758655014</v>
      </c>
      <c r="S48" s="10">
        <f t="shared" si="17"/>
        <v>26122263.196763918</v>
      </c>
    </row>
    <row r="49" spans="1:19" ht="15">
      <c r="A49" s="7" t="s">
        <v>88</v>
      </c>
      <c r="B49" s="10">
        <f>Spildevand!G92</f>
        <v>50521335.3338904</v>
      </c>
      <c r="C49" s="10">
        <f>Spildevand!H92</f>
        <v>50758225.7492495</v>
      </c>
      <c r="D49" s="10">
        <f>Spildevand!I92</f>
        <v>61613153.79469294</v>
      </c>
      <c r="E49" s="10">
        <f>Spildevand!J92</f>
        <v>65914626.34941662</v>
      </c>
      <c r="F49" s="10">
        <f>Spildevand!K92</f>
        <v>76769554.39486006</v>
      </c>
      <c r="G49" s="16">
        <v>0.3501623512031471</v>
      </c>
      <c r="H49" s="15"/>
      <c r="I49" s="16">
        <v>0.15612090971887138</v>
      </c>
      <c r="J49" s="16">
        <f>IF(Spildevand!BO92&lt;Spildevand!$BF$113,Spildevand!BO92-Spildevand!$BF$113,0)/100</f>
        <v>0</v>
      </c>
      <c r="K49" s="16">
        <f>Spildevand!BP92/100</f>
        <v>0</v>
      </c>
      <c r="L49" s="16">
        <f t="shared" si="11"/>
        <v>0</v>
      </c>
      <c r="M49" s="10">
        <f t="shared" si="12"/>
        <v>17690669.566437695</v>
      </c>
      <c r="N49" s="10"/>
      <c r="O49" s="10">
        <f t="shared" si="13"/>
        <v>7887436.83253913</v>
      </c>
      <c r="P49" s="15">
        <f t="shared" si="14"/>
        <v>0.039030227429717845</v>
      </c>
      <c r="Q49" s="15">
        <f t="shared" si="15"/>
        <v>0.039030227429717845</v>
      </c>
      <c r="R49" s="10">
        <f t="shared" si="16"/>
        <v>1971859.2081347825</v>
      </c>
      <c r="S49" s="10">
        <f t="shared" si="17"/>
        <v>32830665.767452706</v>
      </c>
    </row>
    <row r="50" spans="1:19" ht="15">
      <c r="A50" s="7" t="s">
        <v>89</v>
      </c>
      <c r="B50" s="10">
        <f>Spildevand!G93</f>
        <v>34700601.9976714</v>
      </c>
      <c r="C50" s="10">
        <f>Spildevand!H93</f>
        <v>60350910.546929136</v>
      </c>
      <c r="D50" s="10">
        <f>Spildevand!I93</f>
        <v>71920879.9344289</v>
      </c>
      <c r="E50" s="10">
        <f>Spildevand!J93</f>
        <v>70761091.14623055</v>
      </c>
      <c r="F50" s="10">
        <f>Spildevand!K93</f>
        <v>82331060.53373033</v>
      </c>
      <c r="G50" s="16">
        <v>0</v>
      </c>
      <c r="H50" s="15"/>
      <c r="I50" s="16">
        <v>0</v>
      </c>
      <c r="J50" s="16">
        <f>IF(Spildevand!BO93&lt;Spildevand!$BF$113,Spildevand!BO93-Spildevand!$BF$113,0)/100</f>
        <v>0</v>
      </c>
      <c r="K50" s="16">
        <f>Spildevand!BP93/100</f>
        <v>0</v>
      </c>
      <c r="L50" s="16">
        <f t="shared" si="11"/>
        <v>0</v>
      </c>
      <c r="M50" s="10">
        <f t="shared" si="12"/>
        <v>0</v>
      </c>
      <c r="N50" s="10"/>
      <c r="O50" s="10">
        <f t="shared" si="13"/>
        <v>0</v>
      </c>
      <c r="P50" s="15">
        <f t="shared" si="14"/>
        <v>0</v>
      </c>
      <c r="Q50" s="15">
        <f t="shared" si="15"/>
        <v>0</v>
      </c>
      <c r="R50" s="10">
        <f t="shared" si="16"/>
        <v>0</v>
      </c>
      <c r="S50" s="10">
        <f t="shared" si="17"/>
        <v>34700601.9976714</v>
      </c>
    </row>
    <row r="51" spans="1:19" ht="15">
      <c r="A51" s="7" t="s">
        <v>90</v>
      </c>
      <c r="B51" s="10">
        <f>Spildevand!G94</f>
        <v>22744483.565322403</v>
      </c>
      <c r="C51" s="10">
        <f>Spildevand!H94</f>
        <v>41722509.92039508</v>
      </c>
      <c r="D51" s="10">
        <f>Spildevand!I94</f>
        <v>49928215.87387824</v>
      </c>
      <c r="E51" s="10">
        <f>Spildevand!J94</f>
        <v>48545854.9899918</v>
      </c>
      <c r="F51" s="10">
        <f>Spildevand!K94</f>
        <v>56751560.94347496</v>
      </c>
      <c r="G51" s="16">
        <v>0</v>
      </c>
      <c r="H51" s="15"/>
      <c r="I51" s="16">
        <v>0</v>
      </c>
      <c r="J51" s="16">
        <f>IF(Spildevand!BO94&lt;Spildevand!$BF$113,Spildevand!BO94-Spildevand!$BF$113,0)/100</f>
        <v>0</v>
      </c>
      <c r="K51" s="16">
        <f>Spildevand!BP94/100</f>
        <v>0</v>
      </c>
      <c r="L51" s="16">
        <f t="shared" si="11"/>
        <v>0</v>
      </c>
      <c r="M51" s="10">
        <f t="shared" si="12"/>
        <v>0</v>
      </c>
      <c r="N51" s="10"/>
      <c r="O51" s="10">
        <f t="shared" si="13"/>
        <v>0</v>
      </c>
      <c r="P51" s="15">
        <f t="shared" si="14"/>
        <v>0</v>
      </c>
      <c r="Q51" s="15">
        <f t="shared" si="15"/>
        <v>0</v>
      </c>
      <c r="R51" s="10">
        <f t="shared" si="16"/>
        <v>0</v>
      </c>
      <c r="S51" s="10">
        <f t="shared" si="17"/>
        <v>22744483.565322403</v>
      </c>
    </row>
    <row r="52" spans="1:19" ht="15">
      <c r="A52" s="7" t="s">
        <v>91</v>
      </c>
      <c r="B52" s="10">
        <f>Spildevand!G95</f>
        <v>24329539.706991863</v>
      </c>
      <c r="C52" s="10">
        <f>Spildevand!H95</f>
        <v>23254913.209983416</v>
      </c>
      <c r="D52" s="10">
        <f>Spildevand!I95</f>
        <v>32382274.335209824</v>
      </c>
      <c r="E52" s="10">
        <f>Spildevand!J95</f>
        <v>30553775.122080974</v>
      </c>
      <c r="F52" s="10">
        <f>Spildevand!K95</f>
        <v>39681136.24730738</v>
      </c>
      <c r="G52" s="16">
        <v>0.3102219562800671</v>
      </c>
      <c r="H52" s="15"/>
      <c r="I52" s="16">
        <v>0.14558289451383122</v>
      </c>
      <c r="J52" s="16">
        <f>IF(Spildevand!BO95&lt;Spildevand!$BF$113,Spildevand!BO95-Spildevand!$BF$113,0)/100</f>
        <v>0</v>
      </c>
      <c r="K52" s="16">
        <f>Spildevand!BP95/100</f>
        <v>0</v>
      </c>
      <c r="L52" s="16">
        <f t="shared" si="11"/>
        <v>0</v>
      </c>
      <c r="M52" s="10">
        <f t="shared" si="12"/>
        <v>7547557.403296586</v>
      </c>
      <c r="N52" s="10"/>
      <c r="O52" s="10">
        <f t="shared" si="13"/>
        <v>3541964.8127330644</v>
      </c>
      <c r="P52" s="15">
        <f t="shared" si="14"/>
        <v>0.036395723628457805</v>
      </c>
      <c r="Q52" s="15">
        <f t="shared" si="15"/>
        <v>0.036395723628457805</v>
      </c>
      <c r="R52" s="10">
        <f t="shared" si="16"/>
        <v>885491.2031832661</v>
      </c>
      <c r="S52" s="10">
        <f t="shared" si="17"/>
        <v>16781982.303695276</v>
      </c>
    </row>
    <row r="53" spans="1:19" ht="15">
      <c r="A53" s="7" t="s">
        <v>92</v>
      </c>
      <c r="B53" s="10">
        <f>Spildevand!G96</f>
        <v>5084531.836774601</v>
      </c>
      <c r="C53" s="10">
        <f>Spildevand!H96</f>
        <v>1433307.9000000001</v>
      </c>
      <c r="D53" s="10">
        <f>Spildevand!I96</f>
        <v>1737510.8230796221</v>
      </c>
      <c r="E53" s="10">
        <f>Spildevand!J96</f>
        <v>2958667.4510323806</v>
      </c>
      <c r="F53" s="10">
        <f>Spildevand!K96</f>
        <v>3262870.3741120026</v>
      </c>
      <c r="G53" s="16">
        <v>0.8176684634980607</v>
      </c>
      <c r="H53" s="15"/>
      <c r="I53" s="16">
        <v>0.6236270919386597</v>
      </c>
      <c r="J53" s="16">
        <f>IF(Spildevand!BO96&lt;Spildevand!$BF$113,Spildevand!BO96-Spildevand!$BF$113,0)/100</f>
        <v>-0.4513933048755313</v>
      </c>
      <c r="K53" s="16">
        <f>Spildevand!BP96/100</f>
        <v>-0.10316593982930268</v>
      </c>
      <c r="L53" s="16">
        <f t="shared" si="11"/>
        <v>0.5204611521093571</v>
      </c>
      <c r="M53" s="10">
        <f t="shared" si="12"/>
        <v>4157461.33458246</v>
      </c>
      <c r="N53" s="10"/>
      <c r="O53" s="10">
        <f t="shared" si="13"/>
        <v>2646301.297704414</v>
      </c>
      <c r="P53" s="15">
        <f t="shared" si="14"/>
        <v>0.13011528802733927</v>
      </c>
      <c r="Q53" s="15">
        <f t="shared" si="15"/>
        <v>0.05</v>
      </c>
      <c r="R53" s="10">
        <f t="shared" si="16"/>
        <v>254226.59183873003</v>
      </c>
      <c r="S53" s="10">
        <f t="shared" si="17"/>
        <v>927070.5021921406</v>
      </c>
    </row>
    <row r="54" spans="1:19" ht="15">
      <c r="A54" s="7" t="s">
        <v>97</v>
      </c>
      <c r="B54" s="10">
        <f>Spildevand!G101</f>
        <v>44328701.3001168</v>
      </c>
      <c r="C54" s="10">
        <f>Spildevand!H101</f>
        <v>51218392.92219788</v>
      </c>
      <c r="D54" s="10">
        <f>Spildevand!I101</f>
        <v>59887578.63865492</v>
      </c>
      <c r="E54" s="10">
        <f>Spildevand!J101</f>
        <v>64517003.31223292</v>
      </c>
      <c r="F54" s="10">
        <f>Spildevand!K101</f>
        <v>73186189.02868995</v>
      </c>
      <c r="G54" s="16">
        <v>0.25266693948520236</v>
      </c>
      <c r="H54" s="15"/>
      <c r="I54" s="16">
        <v>0.0586254959769551</v>
      </c>
      <c r="J54" s="16">
        <f>IF(Spildevand!BO101&lt;Spildevand!$BF$113,Spildevand!BO101-Spildevand!$BF$113,0)/100</f>
        <v>0</v>
      </c>
      <c r="K54" s="16">
        <f>Spildevand!BP101/100</f>
        <v>0</v>
      </c>
      <c r="L54" s="16">
        <f t="shared" si="11"/>
        <v>0</v>
      </c>
      <c r="M54" s="10">
        <f>G54*B54</f>
        <v>11200397.288854223</v>
      </c>
      <c r="N54" s="10"/>
      <c r="O54" s="10">
        <f t="shared" si="13"/>
        <v>2598792.099733642</v>
      </c>
      <c r="P54" s="15">
        <f t="shared" si="14"/>
        <v>0.014656373994238775</v>
      </c>
      <c r="Q54" s="15">
        <f>IF(P54&lt;0.01,0,IF(P54&lt;0.05,P54,0.05))</f>
        <v>0.014656373994238775</v>
      </c>
      <c r="R54" s="10">
        <f>Q54*B54</f>
        <v>649698.0249334105</v>
      </c>
      <c r="S54" s="10">
        <f>B54-M54</f>
        <v>33128304.011262577</v>
      </c>
    </row>
    <row r="55" spans="1:19" ht="15">
      <c r="A55" s="7" t="s">
        <v>98</v>
      </c>
      <c r="B55" s="10">
        <f>Spildevand!G102</f>
        <v>25811026.9786922</v>
      </c>
      <c r="C55" s="10">
        <f>Spildevand!H102</f>
        <v>43452301.1240885</v>
      </c>
      <c r="D55" s="10">
        <f>Spildevand!I102</f>
        <v>52968673.08136916</v>
      </c>
      <c r="E55" s="10">
        <f>Spildevand!J102</f>
        <v>51195609.21769616</v>
      </c>
      <c r="F55" s="10">
        <f>Spildevand!K102</f>
        <v>60711981.17497682</v>
      </c>
      <c r="G55" s="16">
        <v>0</v>
      </c>
      <c r="H55" s="15"/>
      <c r="I55" s="16">
        <v>0</v>
      </c>
      <c r="J55" s="16">
        <f>IF(Spildevand!BO102&lt;Spildevand!$BF$113,Spildevand!BO102-Spildevand!$BF$113,0)/100</f>
        <v>0</v>
      </c>
      <c r="K55" s="16">
        <f>Spildevand!BP102/100</f>
        <v>0</v>
      </c>
      <c r="L55" s="16">
        <f t="shared" si="11"/>
        <v>0</v>
      </c>
      <c r="M55" s="10">
        <f>G55*B55</f>
        <v>0</v>
      </c>
      <c r="N55" s="10"/>
      <c r="O55" s="10">
        <f t="shared" si="13"/>
        <v>0</v>
      </c>
      <c r="P55" s="15">
        <f t="shared" si="14"/>
        <v>0</v>
      </c>
      <c r="Q55" s="15">
        <f>IF(P55&lt;0.01,0,IF(P55&lt;0.05,P55,0.05))</f>
        <v>0</v>
      </c>
      <c r="R55" s="10">
        <f>Q55*B55</f>
        <v>0</v>
      </c>
      <c r="S55" s="10">
        <f>B55-M55</f>
        <v>25811026.9786922</v>
      </c>
    </row>
    <row r="56" spans="1:19" ht="15">
      <c r="A56" s="7" t="s">
        <v>99</v>
      </c>
      <c r="B56" s="10">
        <f>Spildevand!G103</f>
        <v>28178182</v>
      </c>
      <c r="C56" s="10">
        <f>Spildevand!H103</f>
        <v>33801983.74359283</v>
      </c>
      <c r="D56" s="10">
        <f>Spildevand!I103</f>
        <v>40400047.05892012</v>
      </c>
      <c r="E56" s="10">
        <f>Spildevand!J103</f>
        <v>42255438.34359283</v>
      </c>
      <c r="F56" s="10">
        <f>Spildevand!K103</f>
        <v>48853501.658920124</v>
      </c>
      <c r="G56" s="16">
        <v>0.2241058564666356</v>
      </c>
      <c r="H56" s="15"/>
      <c r="I56" s="16">
        <v>0.030064422353516584</v>
      </c>
      <c r="J56" s="16">
        <f>IF(Spildevand!BO103&lt;Spildevand!$BF$113,Spildevand!BO103-Spildevand!$BF$113,0)/100</f>
        <v>0</v>
      </c>
      <c r="K56" s="16">
        <f>Spildevand!BP103/100</f>
        <v>0</v>
      </c>
      <c r="L56" s="16">
        <f t="shared" si="11"/>
        <v>0</v>
      </c>
      <c r="M56" s="10">
        <f>G56*B56</f>
        <v>6314895.610782735</v>
      </c>
      <c r="N56" s="10"/>
      <c r="O56" s="10">
        <f t="shared" si="13"/>
        <v>847160.7648022587</v>
      </c>
      <c r="P56" s="15">
        <f t="shared" si="14"/>
        <v>0.007516105588379146</v>
      </c>
      <c r="Q56" s="15">
        <f>IF(P56&lt;0.01,0,IF(P56&lt;0.05,P56,0.05))</f>
        <v>0</v>
      </c>
      <c r="R56" s="10">
        <f>Q56*B56</f>
        <v>0</v>
      </c>
      <c r="S56" s="10">
        <f>B56-M56</f>
        <v>21863286.389217265</v>
      </c>
    </row>
    <row r="57" spans="1:19" ht="15">
      <c r="A57" s="7" t="s">
        <v>100</v>
      </c>
      <c r="B57" s="10">
        <f>Spildevand!G104</f>
        <v>6067226.5184384</v>
      </c>
      <c r="C57" s="10">
        <f>Spildevand!H104</f>
        <v>5690969.071201191</v>
      </c>
      <c r="D57" s="10">
        <f>Spildevand!I104</f>
        <v>6175835.846857349</v>
      </c>
      <c r="E57" s="10">
        <f>Spildevand!J104</f>
        <v>7511137.026732711</v>
      </c>
      <c r="F57" s="10">
        <f>Spildevand!K104</f>
        <v>7996003.802388869</v>
      </c>
      <c r="G57" s="16">
        <v>0.3933066596255882</v>
      </c>
      <c r="H57" s="15"/>
      <c r="I57" s="16">
        <v>0.19926522240064215</v>
      </c>
      <c r="J57" s="16">
        <f>IF(Spildevand!BO104&lt;Spildevand!$BF$113,Spildevand!BO104-Spildevand!$BF$113,0)/100</f>
        <v>0</v>
      </c>
      <c r="K57" s="16">
        <f>Spildevand!BP104/100</f>
        <v>0</v>
      </c>
      <c r="L57" s="16">
        <f t="shared" si="11"/>
        <v>0</v>
      </c>
      <c r="M57" s="10">
        <f>G57*B57</f>
        <v>2386280.5951587944</v>
      </c>
      <c r="N57" s="10"/>
      <c r="O57" s="10">
        <f t="shared" si="13"/>
        <v>1208987.2415517014</v>
      </c>
      <c r="P57" s="15">
        <f t="shared" si="14"/>
        <v>0.04981630560016054</v>
      </c>
      <c r="Q57" s="15">
        <f>IF(P57&lt;0.01,0,IF(P57&lt;0.05,P57,0.05))</f>
        <v>0.04981630560016054</v>
      </c>
      <c r="R57" s="10">
        <f>Q57*B57</f>
        <v>302246.81038792536</v>
      </c>
      <c r="S57" s="10">
        <f>B57-M57</f>
        <v>3680945.9232796053</v>
      </c>
    </row>
    <row r="58" spans="1:19" ht="15">
      <c r="A58" s="7" t="s">
        <v>101</v>
      </c>
      <c r="B58" s="10">
        <f>Spildevand!G105</f>
        <v>106373783.508174</v>
      </c>
      <c r="C58" s="10">
        <f>Spildevand!H105</f>
        <v>110960967.7150898</v>
      </c>
      <c r="D58" s="10">
        <f>Spildevand!I105</f>
        <v>139253423.74556863</v>
      </c>
      <c r="E58" s="10">
        <f>Spildevand!J105</f>
        <v>142873102.767542</v>
      </c>
      <c r="F58" s="10">
        <f>Spildevand!K105</f>
        <v>171165558.79802084</v>
      </c>
      <c r="G58" s="16">
        <v>0.30951060657589713</v>
      </c>
      <c r="H58" s="15"/>
      <c r="I58" s="16">
        <v>0.13126139644753432</v>
      </c>
      <c r="J58" s="16">
        <f>IF(Spildevand!BO105&lt;Spildevand!$BF$113,Spildevand!BO105-Spildevand!$BF$113,0)/100</f>
        <v>0</v>
      </c>
      <c r="K58" s="16">
        <f>Spildevand!BP105/100</f>
        <v>0</v>
      </c>
      <c r="L58" s="16">
        <f t="shared" si="11"/>
        <v>0</v>
      </c>
      <c r="M58" s="10">
        <f>G58*B58</f>
        <v>32923814.257388096</v>
      </c>
      <c r="N58" s="10"/>
      <c r="O58" s="10">
        <f t="shared" si="13"/>
        <v>13962771.368690616</v>
      </c>
      <c r="P58" s="15">
        <f t="shared" si="14"/>
        <v>0.03281534911188358</v>
      </c>
      <c r="Q58" s="15">
        <f>IF(P58&lt;0.01,0,IF(P58&lt;0.05,P58,0.05))</f>
        <v>0.03281534911188358</v>
      </c>
      <c r="R58" s="10">
        <f>Q58*B58</f>
        <v>3490692.842172654</v>
      </c>
      <c r="S58" s="10">
        <f>B58-M58</f>
        <v>73449969.2507859</v>
      </c>
    </row>
  </sheetData>
  <sheetProtection/>
  <conditionalFormatting sqref="J4:L58">
    <cfRule type="cellIs" priority="4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2016-01-05T16:03:53Z</dcterms:modified>
  <cp:category/>
  <cp:version/>
  <cp:contentType/>
  <cp:contentStatus/>
</cp:coreProperties>
</file>