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50" windowWidth="18975" windowHeight="14610" activeTab="0"/>
  </bookViews>
  <sheets>
    <sheet name="VAND" sheetId="1" r:id="rId1"/>
  </sheets>
  <definedNames/>
  <calcPr fullCalcOnLoad="1"/>
</workbook>
</file>

<file path=xl/comments1.xml><?xml version="1.0" encoding="utf-8"?>
<comments xmlns="http://schemas.openxmlformats.org/spreadsheetml/2006/main">
  <authors>
    <author>Rikke Leerberg J?rgensen (KFST)</author>
  </authors>
  <commentList>
    <comment ref="AB24" authorId="0">
      <text>
        <r>
          <rPr>
            <b/>
            <sz val="8"/>
            <rFont val="Tahoma"/>
            <family val="2"/>
          </rPr>
          <t>Rikke Leerberg Jørgensen (KFST):</t>
        </r>
        <r>
          <rPr>
            <sz val="8"/>
            <rFont val="Tahoma"/>
            <family val="2"/>
          </rPr>
          <t xml:space="preserve">
Rettet efter hS fra selskabet</t>
        </r>
      </text>
    </comment>
  </commentList>
</comments>
</file>

<file path=xl/sharedStrings.xml><?xml version="1.0" encoding="utf-8"?>
<sst xmlns="http://schemas.openxmlformats.org/spreadsheetml/2006/main" count="264" uniqueCount="233">
  <si>
    <t>Selskabs navn</t>
  </si>
  <si>
    <t>boring</t>
  </si>
  <si>
    <t>opp vandmængde</t>
  </si>
  <si>
    <t>vandværk</t>
  </si>
  <si>
    <t>type 1</t>
  </si>
  <si>
    <t>type 2</t>
  </si>
  <si>
    <t>type 3</t>
  </si>
  <si>
    <t>trykforøgerstationer</t>
  </si>
  <si>
    <t>rentvand ledning</t>
  </si>
  <si>
    <t>Stik</t>
  </si>
  <si>
    <t xml:space="preserve">land </t>
  </si>
  <si>
    <t xml:space="preserve">by </t>
  </si>
  <si>
    <t>city</t>
  </si>
  <si>
    <t>icity</t>
  </si>
  <si>
    <t>målere</t>
  </si>
  <si>
    <t>Kunder</t>
  </si>
  <si>
    <t>Rebild Vand &amp; Spildevand A/S</t>
  </si>
  <si>
    <t>kontrol prøver</t>
  </si>
  <si>
    <r>
      <t>0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/t - 50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/t (stk)</t>
    </r>
  </si>
  <si>
    <r>
      <t>51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/t - 100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/t (stk)</t>
    </r>
  </si>
  <si>
    <r>
      <t>101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/t - 200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/t (stk)</t>
    </r>
  </si>
  <si>
    <r>
      <t>201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/t - 400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/t (stk)</t>
    </r>
  </si>
  <si>
    <r>
      <t>401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/t - 600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/t</t>
    </r>
  </si>
  <si>
    <r>
      <t>601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/t - max</t>
    </r>
  </si>
  <si>
    <r>
      <t>Samlet kap. ml 0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/t - 50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/t</t>
    </r>
  </si>
  <si>
    <r>
      <t>Samlet kap. ml 51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/t - 100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/t</t>
    </r>
  </si>
  <si>
    <r>
      <t>Samlet kap. ml 101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/t - 200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/t</t>
    </r>
  </si>
  <si>
    <r>
      <t>Samlet kap. ml 201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/t - 400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/t</t>
    </r>
  </si>
  <si>
    <r>
      <t>Samlet kap. m. 401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/t - 600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/t</t>
    </r>
  </si>
  <si>
    <r>
      <t>Samlet kap. ml 601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/t - max</t>
    </r>
  </si>
  <si>
    <t>lovpligtige</t>
  </si>
  <si>
    <t>udover lovpligtige</t>
  </si>
  <si>
    <t>planlagte og udførte begrænsede</t>
  </si>
  <si>
    <t>planlagte og udførte normale</t>
  </si>
  <si>
    <t>planlagte og udførte udvidede</t>
  </si>
  <si>
    <t>planlagte og udførte kontrol med sporstoffer</t>
  </si>
  <si>
    <t>planlagte og udførte kontrol med organiske mikroforureninger</t>
  </si>
  <si>
    <t>planlagte og udførte boringskontrol</t>
  </si>
  <si>
    <t>Selskabets samlede el forbrug (kWt)</t>
  </si>
  <si>
    <t>Faxe Vandværk Smba</t>
  </si>
  <si>
    <t>Otterup Vandværk</t>
  </si>
  <si>
    <t>Oxby Og Ho Vandværk a.m.b.a.</t>
  </si>
  <si>
    <t>Nr. Uttrup Vandværk Amba</t>
  </si>
  <si>
    <t>Dronninglund Vandværk A.m.b.A</t>
  </si>
  <si>
    <t>Bogense Forsyningsselskab A.m.b.a</t>
  </si>
  <si>
    <t>Næsby Vandværk</t>
  </si>
  <si>
    <t>Kvarmløse-Tølløse Vandværk</t>
  </si>
  <si>
    <t>Ulfborg Vandværk Amba</t>
  </si>
  <si>
    <t>Vemb Vandværk</t>
  </si>
  <si>
    <t>Vodskov Vandværk</t>
  </si>
  <si>
    <t>Branderup Vandværk</t>
  </si>
  <si>
    <t>Farsø Vandværk I/S</t>
  </si>
  <si>
    <t>Tinglev Vandværk</t>
  </si>
  <si>
    <t>Skærbæk Vandværk</t>
  </si>
  <si>
    <t>Vandværket Lyngen</t>
  </si>
  <si>
    <t>Bredebro Andelsvandværk</t>
  </si>
  <si>
    <t>Nybrovejens Vandværk A.m.b.a</t>
  </si>
  <si>
    <t>Løkken Vandværk</t>
  </si>
  <si>
    <t>Vandcenter Syd as</t>
  </si>
  <si>
    <t>Egå vandværk a.m.b.a</t>
  </si>
  <si>
    <t>Langeskov Vandværk</t>
  </si>
  <si>
    <t>Vandforsyningen Østlolland a.m.b.a.</t>
  </si>
  <si>
    <t>Glamsbjerg vandværk</t>
  </si>
  <si>
    <t>Vandfællesskabet Nordvestsjælland a.m.b.a.</t>
  </si>
  <si>
    <t>Ølgod Vandværk Amba</t>
  </si>
  <si>
    <t>Hjerting Vandværk Amba</t>
  </si>
  <si>
    <t>Hæstrup Vandværk I/S</t>
  </si>
  <si>
    <t>Galten Vandværk</t>
  </si>
  <si>
    <t>Dianalund Vandværk</t>
  </si>
  <si>
    <t>Energi Viborg Vand A/S</t>
  </si>
  <si>
    <t>Greve Vandværk A.m.b.a.</t>
  </si>
  <si>
    <t>Hjallerup Vandforsyning</t>
  </si>
  <si>
    <t>Vestforsyning Vand A/S</t>
  </si>
  <si>
    <t>Haarby Vandværk</t>
  </si>
  <si>
    <t>Bjøvlund Vandværk</t>
  </si>
  <si>
    <t>Padborg Vandværk A.m.b.a</t>
  </si>
  <si>
    <t>Ringkjøbing-Skjern Vand A/S</t>
  </si>
  <si>
    <t>Grenaa &amp; Anholt Vandforsyning a.m.b.a</t>
  </si>
  <si>
    <t>Løgten Skødstrup Vandværk A.m.b.a.</t>
  </si>
  <si>
    <t>Hjørring Vandselskab A/S</t>
  </si>
  <si>
    <t>Frederiksberg Vand A/S</t>
  </si>
  <si>
    <t>Mariager Vand Amba</t>
  </si>
  <si>
    <t>Fonden Djurs Vand</t>
  </si>
  <si>
    <t>Frederikshavn Vand A/S</t>
  </si>
  <si>
    <t>Svendborg Vand A/S</t>
  </si>
  <si>
    <t>HTK Vand A/S</t>
  </si>
  <si>
    <t>Herlev Vand A/S</t>
  </si>
  <si>
    <t>Køge Vand A/S</t>
  </si>
  <si>
    <t>Borup Vandværk</t>
  </si>
  <si>
    <t>Brønderslev Vand A/S</t>
  </si>
  <si>
    <t>Høng Vandværk a.m.b.a.</t>
  </si>
  <si>
    <t>Hillerød Vand A/S</t>
  </si>
  <si>
    <t>Kalundborg Overfladevand A/S</t>
  </si>
  <si>
    <t>Gladsaxe Vand A/S</t>
  </si>
  <si>
    <t>Sindal Vandværk Amba</t>
  </si>
  <si>
    <t>VARDE VANDFORSYNING A/S</t>
  </si>
  <si>
    <t>Assens Vandværk A/S</t>
  </si>
  <si>
    <t>Egedal Vandforsyning A/S</t>
  </si>
  <si>
    <t>Gl. Hørning Vandværk</t>
  </si>
  <si>
    <t>Frederikssund Vand A/S</t>
  </si>
  <si>
    <t>Thisted Drikkevand A/S</t>
  </si>
  <si>
    <t>Fjerritslev Vand Amba</t>
  </si>
  <si>
    <t>Give Vandværk A.m.b.a</t>
  </si>
  <si>
    <t>Hasselager-Kolt Vandværk A.M.B.A.</t>
  </si>
  <si>
    <t>Langeland Vand ApS</t>
  </si>
  <si>
    <t>Fanø Vand A/S</t>
  </si>
  <si>
    <t>Bording Vandværk A.m.b.a</t>
  </si>
  <si>
    <t>Hornbæk Vandværk Amba</t>
  </si>
  <si>
    <t>Hadsund Vandværk a.m.b.a.</t>
  </si>
  <si>
    <t>Odder Vandværk A.m.b.a.</t>
  </si>
  <si>
    <t>Mårslet Vandværk</t>
  </si>
  <si>
    <t>Gilleleje Vandværk a.m.b.a.</t>
  </si>
  <si>
    <t>Vandforsyningen Brovst og Omegn</t>
  </si>
  <si>
    <t>Jammerbugt Forsyning A/S</t>
  </si>
  <si>
    <t>Skanderborg Forsyningsvirksomhed A/S</t>
  </si>
  <si>
    <t>Rødding Vandværk Amba</t>
  </si>
  <si>
    <t>Lemvig Vand og Spildevand A/S</t>
  </si>
  <si>
    <t>Snejbjerg Vandværk A.m.b.a.</t>
  </si>
  <si>
    <t>Brørup Vandværk A.m.b.a.</t>
  </si>
  <si>
    <t>Nyhuse Vandværk a.m.b.a.</t>
  </si>
  <si>
    <t>Hinnerup Vandværk A.m.b.a.</t>
  </si>
  <si>
    <t>Bjerringbro Fællesvandværk</t>
  </si>
  <si>
    <t>Holbæk Vand A/S</t>
  </si>
  <si>
    <t>Halsnaes Forsyning A/S</t>
  </si>
  <si>
    <t>Vallensbæk Vandforsyning A/S</t>
  </si>
  <si>
    <t>Billund Drikkevand A/S</t>
  </si>
  <si>
    <t>Glostrup Vand a/s</t>
  </si>
  <si>
    <t>Albertslund Vand A/S</t>
  </si>
  <si>
    <t>Arwos Vand A/S</t>
  </si>
  <si>
    <t>Læsø Vand A/S</t>
  </si>
  <si>
    <t>Ulsted-Ålebæk Vandværk A.m.b.a.</t>
  </si>
  <si>
    <t>Hornslet Vandværk A.m.b.a</t>
  </si>
  <si>
    <t>Videbæk Vand A/S</t>
  </si>
  <si>
    <t>Lille Skensved Vandværk Amba</t>
  </si>
  <si>
    <t>Bolderslev Vandværk</t>
  </si>
  <si>
    <t>Mørkøv Vandværk</t>
  </si>
  <si>
    <t>Sdr. Felding Vandværk a.m.b.a.</t>
  </si>
  <si>
    <t>Nordenskov Vandværk</t>
  </si>
  <si>
    <t>Strømmen Vandværk</t>
  </si>
  <si>
    <t>Hurup Vandværk</t>
  </si>
  <si>
    <t>I/S Ørslev Vandværk</t>
  </si>
  <si>
    <t>Brædstrup Vandværk Amba</t>
  </si>
  <si>
    <t>Midtfyns Vandforsyning A.m.b.A.</t>
  </si>
  <si>
    <t>Svinninge Vandværk</t>
  </si>
  <si>
    <t>Tårs Vandværk Amba</t>
  </si>
  <si>
    <t>Lillerød Andelsvandværk a.m.b.a.</t>
  </si>
  <si>
    <t>Stenlien Vandværk Amba</t>
  </si>
  <si>
    <t>Halsnæs Vandforsyning a.m.b.a.</t>
  </si>
  <si>
    <t>Østvendsyssel Råvandsforsyningsselskab I/S</t>
  </si>
  <si>
    <t>Netvolumen bidrag</t>
  </si>
  <si>
    <t>Særlige forhold</t>
  </si>
  <si>
    <t>Boringer</t>
  </si>
  <si>
    <t>Vand-værker</t>
  </si>
  <si>
    <t>Tryk-forøgere</t>
  </si>
  <si>
    <t>Rentvands-ledninger</t>
  </si>
  <si>
    <t>Tæthedskorrigeret Netvolumenmål</t>
  </si>
  <si>
    <t>Alderskorrigeret Netvolumenmål</t>
  </si>
  <si>
    <t>Netvolumenmål</t>
  </si>
  <si>
    <t>Måler_pr_ledning</t>
  </si>
  <si>
    <t>Alder rentvands-ledning</t>
  </si>
  <si>
    <t>Diverse Netvolumenmål</t>
  </si>
  <si>
    <t>FADO_2011</t>
  </si>
  <si>
    <t>Stenløse Vandværk</t>
  </si>
  <si>
    <t>Ejby Vandværk</t>
  </si>
  <si>
    <t>Gram Vandværk</t>
  </si>
  <si>
    <t>Hammerum Vandværk</t>
  </si>
  <si>
    <t>Haarlev Vandværk</t>
  </si>
  <si>
    <t>Klinting Vandværk</t>
  </si>
  <si>
    <t>Vrå Vandværk</t>
  </si>
  <si>
    <t>Helle Vest vandværk</t>
  </si>
  <si>
    <t>Vandværker</t>
  </si>
  <si>
    <t>Trykforøgerstationer</t>
  </si>
  <si>
    <t>Rentvandsledninger</t>
  </si>
  <si>
    <t>Costdriverandele</t>
  </si>
  <si>
    <t>Middelværdi</t>
  </si>
  <si>
    <t>Varians</t>
  </si>
  <si>
    <t>Standardafvigelse</t>
  </si>
  <si>
    <t>Standardafvigelse (minus)</t>
  </si>
  <si>
    <t>Sum af stik og kunder</t>
  </si>
  <si>
    <t>Costdriverafvigelse</t>
  </si>
  <si>
    <t>Reduktion</t>
  </si>
  <si>
    <t>Gruppe</t>
  </si>
  <si>
    <t>DOiPL</t>
  </si>
  <si>
    <t>Potentiale i pct.</t>
  </si>
  <si>
    <t>Potentiale i kr.</t>
  </si>
  <si>
    <t>Potentiale uden særlige forhold i pct.</t>
  </si>
  <si>
    <t>Potentiale uden særlige forhold i kr.</t>
  </si>
  <si>
    <t>Korrigerede potentiale i pct.</t>
  </si>
  <si>
    <t>Korrigerde potentiale i kr.</t>
  </si>
  <si>
    <t>Effektive driftsomkostninger</t>
  </si>
  <si>
    <t>Net</t>
  </si>
  <si>
    <t>Alder</t>
  </si>
  <si>
    <t>Tathed</t>
  </si>
  <si>
    <t>5, men 1</t>
  </si>
  <si>
    <t>Lejre Vand A/S</t>
  </si>
  <si>
    <t>Net_plus25</t>
  </si>
  <si>
    <t>Alder_plus25</t>
  </si>
  <si>
    <t>Tathed_plus25</t>
  </si>
  <si>
    <t>Krav i pct.</t>
  </si>
  <si>
    <t>Krav i kr.</t>
  </si>
  <si>
    <t>Umiddelbare krav i pct.</t>
  </si>
  <si>
    <t>Korrigerede potentiale efter reduktion i pct.</t>
  </si>
  <si>
    <t>Afvigelse fra standardafvigelse</t>
  </si>
  <si>
    <t>Andel af distribution</t>
  </si>
  <si>
    <t>Solrød Vandværk</t>
  </si>
  <si>
    <t>Skønnet 2013</t>
  </si>
  <si>
    <t>FRONT - Nordenskov vandværk</t>
  </si>
  <si>
    <t>Gørlev Vandforsyning</t>
  </si>
  <si>
    <t>Skovlund/Ansager Vandværk</t>
  </si>
  <si>
    <t>Tistrup Vandværk</t>
  </si>
  <si>
    <t>Toftlund Vand Amba</t>
  </si>
  <si>
    <t>Tune Vandværk A.m.b.a.</t>
  </si>
  <si>
    <t>Udsholt Vandværk A.m.b.a.</t>
  </si>
  <si>
    <t>Verdo Vand A/S</t>
  </si>
  <si>
    <t>totalt skøn(12+13)</t>
  </si>
  <si>
    <t>Bramdrupdam Vandværk I/S</t>
  </si>
  <si>
    <t>Juelsminde Grundejerforening</t>
  </si>
  <si>
    <t>Strandhuse Nr. Bjert Vandværk</t>
  </si>
  <si>
    <t>Søndersø Vandværk</t>
  </si>
  <si>
    <t>VSK</t>
  </si>
  <si>
    <t>FADO/netvolumenmål</t>
  </si>
  <si>
    <t>DOiPL/netvolumenmål</t>
  </si>
  <si>
    <t>Potentiale</t>
  </si>
  <si>
    <t>krav i kr.</t>
  </si>
  <si>
    <t>Netvolumen fra ledninger</t>
  </si>
  <si>
    <t>FADO/netvolumen for ledninger</t>
  </si>
  <si>
    <t>DOiPL/netvolumen for ledninger</t>
  </si>
  <si>
    <t>Krav</t>
  </si>
  <si>
    <t>FRONT - Hjerting vandværk</t>
  </si>
  <si>
    <t>krav i pct.</t>
  </si>
  <si>
    <t>effektive driftsomkostninger</t>
  </si>
  <si>
    <t>Fensmark Vandværk A.m.b.a </t>
  </si>
  <si>
    <t>ikke angivet</t>
  </si>
</sst>
</file>

<file path=xl/styles.xml><?xml version="1.0" encoding="utf-8"?>
<styleSheet xmlns="http://schemas.openxmlformats.org/spreadsheetml/2006/main">
  <numFmts count="3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#,##0.0000"/>
    <numFmt numFmtId="171" formatCode="&quot;Ja&quot;;&quot;Ja&quot;;&quot;Nej&quot;"/>
    <numFmt numFmtId="172" formatCode="&quot;Sandt&quot;;&quot;Sandt&quot;;&quot;Falsk&quot;"/>
    <numFmt numFmtId="173" formatCode="&quot;Til&quot;;&quot;Til&quot;;&quot;Fra&quot;"/>
    <numFmt numFmtId="174" formatCode="[$€-2]\ #.##000_);[Red]\([$€-2]\ #.##000\)"/>
    <numFmt numFmtId="175" formatCode="0.000%"/>
    <numFmt numFmtId="176" formatCode="#,##0.000"/>
    <numFmt numFmtId="177" formatCode="#,##0.0"/>
    <numFmt numFmtId="178" formatCode="0.0%"/>
    <numFmt numFmtId="179" formatCode="_ &quot;SFr.&quot;\ * #,##0_ ;_ &quot;SFr.&quot;\ * \-#,##0_ ;_ &quot;SFr.&quot;\ * &quot;-&quot;_ ;_ @_ "/>
    <numFmt numFmtId="180" formatCode="_ &quot;SFr.&quot;\ * #,##0.00_ ;_ &quot;SFr.&quot;\ * \-#,##0.00_ ;_ &quot;SFr.&quot;\ * &quot;-&quot;??_ ;_ @_ "/>
    <numFmt numFmtId="181" formatCode="#,##0.00000"/>
    <numFmt numFmtId="182" formatCode="_ * #,##0.0_ ;_ * \-#,##0.0_ ;_ * &quot;-&quot;??_ ;_ @_ "/>
    <numFmt numFmtId="183" formatCode="_ * #,##0_ ;_ * \-#,##0_ ;_ * &quot;-&quot;??_ ;_ @_ "/>
    <numFmt numFmtId="184" formatCode="_ * #,##0.000_ ;_ * \-#,##0.000_ ;_ * &quot;-&quot;??_ ;_ @_ "/>
    <numFmt numFmtId="185" formatCode="_ * #,##0.0000_ ;_ * \-#,##0.0000_ ;_ * &quot;-&quot;??_ ;_ @_ "/>
    <numFmt numFmtId="186" formatCode="0.000000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3" applyNumberFormat="0" applyAlignment="0" applyProtection="0"/>
    <xf numFmtId="0" fontId="38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3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6" fillId="0" borderId="0" xfId="0" applyFont="1" applyFill="1" applyBorder="1" applyAlignment="1">
      <alignment horizontal="center" wrapText="1"/>
    </xf>
    <xf numFmtId="10" fontId="0" fillId="0" borderId="0" xfId="6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center" vertical="center" wrapText="1"/>
    </xf>
    <xf numFmtId="170" fontId="0" fillId="0" borderId="0" xfId="0" applyNumberForma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vertical="center"/>
    </xf>
    <xf numFmtId="176" fontId="48" fillId="0" borderId="0" xfId="0" applyNumberFormat="1" applyFont="1" applyFill="1" applyBorder="1" applyAlignment="1">
      <alignment vertical="center"/>
    </xf>
    <xf numFmtId="0" fontId="3" fillId="0" borderId="0" xfId="51" applyFont="1" applyFill="1" applyBorder="1" applyAlignment="1">
      <alignment vertical="center"/>
      <protection/>
    </xf>
    <xf numFmtId="3" fontId="3" fillId="0" borderId="0" xfId="53" applyNumberFormat="1" applyFont="1" applyFill="1" applyBorder="1" applyAlignment="1">
      <alignment vertical="center"/>
      <protection/>
    </xf>
    <xf numFmtId="10" fontId="3" fillId="0" borderId="0" xfId="61" applyNumberFormat="1" applyFont="1" applyFill="1" applyBorder="1" applyAlignment="1">
      <alignment/>
    </xf>
    <xf numFmtId="10" fontId="0" fillId="0" borderId="0" xfId="60" applyNumberFormat="1" applyFont="1" applyFill="1" applyBorder="1" applyAlignment="1">
      <alignment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3" fontId="49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3" fontId="3" fillId="0" borderId="0" xfId="51" applyNumberFormat="1" applyFill="1" applyBorder="1">
      <alignment/>
      <protection/>
    </xf>
    <xf numFmtId="3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10" fontId="0" fillId="0" borderId="0" xfId="60" applyNumberFormat="1" applyFont="1" applyFill="1" applyBorder="1" applyAlignment="1">
      <alignment horizontal="right" wrapText="1"/>
    </xf>
    <xf numFmtId="10" fontId="0" fillId="0" borderId="0" xfId="0" applyNumberFormat="1" applyFill="1" applyBorder="1" applyAlignment="1">
      <alignment horizontal="right" wrapText="1"/>
    </xf>
    <xf numFmtId="3" fontId="0" fillId="0" borderId="0" xfId="0" applyNumberFormat="1" applyFill="1" applyBorder="1" applyAlignment="1">
      <alignment horizontal="right" wrapText="1"/>
    </xf>
    <xf numFmtId="176" fontId="0" fillId="0" borderId="0" xfId="0" applyNumberFormat="1" applyFill="1" applyBorder="1" applyAlignment="1">
      <alignment horizontal="right"/>
    </xf>
    <xf numFmtId="43" fontId="0" fillId="0" borderId="0" xfId="40" applyFont="1" applyFill="1" applyBorder="1" applyAlignment="1">
      <alignment horizontal="right"/>
    </xf>
    <xf numFmtId="1" fontId="46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4" fillId="0" borderId="0" xfId="51" applyFont="1" applyFill="1" applyBorder="1" applyAlignment="1">
      <alignment vertical="center"/>
      <protection/>
    </xf>
    <xf numFmtId="0" fontId="0" fillId="0" borderId="10" xfId="0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 wrapText="1"/>
    </xf>
    <xf numFmtId="3" fontId="0" fillId="0" borderId="0" xfId="60" applyNumberFormat="1" applyFont="1" applyFill="1" applyBorder="1" applyAlignment="1">
      <alignment/>
    </xf>
    <xf numFmtId="3" fontId="0" fillId="0" borderId="0" xfId="40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 wrapText="1"/>
    </xf>
    <xf numFmtId="10" fontId="3" fillId="0" borderId="0" xfId="6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 horizontal="center"/>
    </xf>
    <xf numFmtId="3" fontId="49" fillId="0" borderId="0" xfId="0" applyNumberFormat="1" applyFont="1" applyFill="1" applyBorder="1" applyAlignment="1">
      <alignment horizontal="center"/>
    </xf>
    <xf numFmtId="3" fontId="49" fillId="0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/>
    </xf>
  </cellXfs>
  <cellStyles count="55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 2" xfId="51"/>
    <cellStyle name="Normal 2 2" xfId="52"/>
    <cellStyle name="Normal 3" xfId="53"/>
    <cellStyle name="Normal 3 2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Procent 2" xfId="61"/>
    <cellStyle name="Procent 2 2" xfId="62"/>
    <cellStyle name="Sammenkædet celle" xfId="63"/>
    <cellStyle name="Titel" xfId="64"/>
    <cellStyle name="Total" xfId="65"/>
    <cellStyle name="Ugyldig" xfId="66"/>
    <cellStyle name="Currency" xfId="67"/>
    <cellStyle name="Currency [0]" xfId="68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47"/>
  <sheetViews>
    <sheetView tabSelected="1" zoomScale="85" zoomScaleNormal="85" zoomScalePageLayoutView="0" workbookViewId="0" topLeftCell="A1">
      <pane xSplit="1" ySplit="2" topLeftCell="B6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V72" sqref="AV72"/>
    </sheetView>
  </sheetViews>
  <sheetFormatPr defaultColWidth="9.140625" defaultRowHeight="15"/>
  <cols>
    <col min="1" max="1" width="41.7109375" style="2" bestFit="1" customWidth="1"/>
    <col min="2" max="5" width="12.7109375" style="4" customWidth="1"/>
    <col min="6" max="6" width="12.7109375" style="2" customWidth="1"/>
    <col min="7" max="7" width="12.7109375" style="4" customWidth="1"/>
    <col min="8" max="9" width="12.7109375" style="2" customWidth="1"/>
    <col min="10" max="10" width="12.57421875" style="2" customWidth="1"/>
    <col min="11" max="11" width="12.7109375" style="2" customWidth="1"/>
    <col min="12" max="13" width="12.7109375" style="4" customWidth="1"/>
    <col min="14" max="15" width="12.7109375" style="2" customWidth="1"/>
    <col min="16" max="23" width="12.7109375" style="4" customWidth="1"/>
    <col min="24" max="24" width="12.7109375" style="2" customWidth="1"/>
    <col min="25" max="25" width="17.28125" style="4" customWidth="1"/>
    <col min="26" max="26" width="9.7109375" style="4" customWidth="1"/>
    <col min="27" max="27" width="10.140625" style="4" customWidth="1"/>
    <col min="28" max="28" width="9.7109375" style="4" customWidth="1"/>
    <col min="29" max="49" width="9.140625" style="4" customWidth="1"/>
    <col min="50" max="55" width="18.7109375" style="4" customWidth="1"/>
    <col min="56" max="57" width="20.140625" style="4" customWidth="1"/>
    <col min="58" max="58" width="43.8515625" style="4" customWidth="1"/>
    <col min="59" max="59" width="13.00390625" style="4" customWidth="1"/>
    <col min="60" max="60" width="10.140625" style="4" customWidth="1"/>
    <col min="61" max="61" width="12.57421875" style="4" customWidth="1"/>
    <col min="62" max="62" width="13.28125" style="4" customWidth="1"/>
    <col min="63" max="63" width="11.00390625" style="4" customWidth="1"/>
    <col min="64" max="64" width="10.140625" style="4" customWidth="1"/>
    <col min="65" max="65" width="9.140625" style="4" customWidth="1"/>
    <col min="66" max="66" width="13.8515625" style="4" customWidth="1"/>
    <col min="67" max="67" width="18.7109375" style="2" customWidth="1"/>
    <col min="68" max="68" width="15.57421875" style="4" customWidth="1"/>
    <col min="69" max="69" width="15.7109375" style="4" customWidth="1"/>
    <col min="70" max="70" width="17.8515625" style="4" customWidth="1"/>
    <col min="71" max="71" width="15.00390625" style="4" customWidth="1"/>
    <col min="72" max="72" width="26.00390625" style="2" bestFit="1" customWidth="1"/>
    <col min="73" max="78" width="12.7109375" style="4" customWidth="1"/>
    <col min="79" max="79" width="9.140625" style="2" customWidth="1"/>
    <col min="80" max="80" width="9.140625" style="4" customWidth="1"/>
    <col min="81" max="81" width="9.140625" style="2" customWidth="1"/>
    <col min="82" max="87" width="12.7109375" style="4" customWidth="1"/>
    <col min="88" max="88" width="9.140625" style="2" customWidth="1"/>
    <col min="89" max="90" width="12.7109375" style="4" customWidth="1"/>
    <col min="91" max="91" width="10.57421875" style="4" bestFit="1" customWidth="1"/>
    <col min="92" max="16384" width="9.140625" style="2" customWidth="1"/>
  </cols>
  <sheetData>
    <row r="1" spans="1:91" ht="18.75">
      <c r="A1" s="16"/>
      <c r="B1" s="18"/>
      <c r="C1" s="18"/>
      <c r="D1" s="18"/>
      <c r="E1" s="18"/>
      <c r="F1" s="17"/>
      <c r="G1" s="18"/>
      <c r="H1" s="17"/>
      <c r="I1" s="17"/>
      <c r="J1" s="17"/>
      <c r="K1" s="17"/>
      <c r="L1" s="18"/>
      <c r="M1" s="18"/>
      <c r="N1" s="17"/>
      <c r="O1" s="17"/>
      <c r="P1" s="18"/>
      <c r="Q1" s="18"/>
      <c r="R1" s="18"/>
      <c r="S1" s="18"/>
      <c r="T1" s="18"/>
      <c r="U1" s="18"/>
      <c r="V1" s="18"/>
      <c r="W1" s="18"/>
      <c r="X1" s="17"/>
      <c r="Y1" s="51" t="s">
        <v>1</v>
      </c>
      <c r="Z1" s="60" t="s">
        <v>3</v>
      </c>
      <c r="AA1" s="60"/>
      <c r="AB1" s="60"/>
      <c r="AC1" s="60" t="s">
        <v>7</v>
      </c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 t="s">
        <v>8</v>
      </c>
      <c r="AP1" s="60"/>
      <c r="AQ1" s="60"/>
      <c r="AR1" s="60"/>
      <c r="AS1" s="60" t="s">
        <v>9</v>
      </c>
      <c r="AT1" s="60"/>
      <c r="AU1" s="60"/>
      <c r="AV1" s="60"/>
      <c r="AW1" s="51" t="s">
        <v>15</v>
      </c>
      <c r="AX1" s="60" t="s">
        <v>17</v>
      </c>
      <c r="AY1" s="60"/>
      <c r="AZ1" s="60"/>
      <c r="BA1" s="60"/>
      <c r="BB1" s="60"/>
      <c r="BC1" s="60"/>
      <c r="BD1" s="60"/>
      <c r="BE1" s="60"/>
      <c r="BF1" s="61" t="s">
        <v>38</v>
      </c>
      <c r="BG1" s="60" t="s">
        <v>149</v>
      </c>
      <c r="BH1" s="60"/>
      <c r="BI1" s="60"/>
      <c r="BJ1" s="60"/>
      <c r="BK1" s="60"/>
      <c r="BL1" s="60"/>
      <c r="BM1" s="60"/>
      <c r="BN1" s="62" t="s">
        <v>159</v>
      </c>
      <c r="BO1" s="63" t="s">
        <v>158</v>
      </c>
      <c r="BP1" s="64" t="s">
        <v>160</v>
      </c>
      <c r="BQ1" s="64"/>
      <c r="BR1" s="64"/>
      <c r="BS1" s="62" t="s">
        <v>161</v>
      </c>
      <c r="BU1" s="59" t="s">
        <v>173</v>
      </c>
      <c r="BV1" s="59"/>
      <c r="BW1" s="59"/>
      <c r="BX1" s="59"/>
      <c r="BY1" s="59"/>
      <c r="BZ1" s="59"/>
      <c r="CA1" s="19"/>
      <c r="CB1" s="56"/>
      <c r="CC1" s="19"/>
      <c r="CD1" s="59" t="s">
        <v>179</v>
      </c>
      <c r="CE1" s="59"/>
      <c r="CF1" s="59"/>
      <c r="CG1" s="59"/>
      <c r="CH1" s="59"/>
      <c r="CI1" s="59"/>
      <c r="CJ1" s="19"/>
      <c r="CK1" s="56"/>
      <c r="CL1" s="56"/>
      <c r="CM1" s="56"/>
    </row>
    <row r="2" spans="1:91" ht="90">
      <c r="A2" s="20" t="s">
        <v>0</v>
      </c>
      <c r="B2" s="21" t="s">
        <v>181</v>
      </c>
      <c r="C2" s="21" t="s">
        <v>182</v>
      </c>
      <c r="D2" s="21" t="s">
        <v>183</v>
      </c>
      <c r="E2" s="21" t="s">
        <v>184</v>
      </c>
      <c r="F2" s="5" t="s">
        <v>185</v>
      </c>
      <c r="G2" s="21" t="s">
        <v>186</v>
      </c>
      <c r="H2" s="5" t="s">
        <v>187</v>
      </c>
      <c r="I2" s="5" t="s">
        <v>202</v>
      </c>
      <c r="J2" s="5" t="s">
        <v>180</v>
      </c>
      <c r="K2" s="5" t="s">
        <v>201</v>
      </c>
      <c r="L2" s="21" t="s">
        <v>188</v>
      </c>
      <c r="M2" s="21" t="s">
        <v>189</v>
      </c>
      <c r="N2" s="5" t="s">
        <v>200</v>
      </c>
      <c r="O2" s="5" t="s">
        <v>198</v>
      </c>
      <c r="P2" s="21" t="s">
        <v>199</v>
      </c>
      <c r="Q2" s="21"/>
      <c r="R2" s="21" t="s">
        <v>190</v>
      </c>
      <c r="S2" s="21" t="s">
        <v>191</v>
      </c>
      <c r="T2" s="21" t="s">
        <v>192</v>
      </c>
      <c r="U2" s="21" t="s">
        <v>195</v>
      </c>
      <c r="V2" s="21" t="s">
        <v>196</v>
      </c>
      <c r="W2" s="21" t="s">
        <v>197</v>
      </c>
      <c r="X2" s="17"/>
      <c r="Y2" s="52" t="s">
        <v>2</v>
      </c>
      <c r="Z2" s="52" t="s">
        <v>4</v>
      </c>
      <c r="AA2" s="52" t="s">
        <v>5</v>
      </c>
      <c r="AB2" s="52" t="s">
        <v>6</v>
      </c>
      <c r="AC2" s="53" t="s">
        <v>18</v>
      </c>
      <c r="AD2" s="53" t="s">
        <v>24</v>
      </c>
      <c r="AE2" s="53" t="s">
        <v>19</v>
      </c>
      <c r="AF2" s="53" t="s">
        <v>25</v>
      </c>
      <c r="AG2" s="53" t="s">
        <v>20</v>
      </c>
      <c r="AH2" s="53" t="s">
        <v>26</v>
      </c>
      <c r="AI2" s="53" t="s">
        <v>21</v>
      </c>
      <c r="AJ2" s="53" t="s">
        <v>27</v>
      </c>
      <c r="AK2" s="53" t="s">
        <v>22</v>
      </c>
      <c r="AL2" s="53" t="s">
        <v>28</v>
      </c>
      <c r="AM2" s="53" t="s">
        <v>23</v>
      </c>
      <c r="AN2" s="53" t="s">
        <v>29</v>
      </c>
      <c r="AO2" s="52" t="s">
        <v>10</v>
      </c>
      <c r="AP2" s="52" t="s">
        <v>11</v>
      </c>
      <c r="AQ2" s="52" t="s">
        <v>12</v>
      </c>
      <c r="AR2" s="52" t="s">
        <v>13</v>
      </c>
      <c r="AS2" s="52" t="s">
        <v>10</v>
      </c>
      <c r="AT2" s="52" t="s">
        <v>11</v>
      </c>
      <c r="AU2" s="52" t="s">
        <v>12</v>
      </c>
      <c r="AV2" s="52" t="s">
        <v>13</v>
      </c>
      <c r="AW2" s="52" t="s">
        <v>14</v>
      </c>
      <c r="AX2" s="53" t="s">
        <v>30</v>
      </c>
      <c r="AY2" s="53" t="s">
        <v>31</v>
      </c>
      <c r="AZ2" s="53" t="s">
        <v>32</v>
      </c>
      <c r="BA2" s="53" t="s">
        <v>33</v>
      </c>
      <c r="BB2" s="53" t="s">
        <v>34</v>
      </c>
      <c r="BC2" s="53" t="s">
        <v>35</v>
      </c>
      <c r="BD2" s="53" t="s">
        <v>36</v>
      </c>
      <c r="BE2" s="53" t="s">
        <v>37</v>
      </c>
      <c r="BF2" s="61"/>
      <c r="BG2" s="7" t="s">
        <v>150</v>
      </c>
      <c r="BH2" s="7" t="s">
        <v>151</v>
      </c>
      <c r="BI2" s="7" t="s">
        <v>152</v>
      </c>
      <c r="BJ2" s="7" t="s">
        <v>153</v>
      </c>
      <c r="BK2" s="7" t="s">
        <v>154</v>
      </c>
      <c r="BL2" s="7" t="s">
        <v>9</v>
      </c>
      <c r="BM2" s="7" t="s">
        <v>15</v>
      </c>
      <c r="BN2" s="62"/>
      <c r="BO2" s="63"/>
      <c r="BP2" s="7" t="s">
        <v>157</v>
      </c>
      <c r="BQ2" s="7" t="s">
        <v>156</v>
      </c>
      <c r="BR2" s="55" t="s">
        <v>155</v>
      </c>
      <c r="BS2" s="62"/>
      <c r="BU2" s="21" t="s">
        <v>151</v>
      </c>
      <c r="BV2" s="21" t="s">
        <v>170</v>
      </c>
      <c r="BW2" s="21" t="s">
        <v>171</v>
      </c>
      <c r="BX2" s="21" t="s">
        <v>172</v>
      </c>
      <c r="BY2" s="21" t="s">
        <v>9</v>
      </c>
      <c r="BZ2" s="21" t="s">
        <v>15</v>
      </c>
      <c r="CA2" s="19"/>
      <c r="CB2" s="21" t="s">
        <v>178</v>
      </c>
      <c r="CC2" s="19"/>
      <c r="CD2" s="21" t="s">
        <v>151</v>
      </c>
      <c r="CE2" s="21" t="s">
        <v>170</v>
      </c>
      <c r="CF2" s="21" t="s">
        <v>171</v>
      </c>
      <c r="CG2" s="21" t="s">
        <v>172</v>
      </c>
      <c r="CH2" s="21" t="s">
        <v>9</v>
      </c>
      <c r="CI2" s="21" t="s">
        <v>15</v>
      </c>
      <c r="CJ2" s="19"/>
      <c r="CK2" s="21" t="s">
        <v>178</v>
      </c>
      <c r="CL2" s="21" t="s">
        <v>180</v>
      </c>
      <c r="CM2" s="57" t="s">
        <v>203</v>
      </c>
    </row>
    <row r="3" spans="1:91" ht="15">
      <c r="A3" s="22" t="s">
        <v>127</v>
      </c>
      <c r="B3" s="47">
        <v>3</v>
      </c>
      <c r="C3" s="23">
        <v>10825415</v>
      </c>
      <c r="D3" s="58">
        <v>0.611653154940219</v>
      </c>
      <c r="E3" s="24">
        <f>C3*D3</f>
        <v>6621399.23828717</v>
      </c>
      <c r="F3" s="25"/>
      <c r="G3" s="24">
        <f>C3*F3</f>
        <v>0</v>
      </c>
      <c r="H3" s="14">
        <v>0.4560833115256355</v>
      </c>
      <c r="I3" s="6">
        <f aca="true" t="shared" si="0" ref="I3:I34">IF(CK3&lt;$CB$131,CK3-$CB$131,0)/100</f>
        <v>-0.03191480365367655</v>
      </c>
      <c r="J3" s="6">
        <f>CL3/100</f>
        <v>-0.016767239969550315</v>
      </c>
      <c r="K3" s="6">
        <f>IF(J3&lt;0,H3+J3,0)</f>
        <v>0.4393160715560852</v>
      </c>
      <c r="L3" s="24">
        <f>IF(J3&lt;0,(H3+J3)*C3,H3*C3)</f>
        <v>4755778.790764318</v>
      </c>
      <c r="M3" s="24">
        <f>IF(D3&gt;0,C3-E3,"Over front")</f>
        <v>4204015.76171283</v>
      </c>
      <c r="N3" s="6">
        <f>IF(J3&lt;0,(H3+J3)/4,H3/4)</f>
        <v>0.1098290178890213</v>
      </c>
      <c r="O3" s="6">
        <f>IF(N3&gt;0.05,0.05,IF(N3&gt;0.01,N3,0))</f>
        <v>0.05</v>
      </c>
      <c r="P3" s="24">
        <f>C3*O3</f>
        <v>541270.75</v>
      </c>
      <c r="Q3" s="24"/>
      <c r="R3" s="24">
        <f>BP3</f>
        <v>3449858.0124315815</v>
      </c>
      <c r="S3" s="24">
        <f>BQ3</f>
        <v>4227795.040696804</v>
      </c>
      <c r="T3" s="24">
        <f>BR3</f>
        <v>6755834.263919673</v>
      </c>
      <c r="U3" s="24">
        <f aca="true" t="shared" si="1" ref="U3:U44">R3+(0.25*C3)</f>
        <v>6156211.7624315815</v>
      </c>
      <c r="V3" s="24">
        <f aca="true" t="shared" si="2" ref="V3:V44">S3+(0.25*C3)</f>
        <v>6934148.790696804</v>
      </c>
      <c r="W3" s="24">
        <f aca="true" t="shared" si="3" ref="W3:W44">T3+(0.25*C3)</f>
        <v>9462188.013919674</v>
      </c>
      <c r="X3" s="22"/>
      <c r="Y3" s="3">
        <v>458022</v>
      </c>
      <c r="Z3" s="4">
        <v>0</v>
      </c>
      <c r="AA3" s="3">
        <v>420119</v>
      </c>
      <c r="AB3" s="4">
        <v>0</v>
      </c>
      <c r="AC3" s="4">
        <v>0</v>
      </c>
      <c r="AD3" s="4">
        <v>0</v>
      </c>
      <c r="AE3" s="4">
        <v>1</v>
      </c>
      <c r="AF3" s="4">
        <v>90</v>
      </c>
      <c r="AG3" s="4">
        <v>0</v>
      </c>
      <c r="AH3" s="4">
        <v>0</v>
      </c>
      <c r="AI3" s="4">
        <v>0</v>
      </c>
      <c r="AJ3" s="4">
        <v>0</v>
      </c>
      <c r="AK3" s="4">
        <v>1</v>
      </c>
      <c r="AL3" s="4">
        <v>360</v>
      </c>
      <c r="AM3" s="4">
        <v>1</v>
      </c>
      <c r="AN3" s="4">
        <v>660</v>
      </c>
      <c r="AO3" s="4">
        <v>3</v>
      </c>
      <c r="AP3" s="1">
        <v>84</v>
      </c>
      <c r="AQ3" s="1">
        <v>0</v>
      </c>
      <c r="AR3" s="4">
        <v>0</v>
      </c>
      <c r="AS3" s="4">
        <v>83</v>
      </c>
      <c r="AT3" s="4">
        <v>2916</v>
      </c>
      <c r="AU3" s="4">
        <v>0</v>
      </c>
      <c r="AV3" s="4">
        <v>0</v>
      </c>
      <c r="AW3" s="4">
        <v>8012</v>
      </c>
      <c r="AX3" s="4">
        <v>24</v>
      </c>
      <c r="AY3" s="4">
        <v>69</v>
      </c>
      <c r="AZ3" s="4">
        <v>26</v>
      </c>
      <c r="BA3" s="4">
        <v>1</v>
      </c>
      <c r="BB3" s="4">
        <v>3</v>
      </c>
      <c r="BC3" s="4">
        <v>33</v>
      </c>
      <c r="BD3" s="4">
        <v>11</v>
      </c>
      <c r="BE3" s="4">
        <v>6</v>
      </c>
      <c r="BF3" s="4">
        <v>246219</v>
      </c>
      <c r="BH3" s="4">
        <f aca="true" t="shared" si="4" ref="BH3:BH45">1.518*(Y3)^0.9321</f>
        <v>286935.2654315811</v>
      </c>
      <c r="BI3" s="4">
        <f aca="true" t="shared" si="5" ref="BI3:BI45">0.748*Z3+1.613*AA3+1.774*AB3</f>
        <v>677651.947</v>
      </c>
      <c r="BJ3" s="4">
        <f aca="true" t="shared" si="6" ref="BJ3:BJ45">35453*AC3+56469*AE3+144773*AG3+178851*(AI3+AK3)+440*AN3</f>
        <v>525720</v>
      </c>
      <c r="BK3" s="4">
        <f aca="true" t="shared" si="7" ref="BK3:BK45">4047*(AO3+AP3)+85370*(AQ3+AR3)</f>
        <v>352089</v>
      </c>
      <c r="BL3" s="4">
        <f aca="true" t="shared" si="8" ref="BL3:BL45">135.8*(AS3+AT3)+430.2*AU3+1208.1*AV3</f>
        <v>407264.2</v>
      </c>
      <c r="BM3" s="4">
        <f aca="true" t="shared" si="9" ref="BM3:BM45">149.8*AW3</f>
        <v>1200197.6</v>
      </c>
      <c r="BN3" s="4">
        <v>36.138793014764396</v>
      </c>
      <c r="BO3" s="8">
        <f aca="true" t="shared" si="10" ref="BO3:BO45">AW3/(SUM(AO3:AR3)*1000)</f>
        <v>0.0920919540229885</v>
      </c>
      <c r="BP3" s="4">
        <f aca="true" t="shared" si="11" ref="BP3:BP45">SUM(BG3:BM3)</f>
        <v>3449858.0124315815</v>
      </c>
      <c r="BQ3" s="4">
        <f aca="true" t="shared" si="12" ref="BQ3:BQ45">(0.575+0.018*BN3)*BP3</f>
        <v>4227795.040696804</v>
      </c>
      <c r="BR3" s="4">
        <f aca="true" t="shared" si="13" ref="BR3:BR45">(0.711+13.544*BO3)*BP3</f>
        <v>6755834.263919673</v>
      </c>
      <c r="BS3" s="4">
        <v>10317312</v>
      </c>
      <c r="BT3" s="26"/>
      <c r="BU3" s="4">
        <f aca="true" t="shared" si="14" ref="BU3:BZ3">(BH3/(SUM($BH3:$BM3)))*100</f>
        <v>8.3173065209527</v>
      </c>
      <c r="BV3" s="4">
        <f t="shared" si="14"/>
        <v>19.64289383963275</v>
      </c>
      <c r="BW3" s="4">
        <f t="shared" si="14"/>
        <v>15.23888803845159</v>
      </c>
      <c r="BX3" s="4">
        <f t="shared" si="14"/>
        <v>10.205898292951346</v>
      </c>
      <c r="BY3" s="4">
        <f t="shared" si="14"/>
        <v>11.805245274803234</v>
      </c>
      <c r="BZ3" s="4">
        <f t="shared" si="14"/>
        <v>34.789768033208375</v>
      </c>
      <c r="CB3" s="4">
        <f>BY3+BZ3</f>
        <v>46.59501330801161</v>
      </c>
      <c r="CD3" s="4">
        <f aca="true" t="shared" si="15" ref="CD3:CD34">BU$128-BU3</f>
        <v>3.9830583945684683</v>
      </c>
      <c r="CE3" s="4">
        <f aca="true" t="shared" si="16" ref="CE3:CE34">BV$128-BV3</f>
        <v>7.652161241122439</v>
      </c>
      <c r="CF3" s="4">
        <f aca="true" t="shared" si="17" ref="CF3:CF34">BW$128-BW3</f>
        <v>-10.505497072657501</v>
      </c>
      <c r="CG3" s="4">
        <f aca="true" t="shared" si="18" ref="CG3:CG34">BX$128-BX3</f>
        <v>13.331171549059547</v>
      </c>
      <c r="CH3" s="4">
        <f aca="true" t="shared" si="19" ref="CH3:CH34">BY$128-BY3</f>
        <v>3.3340513045345777</v>
      </c>
      <c r="CI3" s="4">
        <f aca="true" t="shared" si="20" ref="CI3:CI34">BZ$128-BZ3</f>
        <v>-17.794945416627538</v>
      </c>
      <c r="CK3" s="4">
        <f aca="true" t="shared" si="21" ref="CK3:CK34">$CB$128-CB3</f>
        <v>-14.460894112092959</v>
      </c>
      <c r="CL3" s="4">
        <f aca="true" t="shared" si="22" ref="CL3:CL34">IF(CK3&lt;$CB$131,(CK3-$CB$131)*0.7005*0.75,0)</f>
        <v>-1.6767239969550316</v>
      </c>
      <c r="CM3" s="4">
        <f>SUM(BW3:BZ3)</f>
        <v>72.03979963941455</v>
      </c>
    </row>
    <row r="4" spans="1:91" ht="15">
      <c r="A4" s="22" t="s">
        <v>128</v>
      </c>
      <c r="B4" s="47">
        <v>5</v>
      </c>
      <c r="C4" s="23">
        <v>6155434</v>
      </c>
      <c r="D4" s="6">
        <v>0.2992138801515205</v>
      </c>
      <c r="E4" s="24">
        <f aca="true" t="shared" si="23" ref="E4:E45">C4*D4</f>
        <v>1841791.2911565944</v>
      </c>
      <c r="F4" s="25"/>
      <c r="G4" s="24">
        <f aca="true" t="shared" si="24" ref="G4:G45">C4*F4</f>
        <v>0</v>
      </c>
      <c r="H4" s="6">
        <v>0.14364400056058102</v>
      </c>
      <c r="I4" s="6">
        <f t="shared" si="0"/>
        <v>0</v>
      </c>
      <c r="J4" s="6">
        <f aca="true" t="shared" si="25" ref="J4:J45">CL4/100</f>
        <v>0</v>
      </c>
      <c r="K4" s="6">
        <f aca="true" t="shared" si="26" ref="K4:K46">IF(J4&lt;0,H4+J4,0)</f>
        <v>0</v>
      </c>
      <c r="L4" s="24">
        <f aca="true" t="shared" si="27" ref="L4:L45">IF(J4&lt;0,(H4+J4)*C4,H4*C4)</f>
        <v>884191.1649466194</v>
      </c>
      <c r="M4" s="24">
        <f aca="true" t="shared" si="28" ref="M4:M45">IF(D4&gt;0,C4-E4,"Over front")</f>
        <v>4313642.708843405</v>
      </c>
      <c r="N4" s="6">
        <f aca="true" t="shared" si="29" ref="N4:N45">IF(J4&lt;0,(H4+J4)/4,H4/4)</f>
        <v>0.035911000140145255</v>
      </c>
      <c r="O4" s="6">
        <f aca="true" t="shared" si="30" ref="O4:O45">IF(N4&gt;0.05,0.05,IF(N4&gt;0.01,N4,0))</f>
        <v>0.035911000140145255</v>
      </c>
      <c r="P4" s="24">
        <f aca="true" t="shared" si="31" ref="P4:P45">C4*O4</f>
        <v>221047.79123665486</v>
      </c>
      <c r="Q4" s="24"/>
      <c r="R4" s="24">
        <f aca="true" t="shared" si="32" ref="R4:R45">BP4</f>
        <v>6410546.422472362</v>
      </c>
      <c r="S4" s="24">
        <f aca="true" t="shared" si="33" ref="S4:S45">BQ4</f>
        <v>7274834.415770982</v>
      </c>
      <c r="T4" s="24">
        <f aca="true" t="shared" si="34" ref="T4:T45">BR4</f>
        <v>6932004.308025349</v>
      </c>
      <c r="U4" s="24">
        <f t="shared" si="1"/>
        <v>7949404.922472362</v>
      </c>
      <c r="V4" s="24">
        <f t="shared" si="2"/>
        <v>8813692.915770981</v>
      </c>
      <c r="W4" s="24">
        <f t="shared" si="3"/>
        <v>8470862.808025349</v>
      </c>
      <c r="X4" s="22"/>
      <c r="Y4" s="3">
        <v>1306457</v>
      </c>
      <c r="Z4" s="4">
        <v>0</v>
      </c>
      <c r="AA4" s="4">
        <v>1306457</v>
      </c>
      <c r="AB4" s="4">
        <v>0</v>
      </c>
      <c r="AC4" s="4">
        <v>4</v>
      </c>
      <c r="AD4" s="4">
        <v>0</v>
      </c>
      <c r="AE4" s="4">
        <v>5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116</v>
      </c>
      <c r="AP4" s="1">
        <v>140</v>
      </c>
      <c r="AQ4" s="1">
        <v>0</v>
      </c>
      <c r="AR4" s="4">
        <v>0</v>
      </c>
      <c r="AS4" s="4">
        <v>5859</v>
      </c>
      <c r="AT4" s="4">
        <v>1742</v>
      </c>
      <c r="AU4" s="4">
        <v>0</v>
      </c>
      <c r="AV4" s="4">
        <v>0</v>
      </c>
      <c r="AW4" s="4">
        <v>7000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665105</v>
      </c>
      <c r="BH4" s="4">
        <f t="shared" si="4"/>
        <v>762226.4814723628</v>
      </c>
      <c r="BI4" s="4">
        <f t="shared" si="5"/>
        <v>2107315.141</v>
      </c>
      <c r="BJ4" s="4">
        <f t="shared" si="6"/>
        <v>424157</v>
      </c>
      <c r="BK4" s="4">
        <f t="shared" si="7"/>
        <v>1036032</v>
      </c>
      <c r="BL4" s="4">
        <f t="shared" si="8"/>
        <v>1032215.8</v>
      </c>
      <c r="BM4" s="4">
        <f t="shared" si="9"/>
        <v>1048600</v>
      </c>
      <c r="BN4" s="54">
        <v>31.1012681840526</v>
      </c>
      <c r="BO4" s="8">
        <f t="shared" si="10"/>
        <v>0.02734375</v>
      </c>
      <c r="BP4" s="4">
        <f t="shared" si="11"/>
        <v>6410546.422472362</v>
      </c>
      <c r="BQ4" s="4">
        <f t="shared" si="12"/>
        <v>7274834.415770982</v>
      </c>
      <c r="BR4" s="4">
        <f t="shared" si="13"/>
        <v>6932004.308025349</v>
      </c>
      <c r="BS4" s="4">
        <v>8033996</v>
      </c>
      <c r="BT4" s="26"/>
      <c r="BU4" s="4">
        <f aca="true" t="shared" si="35" ref="BU4:BU45">(BH4/(SUM($BH4:$BM4)))*100</f>
        <v>11.890195175880093</v>
      </c>
      <c r="BV4" s="4">
        <f aca="true" t="shared" si="36" ref="BV4:BV45">(BI4/(SUM($BH4:$BM4)))*100</f>
        <v>32.87262897921999</v>
      </c>
      <c r="BW4" s="4">
        <f aca="true" t="shared" si="37" ref="BW4:BW45">(BJ4/(SUM($BH4:$BM4)))*100</f>
        <v>6.61654985467549</v>
      </c>
      <c r="BX4" s="4">
        <f aca="true" t="shared" si="38" ref="BX4:BX45">(BK4/(SUM($BH4:$BM4)))*100</f>
        <v>16.161368028911838</v>
      </c>
      <c r="BY4" s="4">
        <f aca="true" t="shared" si="39" ref="BY4:BY45">(BL4/(SUM($BH4:$BM4)))*100</f>
        <v>16.101838002163696</v>
      </c>
      <c r="BZ4" s="4">
        <f aca="true" t="shared" si="40" ref="BZ4:BZ45">(BM4/(SUM($BH4:$BM4)))*100</f>
        <v>16.3574199591489</v>
      </c>
      <c r="CB4" s="4">
        <f aca="true" t="shared" si="41" ref="CB4:CB45">BY4+BZ4</f>
        <v>32.459257961312595</v>
      </c>
      <c r="CD4" s="4">
        <f t="shared" si="15"/>
        <v>0.4101697396410753</v>
      </c>
      <c r="CE4" s="4">
        <f t="shared" si="16"/>
        <v>-5.577573898464799</v>
      </c>
      <c r="CF4" s="4">
        <f t="shared" si="17"/>
        <v>-1.8831588888814013</v>
      </c>
      <c r="CG4" s="4">
        <f t="shared" si="18"/>
        <v>7.375701813099056</v>
      </c>
      <c r="CH4" s="4">
        <f t="shared" si="19"/>
        <v>-0.9625414228258844</v>
      </c>
      <c r="CI4" s="4">
        <f t="shared" si="20"/>
        <v>0.637402657431938</v>
      </c>
      <c r="CK4" s="4">
        <f t="shared" si="21"/>
        <v>-0.3251387653939446</v>
      </c>
      <c r="CL4" s="4">
        <f t="shared" si="22"/>
        <v>0</v>
      </c>
      <c r="CM4" s="4">
        <f aca="true" t="shared" si="42" ref="CM4:CM45">SUM(BW4:BZ4)</f>
        <v>55.23717584489992</v>
      </c>
    </row>
    <row r="5" spans="1:91" ht="15">
      <c r="A5" s="22" t="s">
        <v>96</v>
      </c>
      <c r="B5" s="47">
        <v>3</v>
      </c>
      <c r="C5" s="24">
        <v>3464399.4530571527</v>
      </c>
      <c r="D5" s="6">
        <v>0.27043441070305085</v>
      </c>
      <c r="E5" s="24">
        <f t="shared" si="23"/>
        <v>936892.8245274827</v>
      </c>
      <c r="F5" s="25"/>
      <c r="G5" s="24">
        <f t="shared" si="24"/>
        <v>0</v>
      </c>
      <c r="H5" s="6">
        <v>0.11486453675397679</v>
      </c>
      <c r="I5" s="6">
        <f t="shared" si="0"/>
        <v>0</v>
      </c>
      <c r="J5" s="6">
        <f t="shared" si="25"/>
        <v>0</v>
      </c>
      <c r="K5" s="6">
        <f t="shared" si="26"/>
        <v>0</v>
      </c>
      <c r="L5" s="24">
        <f t="shared" si="27"/>
        <v>397936.6383061404</v>
      </c>
      <c r="M5" s="24">
        <f t="shared" si="28"/>
        <v>2527506.6285296697</v>
      </c>
      <c r="N5" s="6">
        <f t="shared" si="29"/>
        <v>0.028716134188494197</v>
      </c>
      <c r="O5" s="6">
        <f t="shared" si="30"/>
        <v>0.028716134188494197</v>
      </c>
      <c r="P5" s="24">
        <f t="shared" si="31"/>
        <v>99484.1595765351</v>
      </c>
      <c r="Q5" s="24"/>
      <c r="R5" s="24">
        <f t="shared" si="32"/>
        <v>3633446.9026509332</v>
      </c>
      <c r="S5" s="24">
        <f t="shared" si="33"/>
        <v>4122224.2914655013</v>
      </c>
      <c r="T5" s="24">
        <f t="shared" si="34"/>
        <v>4061691.349463921</v>
      </c>
      <c r="U5" s="24">
        <f t="shared" si="1"/>
        <v>4499546.765915222</v>
      </c>
      <c r="V5" s="24">
        <f t="shared" si="2"/>
        <v>4988324.154729789</v>
      </c>
      <c r="W5" s="24">
        <f t="shared" si="3"/>
        <v>4927791.212728209</v>
      </c>
      <c r="X5" s="22"/>
      <c r="Y5" s="3">
        <v>822789</v>
      </c>
      <c r="Z5" s="4">
        <v>0</v>
      </c>
      <c r="AA5" s="4">
        <v>774070</v>
      </c>
      <c r="AB5" s="4">
        <v>0</v>
      </c>
      <c r="AC5" s="3">
        <v>4</v>
      </c>
      <c r="AD5" s="3">
        <v>69</v>
      </c>
      <c r="AE5" s="3">
        <v>3</v>
      </c>
      <c r="AF5" s="3">
        <v>185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4">
        <v>62</v>
      </c>
      <c r="AP5" s="1">
        <v>63</v>
      </c>
      <c r="AQ5" s="1">
        <v>0</v>
      </c>
      <c r="AR5" s="4">
        <v>0</v>
      </c>
      <c r="AS5" s="3">
        <v>865</v>
      </c>
      <c r="AT5" s="3">
        <v>2890</v>
      </c>
      <c r="AU5" s="3">
        <v>0</v>
      </c>
      <c r="AV5" s="3">
        <v>0</v>
      </c>
      <c r="AW5" s="3">
        <v>3755</v>
      </c>
      <c r="AX5" s="3">
        <v>26</v>
      </c>
      <c r="AY5" s="3">
        <v>0</v>
      </c>
      <c r="AZ5" s="3">
        <v>10</v>
      </c>
      <c r="BA5" s="3">
        <v>3</v>
      </c>
      <c r="BB5" s="3">
        <v>3</v>
      </c>
      <c r="BC5" s="3">
        <v>3</v>
      </c>
      <c r="BD5" s="3">
        <v>4</v>
      </c>
      <c r="BE5" s="3">
        <v>3</v>
      </c>
      <c r="BF5" s="3">
        <v>380329</v>
      </c>
      <c r="BH5" s="4">
        <f t="shared" si="4"/>
        <v>495349.9926509332</v>
      </c>
      <c r="BI5" s="4">
        <f t="shared" si="5"/>
        <v>1248574.91</v>
      </c>
      <c r="BJ5" s="4">
        <f t="shared" si="6"/>
        <v>311219</v>
      </c>
      <c r="BK5" s="4">
        <f t="shared" si="7"/>
        <v>505875</v>
      </c>
      <c r="BL5" s="4">
        <f t="shared" si="8"/>
        <v>509929.00000000006</v>
      </c>
      <c r="BM5" s="4">
        <f t="shared" si="9"/>
        <v>562499</v>
      </c>
      <c r="BN5" s="4">
        <v>31.08453788907656</v>
      </c>
      <c r="BO5" s="8">
        <f t="shared" si="10"/>
        <v>0.03004</v>
      </c>
      <c r="BP5" s="4">
        <f t="shared" si="11"/>
        <v>3633446.9026509332</v>
      </c>
      <c r="BQ5" s="4">
        <f t="shared" si="12"/>
        <v>4122224.2914655013</v>
      </c>
      <c r="BR5" s="4">
        <f t="shared" si="13"/>
        <v>4061691.349463921</v>
      </c>
      <c r="BS5" s="4">
        <v>3230656</v>
      </c>
      <c r="BT5" s="26"/>
      <c r="BU5" s="4">
        <f t="shared" si="35"/>
        <v>13.633059899390023</v>
      </c>
      <c r="BV5" s="4">
        <f t="shared" si="36"/>
        <v>34.36337294729833</v>
      </c>
      <c r="BW5" s="4">
        <f t="shared" si="37"/>
        <v>8.565392816747568</v>
      </c>
      <c r="BX5" s="4">
        <f t="shared" si="38"/>
        <v>13.922729946347026</v>
      </c>
      <c r="BY5" s="4">
        <f t="shared" si="39"/>
        <v>14.034304440446343</v>
      </c>
      <c r="BZ5" s="4">
        <f t="shared" si="40"/>
        <v>15.481139949770705</v>
      </c>
      <c r="CB5" s="4">
        <f t="shared" si="41"/>
        <v>29.51544439021705</v>
      </c>
      <c r="CD5" s="4">
        <f t="shared" si="15"/>
        <v>-1.3326949838688549</v>
      </c>
      <c r="CE5" s="4">
        <f t="shared" si="16"/>
        <v>-7.06831786654314</v>
      </c>
      <c r="CF5" s="4">
        <f t="shared" si="17"/>
        <v>-3.8320018509534792</v>
      </c>
      <c r="CG5" s="4">
        <f t="shared" si="18"/>
        <v>9.614339895663868</v>
      </c>
      <c r="CH5" s="4">
        <f t="shared" si="19"/>
        <v>1.1049921388914683</v>
      </c>
      <c r="CI5" s="4">
        <f t="shared" si="20"/>
        <v>1.5136826668101317</v>
      </c>
      <c r="CK5" s="4">
        <f t="shared" si="21"/>
        <v>2.618674805701602</v>
      </c>
      <c r="CL5" s="4">
        <f t="shared" si="22"/>
        <v>0</v>
      </c>
      <c r="CM5" s="4">
        <f t="shared" si="42"/>
        <v>52.00356715331164</v>
      </c>
    </row>
    <row r="6" spans="1:91" ht="15">
      <c r="A6" s="22" t="s">
        <v>125</v>
      </c>
      <c r="B6" s="47">
        <v>3</v>
      </c>
      <c r="C6" s="24">
        <v>3139719</v>
      </c>
      <c r="D6" s="58">
        <v>0.12394079</v>
      </c>
      <c r="E6" s="24">
        <f t="shared" si="23"/>
        <v>389139.25323801</v>
      </c>
      <c r="F6" s="25"/>
      <c r="G6" s="24">
        <f t="shared" si="24"/>
        <v>0</v>
      </c>
      <c r="H6" s="6">
        <v>0</v>
      </c>
      <c r="I6" s="6">
        <f t="shared" si="0"/>
        <v>0</v>
      </c>
      <c r="J6" s="6">
        <f t="shared" si="25"/>
        <v>0</v>
      </c>
      <c r="K6" s="6">
        <f t="shared" si="26"/>
        <v>0</v>
      </c>
      <c r="L6" s="24">
        <f t="shared" si="27"/>
        <v>0</v>
      </c>
      <c r="M6" s="24">
        <f t="shared" si="28"/>
        <v>2750579.74676199</v>
      </c>
      <c r="N6" s="6">
        <f t="shared" si="29"/>
        <v>0</v>
      </c>
      <c r="O6" s="6">
        <f t="shared" si="30"/>
        <v>0</v>
      </c>
      <c r="P6" s="24">
        <f t="shared" si="31"/>
        <v>0</v>
      </c>
      <c r="Q6" s="24"/>
      <c r="R6" s="24">
        <f t="shared" si="32"/>
        <v>4299154.56013276</v>
      </c>
      <c r="S6" s="24">
        <f t="shared" si="33"/>
        <v>4220948.773121718</v>
      </c>
      <c r="T6" s="24">
        <f t="shared" si="34"/>
        <v>4420168.55123819</v>
      </c>
      <c r="U6" s="24">
        <f t="shared" si="1"/>
        <v>5084084.31013276</v>
      </c>
      <c r="V6" s="24">
        <f t="shared" si="2"/>
        <v>5005878.523121718</v>
      </c>
      <c r="W6" s="24">
        <f t="shared" si="3"/>
        <v>5205098.30123819</v>
      </c>
      <c r="X6" s="22"/>
      <c r="Y6" s="3">
        <v>1191285</v>
      </c>
      <c r="Z6" s="4">
        <v>0</v>
      </c>
      <c r="AA6" s="4">
        <v>854584</v>
      </c>
      <c r="AB6" s="4">
        <v>0</v>
      </c>
      <c r="AC6" s="4">
        <v>0</v>
      </c>
      <c r="AD6" s="4">
        <v>0</v>
      </c>
      <c r="AE6" s="4">
        <v>3</v>
      </c>
      <c r="AF6" s="4">
        <v>180</v>
      </c>
      <c r="AG6" s="4">
        <v>1</v>
      </c>
      <c r="AH6" s="4">
        <v>180</v>
      </c>
      <c r="AI6" s="4">
        <v>0</v>
      </c>
      <c r="AJ6" s="4">
        <v>0</v>
      </c>
      <c r="AK6" s="4">
        <v>1</v>
      </c>
      <c r="AL6" s="4">
        <v>410</v>
      </c>
      <c r="AM6" s="4">
        <v>0</v>
      </c>
      <c r="AN6" s="4">
        <v>0</v>
      </c>
      <c r="AO6" s="4">
        <v>70</v>
      </c>
      <c r="AP6" s="1">
        <v>91</v>
      </c>
      <c r="AQ6" s="1">
        <v>0</v>
      </c>
      <c r="AR6" s="4">
        <v>0</v>
      </c>
      <c r="AS6" s="4">
        <v>166</v>
      </c>
      <c r="AT6" s="4">
        <v>3604</v>
      </c>
      <c r="AU6" s="4">
        <v>0</v>
      </c>
      <c r="AV6" s="4">
        <v>0</v>
      </c>
      <c r="AW6" s="4">
        <v>3770</v>
      </c>
      <c r="AX6" s="4">
        <v>17</v>
      </c>
      <c r="AY6" s="4">
        <v>476</v>
      </c>
      <c r="AZ6" s="4">
        <v>12</v>
      </c>
      <c r="BA6" s="4">
        <v>2</v>
      </c>
      <c r="BB6" s="4">
        <v>2</v>
      </c>
      <c r="BC6" s="4">
        <v>2</v>
      </c>
      <c r="BD6" s="4">
        <v>2</v>
      </c>
      <c r="BE6" s="4">
        <v>1</v>
      </c>
      <c r="BF6" s="4">
        <v>561580</v>
      </c>
      <c r="BH6" s="4">
        <f t="shared" si="4"/>
        <v>699400.5681327593</v>
      </c>
      <c r="BI6" s="4">
        <f t="shared" si="5"/>
        <v>1378443.992</v>
      </c>
      <c r="BJ6" s="4">
        <f t="shared" si="6"/>
        <v>493031</v>
      </c>
      <c r="BK6" s="4">
        <f t="shared" si="7"/>
        <v>651567</v>
      </c>
      <c r="BL6" s="4">
        <f t="shared" si="8"/>
        <v>511966.00000000006</v>
      </c>
      <c r="BM6" s="4">
        <f t="shared" si="9"/>
        <v>564746</v>
      </c>
      <c r="BN6" s="4">
        <v>22.600501726338567</v>
      </c>
      <c r="BO6" s="8">
        <f t="shared" si="10"/>
        <v>0.02341614906832298</v>
      </c>
      <c r="BP6" s="4">
        <f t="shared" si="11"/>
        <v>4299154.56013276</v>
      </c>
      <c r="BQ6" s="4">
        <f t="shared" si="12"/>
        <v>4220948.773121718</v>
      </c>
      <c r="BR6" s="4">
        <f t="shared" si="13"/>
        <v>4420168.55123819</v>
      </c>
      <c r="BS6" s="4">
        <v>2945621</v>
      </c>
      <c r="BT6" s="26"/>
      <c r="BU6" s="4">
        <f t="shared" si="35"/>
        <v>16.26832807125598</v>
      </c>
      <c r="BV6" s="4">
        <f t="shared" si="36"/>
        <v>32.06314108319551</v>
      </c>
      <c r="BW6" s="4">
        <f t="shared" si="37"/>
        <v>11.468091995854529</v>
      </c>
      <c r="BX6" s="4">
        <f t="shared" si="38"/>
        <v>15.155700752007375</v>
      </c>
      <c r="BY6" s="4">
        <f t="shared" si="39"/>
        <v>11.908527428801962</v>
      </c>
      <c r="BZ6" s="4">
        <f t="shared" si="40"/>
        <v>13.136210668884637</v>
      </c>
      <c r="CB6" s="4">
        <f t="shared" si="41"/>
        <v>25.044738097686597</v>
      </c>
      <c r="CD6" s="4">
        <f t="shared" si="15"/>
        <v>-3.967963155734811</v>
      </c>
      <c r="CE6" s="4">
        <f t="shared" si="16"/>
        <v>-4.76808600244032</v>
      </c>
      <c r="CF6" s="4">
        <f t="shared" si="17"/>
        <v>-6.73470103006044</v>
      </c>
      <c r="CG6" s="4">
        <f t="shared" si="18"/>
        <v>8.381369090003519</v>
      </c>
      <c r="CH6" s="4">
        <f t="shared" si="19"/>
        <v>3.230769150535849</v>
      </c>
      <c r="CI6" s="4">
        <f t="shared" si="20"/>
        <v>3.8586119476962004</v>
      </c>
      <c r="CK6" s="4">
        <f t="shared" si="21"/>
        <v>7.089381098232053</v>
      </c>
      <c r="CL6" s="4">
        <f t="shared" si="22"/>
        <v>0</v>
      </c>
      <c r="CM6" s="4">
        <f t="shared" si="42"/>
        <v>51.6685308455485</v>
      </c>
    </row>
    <row r="7" spans="1:91" ht="15">
      <c r="A7" s="22" t="s">
        <v>121</v>
      </c>
      <c r="B7" s="47">
        <v>5</v>
      </c>
      <c r="C7" s="23">
        <v>2229257</v>
      </c>
      <c r="D7" s="6">
        <v>0.09993668</v>
      </c>
      <c r="E7" s="24">
        <f t="shared" si="23"/>
        <v>222784.54344676</v>
      </c>
      <c r="F7" s="25"/>
      <c r="G7" s="24">
        <f t="shared" si="24"/>
        <v>0</v>
      </c>
      <c r="H7" s="6">
        <v>0</v>
      </c>
      <c r="I7" s="6">
        <f t="shared" si="0"/>
        <v>0</v>
      </c>
      <c r="J7" s="6">
        <f t="shared" si="25"/>
        <v>0</v>
      </c>
      <c r="K7" s="6">
        <f t="shared" si="26"/>
        <v>0</v>
      </c>
      <c r="L7" s="24">
        <f t="shared" si="27"/>
        <v>0</v>
      </c>
      <c r="M7" s="24">
        <f t="shared" si="28"/>
        <v>2006472.45655324</v>
      </c>
      <c r="N7" s="6">
        <f t="shared" si="29"/>
        <v>0</v>
      </c>
      <c r="O7" s="6">
        <f t="shared" si="30"/>
        <v>0</v>
      </c>
      <c r="P7" s="24">
        <f t="shared" si="31"/>
        <v>0</v>
      </c>
      <c r="Q7" s="24"/>
      <c r="R7" s="24">
        <f t="shared" si="32"/>
        <v>2647278.5724743106</v>
      </c>
      <c r="S7" s="24">
        <f t="shared" si="33"/>
        <v>3032041.8341572</v>
      </c>
      <c r="T7" s="24">
        <f t="shared" si="34"/>
        <v>3224391.935417603</v>
      </c>
      <c r="U7" s="24">
        <f t="shared" si="1"/>
        <v>3204592.8224743106</v>
      </c>
      <c r="V7" s="24">
        <f t="shared" si="2"/>
        <v>3589356.0841572</v>
      </c>
      <c r="W7" s="24">
        <f t="shared" si="3"/>
        <v>3781706.185417603</v>
      </c>
      <c r="X7" s="22"/>
      <c r="Y7" s="3">
        <v>546958</v>
      </c>
      <c r="Z7" s="4">
        <v>0</v>
      </c>
      <c r="AA7" s="4">
        <v>518354</v>
      </c>
      <c r="AB7" s="4">
        <v>0</v>
      </c>
      <c r="AC7" s="4">
        <v>3</v>
      </c>
      <c r="AD7" s="4">
        <v>140</v>
      </c>
      <c r="AE7" s="4">
        <v>0</v>
      </c>
      <c r="AF7" s="4">
        <v>0</v>
      </c>
      <c r="AG7" s="4">
        <v>1</v>
      </c>
      <c r="AH7" s="4">
        <v>200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5</v>
      </c>
      <c r="AP7" s="1">
        <v>78</v>
      </c>
      <c r="AQ7" s="1">
        <v>0</v>
      </c>
      <c r="AR7" s="4">
        <v>0</v>
      </c>
      <c r="AS7" s="4">
        <v>232</v>
      </c>
      <c r="AT7" s="4">
        <v>2862</v>
      </c>
      <c r="AU7" s="4">
        <v>0</v>
      </c>
      <c r="AV7" s="4">
        <v>0</v>
      </c>
      <c r="AW7" s="4">
        <v>3107</v>
      </c>
      <c r="AX7" s="4">
        <v>19</v>
      </c>
      <c r="AY7" s="4">
        <v>0</v>
      </c>
      <c r="AZ7" s="4">
        <v>10</v>
      </c>
      <c r="BA7" s="4">
        <v>3</v>
      </c>
      <c r="BB7" s="4">
        <v>2</v>
      </c>
      <c r="BC7" s="4">
        <v>2</v>
      </c>
      <c r="BD7" s="4">
        <v>0</v>
      </c>
      <c r="BE7" s="4">
        <v>2</v>
      </c>
      <c r="BF7" s="4">
        <v>248556</v>
      </c>
      <c r="BH7" s="4">
        <f t="shared" si="4"/>
        <v>338546.77047431056</v>
      </c>
      <c r="BI7" s="4">
        <f t="shared" si="5"/>
        <v>836105.002</v>
      </c>
      <c r="BJ7" s="4">
        <f t="shared" si="6"/>
        <v>251132</v>
      </c>
      <c r="BK7" s="4">
        <f t="shared" si="7"/>
        <v>335901</v>
      </c>
      <c r="BL7" s="4">
        <f t="shared" si="8"/>
        <v>420165.2</v>
      </c>
      <c r="BM7" s="4">
        <f t="shared" si="9"/>
        <v>465428.60000000003</v>
      </c>
      <c r="BN7" s="4">
        <v>31.685719118904352</v>
      </c>
      <c r="BO7" s="8">
        <f t="shared" si="10"/>
        <v>0.03743373493975904</v>
      </c>
      <c r="BP7" s="4">
        <f t="shared" si="11"/>
        <v>2647278.5724743106</v>
      </c>
      <c r="BQ7" s="4">
        <f t="shared" si="12"/>
        <v>3032041.8341572</v>
      </c>
      <c r="BR7" s="4">
        <f t="shared" si="13"/>
        <v>3224391.935417603</v>
      </c>
      <c r="BS7" s="4">
        <v>3613835</v>
      </c>
      <c r="BT7" s="26"/>
      <c r="BU7" s="4">
        <f t="shared" si="35"/>
        <v>12.78848301022902</v>
      </c>
      <c r="BV7" s="4">
        <f t="shared" si="36"/>
        <v>31.583567014578463</v>
      </c>
      <c r="BW7" s="4">
        <f t="shared" si="37"/>
        <v>9.486421361590082</v>
      </c>
      <c r="BX7" s="4">
        <f t="shared" si="38"/>
        <v>12.688539978097058</v>
      </c>
      <c r="BY7" s="4">
        <f t="shared" si="39"/>
        <v>15.871589955389076</v>
      </c>
      <c r="BZ7" s="4">
        <f t="shared" si="40"/>
        <v>17.581398680116298</v>
      </c>
      <c r="CB7" s="4">
        <f t="shared" si="41"/>
        <v>33.45298863550538</v>
      </c>
      <c r="CD7" s="4">
        <f t="shared" si="15"/>
        <v>-0.4881180947078523</v>
      </c>
      <c r="CE7" s="4">
        <f t="shared" si="16"/>
        <v>-4.288511933823273</v>
      </c>
      <c r="CF7" s="4">
        <f t="shared" si="17"/>
        <v>-4.753030395795993</v>
      </c>
      <c r="CG7" s="4">
        <f t="shared" si="18"/>
        <v>10.848529863913836</v>
      </c>
      <c r="CH7" s="4">
        <f t="shared" si="19"/>
        <v>-0.7322933760512651</v>
      </c>
      <c r="CI7" s="4">
        <f t="shared" si="20"/>
        <v>-0.5865760635354604</v>
      </c>
      <c r="CK7" s="4">
        <f t="shared" si="21"/>
        <v>-1.3188694395867273</v>
      </c>
      <c r="CL7" s="4">
        <f t="shared" si="22"/>
        <v>0</v>
      </c>
      <c r="CM7" s="4">
        <f t="shared" si="42"/>
        <v>55.62794997519251</v>
      </c>
    </row>
    <row r="8" spans="1:91" ht="15">
      <c r="A8" s="22" t="s">
        <v>74</v>
      </c>
      <c r="B8" s="47">
        <v>5</v>
      </c>
      <c r="C8" s="23">
        <v>380775</v>
      </c>
      <c r="D8" s="6">
        <v>0</v>
      </c>
      <c r="E8" s="24">
        <f t="shared" si="23"/>
        <v>0</v>
      </c>
      <c r="F8" s="25"/>
      <c r="G8" s="24">
        <f t="shared" si="24"/>
        <v>0</v>
      </c>
      <c r="H8" s="6">
        <v>0</v>
      </c>
      <c r="I8" s="6">
        <f t="shared" si="0"/>
        <v>0</v>
      </c>
      <c r="J8" s="6">
        <f t="shared" si="25"/>
        <v>0</v>
      </c>
      <c r="K8" s="6">
        <f t="shared" si="26"/>
        <v>0</v>
      </c>
      <c r="L8" s="24">
        <f t="shared" si="27"/>
        <v>0</v>
      </c>
      <c r="M8" s="24">
        <v>851346</v>
      </c>
      <c r="N8" s="6">
        <f t="shared" si="29"/>
        <v>0</v>
      </c>
      <c r="O8" s="6">
        <f t="shared" si="30"/>
        <v>0</v>
      </c>
      <c r="P8" s="24">
        <f t="shared" si="31"/>
        <v>0</v>
      </c>
      <c r="Q8" s="24"/>
      <c r="R8" s="24">
        <f t="shared" si="32"/>
        <v>1368109.1714163912</v>
      </c>
      <c r="S8" s="24">
        <f t="shared" si="33"/>
        <v>1008296.4593338801</v>
      </c>
      <c r="T8" s="24">
        <f t="shared" si="34"/>
        <v>1368109.1714163912</v>
      </c>
      <c r="U8" s="24">
        <f t="shared" si="1"/>
        <v>1463302.9214163912</v>
      </c>
      <c r="V8" s="24">
        <f t="shared" si="2"/>
        <v>1103490.20933388</v>
      </c>
      <c r="W8" s="24">
        <f t="shared" si="3"/>
        <v>1463302.9214163912</v>
      </c>
      <c r="X8" s="22"/>
      <c r="Y8" s="3">
        <v>536444</v>
      </c>
      <c r="Z8" s="4">
        <v>0</v>
      </c>
      <c r="AA8" s="3">
        <v>525422</v>
      </c>
      <c r="AB8" s="4">
        <v>0</v>
      </c>
      <c r="AC8" s="3">
        <v>4</v>
      </c>
      <c r="AD8" s="3">
        <v>40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4">
        <v>11</v>
      </c>
      <c r="AP8" s="1">
        <v>0</v>
      </c>
      <c r="AQ8" s="1">
        <v>0</v>
      </c>
      <c r="AR8" s="4">
        <v>0</v>
      </c>
      <c r="AS8" s="3">
        <v>0</v>
      </c>
      <c r="AT8" s="3">
        <v>0</v>
      </c>
      <c r="AU8" s="3">
        <v>0</v>
      </c>
      <c r="AV8" s="3">
        <v>0</v>
      </c>
      <c r="AW8" s="3">
        <v>12</v>
      </c>
      <c r="AX8" s="3">
        <v>4</v>
      </c>
      <c r="AY8" s="3">
        <v>0</v>
      </c>
      <c r="AZ8" s="3">
        <v>0</v>
      </c>
      <c r="BA8" s="3">
        <v>1</v>
      </c>
      <c r="BB8" s="3">
        <v>1</v>
      </c>
      <c r="BC8" s="3">
        <v>0</v>
      </c>
      <c r="BD8" s="3">
        <v>1</v>
      </c>
      <c r="BE8" s="3">
        <v>1</v>
      </c>
      <c r="BF8" s="3">
        <v>241865</v>
      </c>
      <c r="BH8" s="4">
        <f t="shared" si="4"/>
        <v>332476.885416391</v>
      </c>
      <c r="BI8" s="4">
        <f t="shared" si="5"/>
        <v>847505.686</v>
      </c>
      <c r="BJ8" s="4">
        <f t="shared" si="6"/>
        <v>141812</v>
      </c>
      <c r="BK8" s="4">
        <f t="shared" si="7"/>
        <v>44517</v>
      </c>
      <c r="BL8" s="4">
        <f t="shared" si="8"/>
        <v>0</v>
      </c>
      <c r="BM8" s="4">
        <f t="shared" si="9"/>
        <v>1797.6000000000001</v>
      </c>
      <c r="BN8" s="4">
        <v>9</v>
      </c>
      <c r="BO8" s="8">
        <f t="shared" si="10"/>
        <v>0.001090909090909091</v>
      </c>
      <c r="BP8" s="4">
        <f t="shared" si="11"/>
        <v>1368109.1714163912</v>
      </c>
      <c r="BQ8" s="4">
        <f t="shared" si="12"/>
        <v>1008296.4593338801</v>
      </c>
      <c r="BR8" s="4">
        <f>BP8</f>
        <v>1368109.1714163912</v>
      </c>
      <c r="BS8" s="4">
        <v>720866</v>
      </c>
      <c r="BT8" s="26"/>
      <c r="BU8" s="4">
        <f t="shared" si="35"/>
        <v>24.301926510161515</v>
      </c>
      <c r="BV8" s="4">
        <f t="shared" si="36"/>
        <v>61.947226413414434</v>
      </c>
      <c r="BW8" s="4">
        <f t="shared" si="37"/>
        <v>10.365547060340463</v>
      </c>
      <c r="BX8" s="4">
        <f t="shared" si="38"/>
        <v>3.253906992956706</v>
      </c>
      <c r="BY8" s="4">
        <f t="shared" si="39"/>
        <v>0</v>
      </c>
      <c r="BZ8" s="4">
        <f t="shared" si="40"/>
        <v>0.13139302312687232</v>
      </c>
      <c r="CB8" s="4">
        <f t="shared" si="41"/>
        <v>0.13139302312687232</v>
      </c>
      <c r="CD8" s="4">
        <f t="shared" si="15"/>
        <v>-12.001561594640346</v>
      </c>
      <c r="CE8" s="4">
        <f t="shared" si="16"/>
        <v>-34.65217133265924</v>
      </c>
      <c r="CF8" s="4">
        <f t="shared" si="17"/>
        <v>-5.632156094546374</v>
      </c>
      <c r="CG8" s="4">
        <f t="shared" si="18"/>
        <v>20.283162849054186</v>
      </c>
      <c r="CH8" s="4">
        <f t="shared" si="19"/>
        <v>15.139296579337811</v>
      </c>
      <c r="CI8" s="4">
        <f t="shared" si="20"/>
        <v>16.863429593453965</v>
      </c>
      <c r="CK8" s="4">
        <f t="shared" si="21"/>
        <v>32.002726172791775</v>
      </c>
      <c r="CL8" s="4">
        <f t="shared" si="22"/>
        <v>0</v>
      </c>
      <c r="CM8" s="4">
        <f t="shared" si="42"/>
        <v>13.75084707642404</v>
      </c>
    </row>
    <row r="9" spans="1:91" ht="15">
      <c r="A9" s="22" t="s">
        <v>44</v>
      </c>
      <c r="B9" s="47">
        <v>1</v>
      </c>
      <c r="C9" s="24">
        <v>2034845.1345577124</v>
      </c>
      <c r="D9" s="6">
        <v>0.5259613543031041</v>
      </c>
      <c r="E9" s="24">
        <f t="shared" si="23"/>
        <v>1070249.9027690564</v>
      </c>
      <c r="F9" s="25"/>
      <c r="G9" s="24">
        <f t="shared" si="24"/>
        <v>0</v>
      </c>
      <c r="H9" s="6">
        <v>0.3703912959005756</v>
      </c>
      <c r="I9" s="6">
        <f t="shared" si="0"/>
        <v>0</v>
      </c>
      <c r="J9" s="6">
        <f t="shared" si="25"/>
        <v>0</v>
      </c>
      <c r="K9" s="6">
        <f t="shared" si="26"/>
        <v>0</v>
      </c>
      <c r="L9" s="24">
        <f t="shared" si="27"/>
        <v>753688.9263458123</v>
      </c>
      <c r="M9" s="24">
        <f t="shared" si="28"/>
        <v>964595.231788656</v>
      </c>
      <c r="N9" s="6">
        <f t="shared" si="29"/>
        <v>0.0925978239751439</v>
      </c>
      <c r="O9" s="6">
        <f t="shared" si="30"/>
        <v>0.05</v>
      </c>
      <c r="P9" s="24">
        <f t="shared" si="31"/>
        <v>101742.25672788563</v>
      </c>
      <c r="Q9" s="24"/>
      <c r="R9" s="24">
        <f t="shared" si="32"/>
        <v>1355883.194340827</v>
      </c>
      <c r="S9" s="24">
        <f t="shared" si="33"/>
        <v>1615474.6786992883</v>
      </c>
      <c r="T9" s="24">
        <f t="shared" si="34"/>
        <v>1550100.4641533217</v>
      </c>
      <c r="U9" s="24">
        <f t="shared" si="1"/>
        <v>1864594.4779802551</v>
      </c>
      <c r="V9" s="24">
        <f t="shared" si="2"/>
        <v>2124185.9623387163</v>
      </c>
      <c r="W9" s="24">
        <f t="shared" si="3"/>
        <v>2058811.7477927497</v>
      </c>
      <c r="X9" s="22"/>
      <c r="Y9" s="1">
        <v>266401</v>
      </c>
      <c r="Z9" s="4">
        <v>0</v>
      </c>
      <c r="AA9" s="1">
        <v>261422</v>
      </c>
      <c r="AB9" s="4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1">
        <v>28</v>
      </c>
      <c r="AP9" s="1">
        <v>30</v>
      </c>
      <c r="AQ9" s="1">
        <v>0</v>
      </c>
      <c r="AR9" s="1">
        <v>0</v>
      </c>
      <c r="AS9" s="3">
        <v>301</v>
      </c>
      <c r="AT9" s="3">
        <v>1533</v>
      </c>
      <c r="AU9" s="3">
        <v>0</v>
      </c>
      <c r="AV9" s="3">
        <v>0</v>
      </c>
      <c r="AW9" s="3">
        <v>1851</v>
      </c>
      <c r="AX9" s="3">
        <v>9</v>
      </c>
      <c r="AY9" s="3">
        <v>0</v>
      </c>
      <c r="AZ9" s="3">
        <v>3</v>
      </c>
      <c r="BA9" s="3">
        <v>1</v>
      </c>
      <c r="BB9" s="3">
        <v>1</v>
      </c>
      <c r="BC9" s="3">
        <v>1</v>
      </c>
      <c r="BD9" s="3">
        <v>1</v>
      </c>
      <c r="BE9" s="3">
        <v>2</v>
      </c>
      <c r="BF9" s="3">
        <v>114728</v>
      </c>
      <c r="BH9" s="4">
        <f t="shared" si="4"/>
        <v>173146.50834082693</v>
      </c>
      <c r="BI9" s="4">
        <f t="shared" si="5"/>
        <v>421673.686</v>
      </c>
      <c r="BJ9" s="4">
        <f t="shared" si="6"/>
        <v>0</v>
      </c>
      <c r="BK9" s="4">
        <f t="shared" si="7"/>
        <v>234726</v>
      </c>
      <c r="BL9" s="4">
        <f t="shared" si="8"/>
        <v>249057.2</v>
      </c>
      <c r="BM9" s="4">
        <f t="shared" si="9"/>
        <v>277279.80000000005</v>
      </c>
      <c r="BN9" s="4">
        <v>34.247535540013985</v>
      </c>
      <c r="BO9" s="8">
        <f t="shared" si="10"/>
        <v>0.031913793103448274</v>
      </c>
      <c r="BP9" s="4">
        <f t="shared" si="11"/>
        <v>1355883.194340827</v>
      </c>
      <c r="BQ9" s="4">
        <f t="shared" si="12"/>
        <v>1615474.6786992883</v>
      </c>
      <c r="BR9" s="4">
        <f t="shared" si="13"/>
        <v>1550100.4641533217</v>
      </c>
      <c r="BS9" s="4">
        <v>2705395</v>
      </c>
      <c r="BT9" s="26"/>
      <c r="BU9" s="4">
        <f t="shared" si="35"/>
        <v>12.770016551831622</v>
      </c>
      <c r="BV9" s="4">
        <f t="shared" si="36"/>
        <v>31.099558410339313</v>
      </c>
      <c r="BW9" s="4">
        <f t="shared" si="37"/>
        <v>0</v>
      </c>
      <c r="BX9" s="4">
        <f t="shared" si="38"/>
        <v>17.311668215941996</v>
      </c>
      <c r="BY9" s="4">
        <f t="shared" si="39"/>
        <v>18.368632419039688</v>
      </c>
      <c r="BZ9" s="4">
        <f t="shared" si="40"/>
        <v>20.450124402847383</v>
      </c>
      <c r="CB9" s="4">
        <f t="shared" si="41"/>
        <v>38.81875682188707</v>
      </c>
      <c r="CD9" s="4">
        <f t="shared" si="15"/>
        <v>-0.4696516363104539</v>
      </c>
      <c r="CE9" s="4">
        <f t="shared" si="16"/>
        <v>-3.804503329584122</v>
      </c>
      <c r="CF9" s="4">
        <f t="shared" si="17"/>
        <v>4.733390965794089</v>
      </c>
      <c r="CG9" s="4">
        <f t="shared" si="18"/>
        <v>6.225401626068898</v>
      </c>
      <c r="CH9" s="4">
        <f t="shared" si="19"/>
        <v>-3.2293358397018768</v>
      </c>
      <c r="CI9" s="4">
        <f t="shared" si="20"/>
        <v>-3.4553017862665456</v>
      </c>
      <c r="CK9" s="4">
        <f t="shared" si="21"/>
        <v>-6.684637625968421</v>
      </c>
      <c r="CL9" s="4">
        <f t="shared" si="22"/>
        <v>0</v>
      </c>
      <c r="CM9" s="4">
        <f t="shared" si="42"/>
        <v>56.13042503782907</v>
      </c>
    </row>
    <row r="10" spans="1:91" ht="15">
      <c r="A10" s="22" t="s">
        <v>134</v>
      </c>
      <c r="B10" s="47">
        <v>8</v>
      </c>
      <c r="C10" s="23">
        <v>589059</v>
      </c>
      <c r="D10" s="6">
        <v>0.3087137713092374</v>
      </c>
      <c r="E10" s="24">
        <f t="shared" si="23"/>
        <v>181850.62541364806</v>
      </c>
      <c r="F10" s="25"/>
      <c r="G10" s="24">
        <f t="shared" si="24"/>
        <v>0</v>
      </c>
      <c r="H10" s="6">
        <v>0.16333240432173646</v>
      </c>
      <c r="I10" s="6">
        <f t="shared" si="0"/>
        <v>0</v>
      </c>
      <c r="J10" s="6">
        <f t="shared" si="25"/>
        <v>0</v>
      </c>
      <c r="K10" s="6">
        <f t="shared" si="26"/>
        <v>0</v>
      </c>
      <c r="L10" s="24">
        <f t="shared" si="27"/>
        <v>96212.42275735775</v>
      </c>
      <c r="M10" s="24">
        <f t="shared" si="28"/>
        <v>407208.3745863519</v>
      </c>
      <c r="N10" s="6">
        <f t="shared" si="29"/>
        <v>0.040833101080434114</v>
      </c>
      <c r="O10" s="6">
        <f t="shared" si="30"/>
        <v>0.040833101080434114</v>
      </c>
      <c r="P10" s="24">
        <f t="shared" si="31"/>
        <v>24053.105689339438</v>
      </c>
      <c r="Q10" s="24"/>
      <c r="R10" s="24">
        <f t="shared" si="32"/>
        <v>701729.8987716688</v>
      </c>
      <c r="S10" s="24">
        <f t="shared" si="33"/>
        <v>694429.0078840734</v>
      </c>
      <c r="T10" s="24">
        <f t="shared" si="34"/>
        <v>602787.7729646052</v>
      </c>
      <c r="U10" s="24">
        <f t="shared" si="1"/>
        <v>848994.6487716688</v>
      </c>
      <c r="V10" s="24">
        <f t="shared" si="2"/>
        <v>841693.7578840734</v>
      </c>
      <c r="W10" s="24">
        <f t="shared" si="3"/>
        <v>750052.5229646052</v>
      </c>
      <c r="X10" s="22"/>
      <c r="Y10" s="3">
        <v>264000</v>
      </c>
      <c r="Z10" s="4">
        <v>0</v>
      </c>
      <c r="AA10" s="3">
        <v>0</v>
      </c>
      <c r="AB10" s="4">
        <v>0</v>
      </c>
      <c r="AC10" s="4">
        <v>1</v>
      </c>
      <c r="AD10" s="4">
        <v>10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43</v>
      </c>
      <c r="AP10" s="1">
        <v>26</v>
      </c>
      <c r="AQ10" s="1">
        <v>0</v>
      </c>
      <c r="AR10" s="4">
        <v>0</v>
      </c>
      <c r="AS10" s="4">
        <v>116</v>
      </c>
      <c r="AT10" s="4">
        <v>638</v>
      </c>
      <c r="AU10" s="4">
        <v>0</v>
      </c>
      <c r="AV10" s="4">
        <v>0</v>
      </c>
      <c r="AW10" s="4">
        <v>754</v>
      </c>
      <c r="AX10" s="4">
        <v>6</v>
      </c>
      <c r="AY10" s="4">
        <v>0</v>
      </c>
      <c r="AZ10" s="4">
        <v>0</v>
      </c>
      <c r="BA10" s="4">
        <v>6</v>
      </c>
      <c r="BB10" s="4">
        <v>0</v>
      </c>
      <c r="BC10" s="4">
        <v>0</v>
      </c>
      <c r="BD10" s="4">
        <v>0</v>
      </c>
      <c r="BE10" s="4">
        <v>0</v>
      </c>
      <c r="BF10" s="4">
        <v>117000</v>
      </c>
      <c r="BH10" s="4">
        <f t="shared" si="4"/>
        <v>171691.49877166888</v>
      </c>
      <c r="BI10" s="4">
        <f t="shared" si="5"/>
        <v>0</v>
      </c>
      <c r="BJ10" s="4">
        <f t="shared" si="6"/>
        <v>35453</v>
      </c>
      <c r="BK10" s="4">
        <f t="shared" si="7"/>
        <v>279243</v>
      </c>
      <c r="BL10" s="4">
        <f t="shared" si="8"/>
        <v>102393.20000000001</v>
      </c>
      <c r="BM10" s="4">
        <f t="shared" si="9"/>
        <v>112949.20000000001</v>
      </c>
      <c r="BN10" s="4">
        <v>23.033103746709457</v>
      </c>
      <c r="BO10" s="8">
        <f t="shared" si="10"/>
        <v>0.010927536231884059</v>
      </c>
      <c r="BP10" s="4">
        <f t="shared" si="11"/>
        <v>701729.8987716688</v>
      </c>
      <c r="BQ10" s="4">
        <f t="shared" si="12"/>
        <v>694429.0078840734</v>
      </c>
      <c r="BR10" s="4">
        <f t="shared" si="13"/>
        <v>602787.7729646052</v>
      </c>
      <c r="BS10" s="4">
        <v>546474</v>
      </c>
      <c r="BT10" s="26"/>
      <c r="BU10" s="4">
        <f t="shared" si="35"/>
        <v>24.466892328829562</v>
      </c>
      <c r="BV10" s="4">
        <f t="shared" si="36"/>
        <v>0</v>
      </c>
      <c r="BW10" s="4">
        <f t="shared" si="37"/>
        <v>5.052228793736465</v>
      </c>
      <c r="BX10" s="4">
        <f t="shared" si="38"/>
        <v>39.79351606491275</v>
      </c>
      <c r="BY10" s="4">
        <f t="shared" si="39"/>
        <v>14.591540160855686</v>
      </c>
      <c r="BZ10" s="4">
        <f t="shared" si="40"/>
        <v>16.09582265166555</v>
      </c>
      <c r="CB10" s="4">
        <f t="shared" si="41"/>
        <v>30.687362812521236</v>
      </c>
      <c r="CD10" s="4">
        <f t="shared" si="15"/>
        <v>-12.166527413308394</v>
      </c>
      <c r="CE10" s="4">
        <f t="shared" si="16"/>
        <v>27.29505508075519</v>
      </c>
      <c r="CF10" s="4">
        <f t="shared" si="17"/>
        <v>-0.31883782794237625</v>
      </c>
      <c r="CG10" s="4">
        <f t="shared" si="18"/>
        <v>-16.256446222901857</v>
      </c>
      <c r="CH10" s="4">
        <f t="shared" si="19"/>
        <v>0.5477564184821251</v>
      </c>
      <c r="CI10" s="4">
        <f t="shared" si="20"/>
        <v>0.8989999649152871</v>
      </c>
      <c r="CK10" s="4">
        <f t="shared" si="21"/>
        <v>1.446756383397414</v>
      </c>
      <c r="CL10" s="4">
        <f t="shared" si="22"/>
        <v>0</v>
      </c>
      <c r="CM10" s="4">
        <f t="shared" si="42"/>
        <v>75.53310767117046</v>
      </c>
    </row>
    <row r="11" spans="1:91" ht="15">
      <c r="A11" s="22" t="s">
        <v>106</v>
      </c>
      <c r="B11" s="47">
        <v>8</v>
      </c>
      <c r="C11" s="23">
        <v>1181310</v>
      </c>
      <c r="D11" s="6">
        <v>0.14247893</v>
      </c>
      <c r="E11" s="24">
        <f t="shared" si="23"/>
        <v>168311.7847983</v>
      </c>
      <c r="F11" s="25"/>
      <c r="G11" s="24">
        <f t="shared" si="24"/>
        <v>0</v>
      </c>
      <c r="H11" s="6">
        <v>0</v>
      </c>
      <c r="I11" s="6">
        <f t="shared" si="0"/>
        <v>0</v>
      </c>
      <c r="J11" s="6">
        <f t="shared" si="25"/>
        <v>0</v>
      </c>
      <c r="K11" s="6">
        <f t="shared" si="26"/>
        <v>0</v>
      </c>
      <c r="L11" s="24">
        <f t="shared" si="27"/>
        <v>0</v>
      </c>
      <c r="M11" s="24">
        <f t="shared" si="28"/>
        <v>1012998.2152017</v>
      </c>
      <c r="N11" s="6">
        <f t="shared" si="29"/>
        <v>0</v>
      </c>
      <c r="O11" s="6">
        <f t="shared" si="30"/>
        <v>0</v>
      </c>
      <c r="P11" s="24">
        <f t="shared" si="31"/>
        <v>0</v>
      </c>
      <c r="Q11" s="24"/>
      <c r="R11" s="24">
        <f t="shared" si="32"/>
        <v>1751253.177064072</v>
      </c>
      <c r="S11" s="24">
        <f t="shared" si="33"/>
        <v>1725936.031104207</v>
      </c>
      <c r="T11" s="24">
        <f t="shared" si="34"/>
        <v>1566690.9774699602</v>
      </c>
      <c r="U11" s="24">
        <f t="shared" si="1"/>
        <v>2046580.677064072</v>
      </c>
      <c r="V11" s="24">
        <f t="shared" si="2"/>
        <v>2021263.531104207</v>
      </c>
      <c r="W11" s="24">
        <f t="shared" si="3"/>
        <v>1862018.4774699602</v>
      </c>
      <c r="X11" s="22"/>
      <c r="Y11" s="3">
        <v>309736</v>
      </c>
      <c r="Z11" s="4">
        <v>0</v>
      </c>
      <c r="AA11" s="3">
        <v>300715</v>
      </c>
      <c r="AB11" s="4">
        <v>0</v>
      </c>
      <c r="AC11" s="3">
        <v>2</v>
      </c>
      <c r="AD11" s="3">
        <v>40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4">
        <f>104850/1000</f>
        <v>104.85</v>
      </c>
      <c r="AP11" s="1">
        <f>22320/1000</f>
        <v>22.32</v>
      </c>
      <c r="AQ11" s="1">
        <v>0</v>
      </c>
      <c r="AR11" s="4">
        <v>0</v>
      </c>
      <c r="AS11" s="3">
        <v>600</v>
      </c>
      <c r="AT11" s="3">
        <v>1043</v>
      </c>
      <c r="AU11" s="3">
        <v>0</v>
      </c>
      <c r="AV11" s="3">
        <v>0</v>
      </c>
      <c r="AW11" s="3">
        <v>1724</v>
      </c>
      <c r="AX11" s="3">
        <v>8</v>
      </c>
      <c r="AY11" s="3">
        <v>2</v>
      </c>
      <c r="AZ11" s="3">
        <v>4</v>
      </c>
      <c r="BA11" s="3">
        <v>1</v>
      </c>
      <c r="BB11" s="3">
        <v>1</v>
      </c>
      <c r="BC11" s="3">
        <v>1</v>
      </c>
      <c r="BD11" s="3">
        <v>1</v>
      </c>
      <c r="BE11" s="3">
        <v>0</v>
      </c>
      <c r="BF11" s="3">
        <v>138175</v>
      </c>
      <c r="BH11" s="4">
        <f t="shared" si="4"/>
        <v>199262.29206407233</v>
      </c>
      <c r="BI11" s="4">
        <f t="shared" si="5"/>
        <v>485053.295</v>
      </c>
      <c r="BJ11" s="4">
        <f t="shared" si="6"/>
        <v>70906</v>
      </c>
      <c r="BK11" s="4">
        <f t="shared" si="7"/>
        <v>514656.98999999993</v>
      </c>
      <c r="BL11" s="4">
        <f t="shared" si="8"/>
        <v>223119.40000000002</v>
      </c>
      <c r="BM11" s="4">
        <f t="shared" si="9"/>
        <v>258255.2</v>
      </c>
      <c r="BN11" s="4">
        <v>22.807967323963585</v>
      </c>
      <c r="BO11" s="8">
        <f t="shared" si="10"/>
        <v>0.013556656444129907</v>
      </c>
      <c r="BP11" s="4">
        <f t="shared" si="11"/>
        <v>1751253.177064072</v>
      </c>
      <c r="BQ11" s="4">
        <f t="shared" si="12"/>
        <v>1725936.031104207</v>
      </c>
      <c r="BR11" s="4">
        <f t="shared" si="13"/>
        <v>1566690.9774699602</v>
      </c>
      <c r="BS11" s="4">
        <v>1189147</v>
      </c>
      <c r="BT11" s="26"/>
      <c r="BU11" s="4">
        <f t="shared" si="35"/>
        <v>11.378268697740786</v>
      </c>
      <c r="BV11" s="4">
        <f t="shared" si="36"/>
        <v>27.697496932635325</v>
      </c>
      <c r="BW11" s="4">
        <f t="shared" si="37"/>
        <v>4.048872026537702</v>
      </c>
      <c r="BX11" s="4">
        <f t="shared" si="38"/>
        <v>29.387926128580006</v>
      </c>
      <c r="BY11" s="4">
        <f t="shared" si="39"/>
        <v>12.740556472482956</v>
      </c>
      <c r="BZ11" s="4">
        <f t="shared" si="40"/>
        <v>14.74687974202324</v>
      </c>
      <c r="CB11" s="4">
        <f t="shared" si="41"/>
        <v>27.487436214506197</v>
      </c>
      <c r="CD11" s="4">
        <f t="shared" si="15"/>
        <v>0.922096217780382</v>
      </c>
      <c r="CE11" s="4">
        <f t="shared" si="16"/>
        <v>-0.40244185188013404</v>
      </c>
      <c r="CF11" s="4">
        <f t="shared" si="17"/>
        <v>0.6845189392563871</v>
      </c>
      <c r="CG11" s="4">
        <f t="shared" si="18"/>
        <v>-5.850856286569112</v>
      </c>
      <c r="CH11" s="4">
        <f t="shared" si="19"/>
        <v>2.3987401068548557</v>
      </c>
      <c r="CI11" s="4">
        <f t="shared" si="20"/>
        <v>2.247942874557598</v>
      </c>
      <c r="CK11" s="4">
        <f t="shared" si="21"/>
        <v>4.646682981412454</v>
      </c>
      <c r="CL11" s="4">
        <f t="shared" si="22"/>
        <v>0</v>
      </c>
      <c r="CM11" s="4">
        <f t="shared" si="42"/>
        <v>60.9242343696239</v>
      </c>
    </row>
    <row r="12" spans="1:91" ht="15">
      <c r="A12" s="22" t="s">
        <v>88</v>
      </c>
      <c r="B12" s="47">
        <v>5</v>
      </c>
      <c r="C12" s="23">
        <v>1170280</v>
      </c>
      <c r="D12" s="6">
        <v>0.25431925190879934</v>
      </c>
      <c r="E12" s="24">
        <f t="shared" si="23"/>
        <v>297624.7341238297</v>
      </c>
      <c r="F12" s="25"/>
      <c r="G12" s="24">
        <f t="shared" si="24"/>
        <v>0</v>
      </c>
      <c r="H12" s="6">
        <v>0.09874942286501176</v>
      </c>
      <c r="I12" s="6">
        <f t="shared" si="0"/>
        <v>0</v>
      </c>
      <c r="J12" s="6">
        <f t="shared" si="25"/>
        <v>0</v>
      </c>
      <c r="K12" s="6">
        <f t="shared" si="26"/>
        <v>0</v>
      </c>
      <c r="L12" s="24">
        <f t="shared" si="27"/>
        <v>115564.47459046596</v>
      </c>
      <c r="M12" s="24">
        <f t="shared" si="28"/>
        <v>872655.2658761702</v>
      </c>
      <c r="N12" s="6">
        <f t="shared" si="29"/>
        <v>0.02468735571625294</v>
      </c>
      <c r="O12" s="6">
        <f t="shared" si="30"/>
        <v>0.02468735571625294</v>
      </c>
      <c r="P12" s="24">
        <f t="shared" si="31"/>
        <v>28891.11864761649</v>
      </c>
      <c r="Q12" s="24"/>
      <c r="R12" s="24">
        <f t="shared" si="32"/>
        <v>1467038.0623051065</v>
      </c>
      <c r="S12" s="24">
        <f t="shared" si="33"/>
        <v>1479845.7537305404</v>
      </c>
      <c r="T12" s="24">
        <f t="shared" si="34"/>
        <v>1402352.522579841</v>
      </c>
      <c r="U12" s="24">
        <f t="shared" si="1"/>
        <v>1759608.0623051065</v>
      </c>
      <c r="V12" s="24">
        <f t="shared" si="2"/>
        <v>1772415.7537305404</v>
      </c>
      <c r="W12" s="24">
        <f t="shared" si="3"/>
        <v>1694922.522579841</v>
      </c>
      <c r="X12" s="22"/>
      <c r="Y12" s="3">
        <v>255061</v>
      </c>
      <c r="Z12" s="4">
        <v>0</v>
      </c>
      <c r="AA12" s="4">
        <v>231168</v>
      </c>
      <c r="AB12" s="4">
        <v>0</v>
      </c>
      <c r="AC12" s="3">
        <v>4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4">
        <v>36</v>
      </c>
      <c r="AP12" s="1">
        <v>49</v>
      </c>
      <c r="AQ12" s="1">
        <v>0</v>
      </c>
      <c r="AR12" s="4">
        <v>0</v>
      </c>
      <c r="AS12" s="3">
        <v>750</v>
      </c>
      <c r="AT12" s="3">
        <v>810</v>
      </c>
      <c r="AU12" s="3">
        <v>0</v>
      </c>
      <c r="AV12" s="3">
        <v>0</v>
      </c>
      <c r="AW12" s="3">
        <v>1537</v>
      </c>
      <c r="AX12" s="3">
        <v>18</v>
      </c>
      <c r="AY12" s="3">
        <v>2</v>
      </c>
      <c r="AZ12" s="3">
        <v>6</v>
      </c>
      <c r="BA12" s="3">
        <v>12</v>
      </c>
      <c r="BB12" s="3">
        <v>2</v>
      </c>
      <c r="BC12" s="3">
        <v>0</v>
      </c>
      <c r="BD12" s="3">
        <v>0</v>
      </c>
      <c r="BE12" s="3">
        <v>0</v>
      </c>
      <c r="BF12" s="3">
        <v>144893</v>
      </c>
      <c r="BH12" s="4">
        <f t="shared" si="4"/>
        <v>166266.47830510643</v>
      </c>
      <c r="BI12" s="4">
        <f t="shared" si="5"/>
        <v>372873.984</v>
      </c>
      <c r="BJ12" s="4">
        <f t="shared" si="6"/>
        <v>141812</v>
      </c>
      <c r="BK12" s="4">
        <f t="shared" si="7"/>
        <v>343995</v>
      </c>
      <c r="BL12" s="4">
        <f t="shared" si="8"/>
        <v>211848.00000000003</v>
      </c>
      <c r="BM12" s="4">
        <f t="shared" si="9"/>
        <v>230242.6</v>
      </c>
      <c r="BN12" s="4">
        <v>24.096128119740104</v>
      </c>
      <c r="BO12" s="8">
        <f t="shared" si="10"/>
        <v>0.01808235294117647</v>
      </c>
      <c r="BP12" s="4">
        <f t="shared" si="11"/>
        <v>1467038.0623051065</v>
      </c>
      <c r="BQ12" s="4">
        <f t="shared" si="12"/>
        <v>1479845.7537305404</v>
      </c>
      <c r="BR12" s="4">
        <f t="shared" si="13"/>
        <v>1402352.522579841</v>
      </c>
      <c r="BS12" s="4">
        <v>1436990</v>
      </c>
      <c r="BT12" s="26"/>
      <c r="BU12" s="4">
        <f t="shared" si="35"/>
        <v>11.33348088077944</v>
      </c>
      <c r="BV12" s="4">
        <f t="shared" si="36"/>
        <v>25.416790032980867</v>
      </c>
      <c r="BW12" s="4">
        <f t="shared" si="37"/>
        <v>9.66655219409752</v>
      </c>
      <c r="BX12" s="4">
        <f t="shared" si="38"/>
        <v>23.448266874513976</v>
      </c>
      <c r="BY12" s="4">
        <f t="shared" si="39"/>
        <v>14.440525126330433</v>
      </c>
      <c r="BZ12" s="4">
        <f t="shared" si="40"/>
        <v>15.694384891297755</v>
      </c>
      <c r="CB12" s="4">
        <f t="shared" si="41"/>
        <v>30.134910017628187</v>
      </c>
      <c r="CD12" s="4">
        <f t="shared" si="15"/>
        <v>0.966884034741728</v>
      </c>
      <c r="CE12" s="4">
        <f t="shared" si="16"/>
        <v>1.878265047774324</v>
      </c>
      <c r="CF12" s="4">
        <f t="shared" si="17"/>
        <v>-4.9331612283034305</v>
      </c>
      <c r="CG12" s="4">
        <f t="shared" si="18"/>
        <v>0.08880296749691752</v>
      </c>
      <c r="CH12" s="4">
        <f t="shared" si="19"/>
        <v>0.6987714530073781</v>
      </c>
      <c r="CI12" s="4">
        <f t="shared" si="20"/>
        <v>1.300437725283082</v>
      </c>
      <c r="CK12" s="4">
        <f t="shared" si="21"/>
        <v>1.9992091782904637</v>
      </c>
      <c r="CL12" s="4">
        <f t="shared" si="22"/>
        <v>0</v>
      </c>
      <c r="CM12" s="4">
        <f t="shared" si="42"/>
        <v>63.24972908623968</v>
      </c>
    </row>
    <row r="13" spans="1:91" ht="15">
      <c r="A13" s="22" t="s">
        <v>50</v>
      </c>
      <c r="B13" s="47">
        <v>8</v>
      </c>
      <c r="C13" s="23">
        <v>322002</v>
      </c>
      <c r="D13" s="6">
        <v>0.19372449426347904</v>
      </c>
      <c r="E13" s="24">
        <f t="shared" si="23"/>
        <v>62379.67460182878</v>
      </c>
      <c r="F13" s="25"/>
      <c r="G13" s="24">
        <f t="shared" si="24"/>
        <v>0</v>
      </c>
      <c r="H13" s="6">
        <v>0.050039548897442665</v>
      </c>
      <c r="I13" s="6">
        <f t="shared" si="0"/>
        <v>0</v>
      </c>
      <c r="J13" s="6">
        <f t="shared" si="25"/>
        <v>0</v>
      </c>
      <c r="K13" s="6">
        <f t="shared" si="26"/>
        <v>0</v>
      </c>
      <c r="L13" s="24">
        <f t="shared" si="27"/>
        <v>16112.834824074333</v>
      </c>
      <c r="M13" s="24">
        <f t="shared" si="28"/>
        <v>259622.3253981712</v>
      </c>
      <c r="N13" s="6">
        <f t="shared" si="29"/>
        <v>0.012509887224360666</v>
      </c>
      <c r="O13" s="6">
        <f t="shared" si="30"/>
        <v>0.012509887224360666</v>
      </c>
      <c r="P13" s="24">
        <f t="shared" si="31"/>
        <v>4028.208706018583</v>
      </c>
      <c r="Q13" s="24"/>
      <c r="R13" s="24">
        <f t="shared" si="32"/>
        <v>436302.24709115963</v>
      </c>
      <c r="S13" s="24">
        <f t="shared" si="33"/>
        <v>445866.59528430575</v>
      </c>
      <c r="T13" s="24">
        <f t="shared" si="34"/>
        <v>358911.49611871236</v>
      </c>
      <c r="U13" s="24">
        <f t="shared" si="1"/>
        <v>516802.74709115963</v>
      </c>
      <c r="V13" s="24">
        <f t="shared" si="2"/>
        <v>526367.0952843057</v>
      </c>
      <c r="W13" s="24">
        <f t="shared" si="3"/>
        <v>439411.99611871236</v>
      </c>
      <c r="X13" s="22"/>
      <c r="Y13" s="3">
        <v>333477</v>
      </c>
      <c r="Z13" s="4">
        <v>0</v>
      </c>
      <c r="AA13" s="3">
        <v>0</v>
      </c>
      <c r="AB13" s="4">
        <v>0</v>
      </c>
      <c r="AC13" s="3">
        <v>1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1">
        <v>22</v>
      </c>
      <c r="AP13" s="1">
        <v>7</v>
      </c>
      <c r="AQ13" s="1">
        <v>0</v>
      </c>
      <c r="AR13" s="1">
        <v>0</v>
      </c>
      <c r="AS13" s="3">
        <v>111</v>
      </c>
      <c r="AT13" s="3">
        <v>141</v>
      </c>
      <c r="AU13" s="1">
        <v>0</v>
      </c>
      <c r="AV13" s="1">
        <v>0</v>
      </c>
      <c r="AW13" s="3">
        <v>239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H13" s="4">
        <f t="shared" si="4"/>
        <v>213462.4470911596</v>
      </c>
      <c r="BI13" s="4">
        <f t="shared" si="5"/>
        <v>0</v>
      </c>
      <c r="BJ13" s="4">
        <f t="shared" si="6"/>
        <v>35453</v>
      </c>
      <c r="BK13" s="4">
        <f t="shared" si="7"/>
        <v>117363</v>
      </c>
      <c r="BL13" s="4">
        <f t="shared" si="8"/>
        <v>34221.600000000006</v>
      </c>
      <c r="BM13" s="4">
        <f t="shared" si="9"/>
        <v>35802.200000000004</v>
      </c>
      <c r="BN13" s="4">
        <v>24.828965662490464</v>
      </c>
      <c r="BO13" s="8">
        <f t="shared" si="10"/>
        <v>0.008241379310344828</v>
      </c>
      <c r="BP13" s="4">
        <f t="shared" si="11"/>
        <v>436302.24709115963</v>
      </c>
      <c r="BQ13" s="4">
        <f t="shared" si="12"/>
        <v>445866.59528430575</v>
      </c>
      <c r="BR13" s="4">
        <f t="shared" si="13"/>
        <v>358911.49611871236</v>
      </c>
      <c r="BS13" s="4">
        <v>413653</v>
      </c>
      <c r="BT13" s="26"/>
      <c r="BU13" s="4">
        <f t="shared" si="35"/>
        <v>48.92536046154248</v>
      </c>
      <c r="BV13" s="4">
        <f t="shared" si="36"/>
        <v>0</v>
      </c>
      <c r="BW13" s="4">
        <f t="shared" si="37"/>
        <v>8.125788999796868</v>
      </c>
      <c r="BX13" s="4">
        <f t="shared" si="38"/>
        <v>26.89947181855301</v>
      </c>
      <c r="BY13" s="4">
        <f t="shared" si="39"/>
        <v>7.843553460509647</v>
      </c>
      <c r="BZ13" s="4">
        <f t="shared" si="40"/>
        <v>8.205825259597987</v>
      </c>
      <c r="CB13" s="4">
        <f t="shared" si="41"/>
        <v>16.049378720107633</v>
      </c>
      <c r="CD13" s="4">
        <f t="shared" si="15"/>
        <v>-36.62499554602131</v>
      </c>
      <c r="CE13" s="4">
        <f t="shared" si="16"/>
        <v>27.29505508075519</v>
      </c>
      <c r="CF13" s="4">
        <f t="shared" si="17"/>
        <v>-3.3923980340027784</v>
      </c>
      <c r="CG13" s="4">
        <f t="shared" si="18"/>
        <v>-3.3624019765421167</v>
      </c>
      <c r="CH13" s="4">
        <f t="shared" si="19"/>
        <v>7.295743118828164</v>
      </c>
      <c r="CI13" s="4">
        <f t="shared" si="20"/>
        <v>8.78899735698285</v>
      </c>
      <c r="CK13" s="4">
        <f t="shared" si="21"/>
        <v>16.084740475811017</v>
      </c>
      <c r="CL13" s="4">
        <f t="shared" si="22"/>
        <v>0</v>
      </c>
      <c r="CM13" s="4">
        <f t="shared" si="42"/>
        <v>51.07463953845751</v>
      </c>
    </row>
    <row r="14" spans="1:91" ht="15">
      <c r="A14" s="22" t="s">
        <v>55</v>
      </c>
      <c r="B14" s="47">
        <v>7</v>
      </c>
      <c r="C14" s="23">
        <v>529246</v>
      </c>
      <c r="D14" s="6">
        <v>0.6484232842605799</v>
      </c>
      <c r="E14" s="24">
        <f t="shared" si="23"/>
        <v>343175.4295017749</v>
      </c>
      <c r="F14" s="25"/>
      <c r="G14" s="24">
        <f t="shared" si="24"/>
        <v>0</v>
      </c>
      <c r="H14" s="6">
        <v>0.4981703844768697</v>
      </c>
      <c r="I14" s="6">
        <f t="shared" si="0"/>
        <v>-0.05529164704917593</v>
      </c>
      <c r="J14" s="6">
        <f t="shared" si="25"/>
        <v>-0.0290488490684608</v>
      </c>
      <c r="K14" s="6">
        <f t="shared" si="26"/>
        <v>0.4691215354084089</v>
      </c>
      <c r="L14" s="24">
        <f t="shared" si="27"/>
        <v>248280.69612875878</v>
      </c>
      <c r="M14" s="24">
        <f t="shared" si="28"/>
        <v>186070.5704982251</v>
      </c>
      <c r="N14" s="6">
        <f t="shared" si="29"/>
        <v>0.11728038385210222</v>
      </c>
      <c r="O14" s="6">
        <f t="shared" si="30"/>
        <v>0.05</v>
      </c>
      <c r="P14" s="24">
        <f t="shared" si="31"/>
        <v>26462.300000000003</v>
      </c>
      <c r="Q14" s="24"/>
      <c r="R14" s="24">
        <f t="shared" si="32"/>
        <v>293889.3764569842</v>
      </c>
      <c r="S14" s="24">
        <f t="shared" si="33"/>
        <v>319552.83537034557</v>
      </c>
      <c r="T14" s="24" t="e">
        <f t="shared" si="34"/>
        <v>#DIV/0!</v>
      </c>
      <c r="U14" s="24">
        <f t="shared" si="1"/>
        <v>426200.8764569842</v>
      </c>
      <c r="V14" s="24">
        <f t="shared" si="2"/>
        <v>451864.33537034557</v>
      </c>
      <c r="W14" s="24" t="e">
        <f t="shared" si="3"/>
        <v>#DIV/0!</v>
      </c>
      <c r="X14" s="22"/>
      <c r="Y14" s="3">
        <v>228521</v>
      </c>
      <c r="Z14" s="4">
        <v>0</v>
      </c>
      <c r="AA14" s="3">
        <v>0</v>
      </c>
      <c r="AB14" s="4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4">
        <v>0</v>
      </c>
      <c r="AP14" s="4">
        <v>0</v>
      </c>
      <c r="AQ14" s="4">
        <v>0</v>
      </c>
      <c r="AR14" s="4">
        <v>0</v>
      </c>
      <c r="AS14" s="3">
        <v>0</v>
      </c>
      <c r="AT14" s="3">
        <v>0</v>
      </c>
      <c r="AU14" s="3">
        <v>0</v>
      </c>
      <c r="AV14" s="3">
        <v>0</v>
      </c>
      <c r="AW14" s="4">
        <v>960</v>
      </c>
      <c r="AX14" s="3">
        <v>6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4">
        <v>92946</v>
      </c>
      <c r="BH14" s="4">
        <f t="shared" si="4"/>
        <v>150081.3764569842</v>
      </c>
      <c r="BI14" s="4">
        <f t="shared" si="5"/>
        <v>0</v>
      </c>
      <c r="BJ14" s="4">
        <f t="shared" si="6"/>
        <v>0</v>
      </c>
      <c r="BK14" s="4">
        <f t="shared" si="7"/>
        <v>0</v>
      </c>
      <c r="BL14" s="4">
        <f t="shared" si="8"/>
        <v>0</v>
      </c>
      <c r="BM14" s="4">
        <f t="shared" si="9"/>
        <v>143808</v>
      </c>
      <c r="BN14" s="4">
        <v>28.462418547253336</v>
      </c>
      <c r="BO14" s="8" t="e">
        <f t="shared" si="10"/>
        <v>#DIV/0!</v>
      </c>
      <c r="BP14" s="4">
        <f t="shared" si="11"/>
        <v>293889.3764569842</v>
      </c>
      <c r="BQ14" s="4">
        <f t="shared" si="12"/>
        <v>319552.83537034557</v>
      </c>
      <c r="BR14" s="4" t="e">
        <f t="shared" si="13"/>
        <v>#DIV/0!</v>
      </c>
      <c r="BS14" s="4">
        <v>409620</v>
      </c>
      <c r="BT14" s="26"/>
      <c r="BU14" s="4">
        <f t="shared" si="35"/>
        <v>51.06730235243846</v>
      </c>
      <c r="BV14" s="4">
        <f t="shared" si="36"/>
        <v>0</v>
      </c>
      <c r="BW14" s="4">
        <f t="shared" si="37"/>
        <v>0</v>
      </c>
      <c r="BX14" s="4">
        <f t="shared" si="38"/>
        <v>0</v>
      </c>
      <c r="BY14" s="4">
        <f t="shared" si="39"/>
        <v>0</v>
      </c>
      <c r="BZ14" s="4">
        <f t="shared" si="40"/>
        <v>48.93269764756155</v>
      </c>
      <c r="CB14" s="4">
        <f t="shared" si="41"/>
        <v>48.93269764756155</v>
      </c>
      <c r="CD14" s="4">
        <f t="shared" si="15"/>
        <v>-38.76693743691729</v>
      </c>
      <c r="CE14" s="4">
        <f t="shared" si="16"/>
        <v>27.29505508075519</v>
      </c>
      <c r="CF14" s="4">
        <f t="shared" si="17"/>
        <v>4.733390965794089</v>
      </c>
      <c r="CG14" s="4">
        <f t="shared" si="18"/>
        <v>23.537069842010894</v>
      </c>
      <c r="CH14" s="4">
        <f t="shared" si="19"/>
        <v>15.139296579337811</v>
      </c>
      <c r="CI14" s="4">
        <f t="shared" si="20"/>
        <v>-31.93787503098071</v>
      </c>
      <c r="CK14" s="4">
        <f t="shared" si="21"/>
        <v>-16.798578451642896</v>
      </c>
      <c r="CL14" s="4">
        <f t="shared" si="22"/>
        <v>-2.90488490684608</v>
      </c>
      <c r="CM14" s="4">
        <f t="shared" si="42"/>
        <v>48.93269764756155</v>
      </c>
    </row>
    <row r="15" spans="1:91" ht="15">
      <c r="A15" s="22" t="s">
        <v>141</v>
      </c>
      <c r="B15" s="47">
        <v>7</v>
      </c>
      <c r="C15" s="23">
        <v>1435417</v>
      </c>
      <c r="D15" s="6">
        <v>0.25759323916394783</v>
      </c>
      <c r="E15" s="24">
        <f t="shared" si="23"/>
        <v>369753.7145809965</v>
      </c>
      <c r="F15" s="25"/>
      <c r="G15" s="24">
        <f t="shared" si="24"/>
        <v>0</v>
      </c>
      <c r="H15" s="6">
        <v>0.10202351849969682</v>
      </c>
      <c r="I15" s="6">
        <f t="shared" si="0"/>
        <v>0</v>
      </c>
      <c r="J15" s="6">
        <f t="shared" si="25"/>
        <v>0</v>
      </c>
      <c r="K15" s="6">
        <f t="shared" si="26"/>
        <v>0</v>
      </c>
      <c r="L15" s="24">
        <f t="shared" si="27"/>
        <v>146446.2928542793</v>
      </c>
      <c r="M15" s="24">
        <f t="shared" si="28"/>
        <v>1065663.2854190036</v>
      </c>
      <c r="N15" s="6">
        <f t="shared" si="29"/>
        <v>0.025505879624924205</v>
      </c>
      <c r="O15" s="6">
        <f t="shared" si="30"/>
        <v>0.025505879624924205</v>
      </c>
      <c r="P15" s="24">
        <f t="shared" si="31"/>
        <v>36611.57321356983</v>
      </c>
      <c r="Q15" s="24"/>
      <c r="R15" s="24">
        <f t="shared" si="32"/>
        <v>1529058.8868697167</v>
      </c>
      <c r="S15" s="24">
        <f t="shared" si="33"/>
        <v>1688222.5419070816</v>
      </c>
      <c r="T15" s="24">
        <f t="shared" si="34"/>
        <v>1712516.0274272969</v>
      </c>
      <c r="U15" s="24">
        <f t="shared" si="1"/>
        <v>1887913.1368697167</v>
      </c>
      <c r="V15" s="24">
        <f t="shared" si="2"/>
        <v>2047076.7919070816</v>
      </c>
      <c r="W15" s="24">
        <f t="shared" si="3"/>
        <v>2071370.2774272969</v>
      </c>
      <c r="X15" s="22"/>
      <c r="Y15" s="3">
        <v>293050</v>
      </c>
      <c r="Z15" s="4">
        <v>0</v>
      </c>
      <c r="AA15" s="3">
        <v>279844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26</v>
      </c>
      <c r="AP15" s="1">
        <v>30</v>
      </c>
      <c r="AQ15" s="1">
        <v>0</v>
      </c>
      <c r="AR15" s="4">
        <v>0</v>
      </c>
      <c r="AS15" s="4">
        <v>244</v>
      </c>
      <c r="AT15" s="4">
        <v>1447</v>
      </c>
      <c r="AU15" s="4">
        <v>0</v>
      </c>
      <c r="AV15" s="4">
        <v>0</v>
      </c>
      <c r="AW15" s="4">
        <v>1691</v>
      </c>
      <c r="AX15" s="4">
        <v>5</v>
      </c>
      <c r="AY15" s="4">
        <v>4</v>
      </c>
      <c r="AZ15" s="4">
        <v>4</v>
      </c>
      <c r="BA15" s="4">
        <v>1</v>
      </c>
      <c r="BB15" s="4">
        <v>1</v>
      </c>
      <c r="BC15" s="4">
        <v>1</v>
      </c>
      <c r="BD15" s="4">
        <v>1</v>
      </c>
      <c r="BE15" s="4">
        <v>1</v>
      </c>
      <c r="BF15" s="4">
        <v>192143</v>
      </c>
      <c r="BH15" s="4">
        <f t="shared" si="4"/>
        <v>189237.91486971665</v>
      </c>
      <c r="BI15" s="4">
        <f t="shared" si="5"/>
        <v>451388.372</v>
      </c>
      <c r="BJ15" s="4">
        <f t="shared" si="6"/>
        <v>178851</v>
      </c>
      <c r="BK15" s="4">
        <f t="shared" si="7"/>
        <v>226632</v>
      </c>
      <c r="BL15" s="4">
        <f t="shared" si="8"/>
        <v>229637.80000000002</v>
      </c>
      <c r="BM15" s="4">
        <f t="shared" si="9"/>
        <v>253311.80000000002</v>
      </c>
      <c r="BN15" s="4">
        <v>29.394031151526157</v>
      </c>
      <c r="BO15" s="8">
        <f t="shared" si="10"/>
        <v>0.030196428571428572</v>
      </c>
      <c r="BP15" s="4">
        <f t="shared" si="11"/>
        <v>1529058.8868697167</v>
      </c>
      <c r="BQ15" s="4">
        <f t="shared" si="12"/>
        <v>1688222.5419070816</v>
      </c>
      <c r="BR15" s="4">
        <f t="shared" si="13"/>
        <v>1712516.0274272969</v>
      </c>
      <c r="BS15" s="4">
        <v>1422762</v>
      </c>
      <c r="BT15" s="26"/>
      <c r="BU15" s="4">
        <f t="shared" si="35"/>
        <v>12.376103791340814</v>
      </c>
      <c r="BV15" s="4">
        <f t="shared" si="36"/>
        <v>29.520666331175804</v>
      </c>
      <c r="BW15" s="4">
        <f t="shared" si="37"/>
        <v>11.696802623876904</v>
      </c>
      <c r="BX15" s="4">
        <f t="shared" si="38"/>
        <v>14.821665924453708</v>
      </c>
      <c r="BY15" s="4">
        <f t="shared" si="39"/>
        <v>15.018244357489305</v>
      </c>
      <c r="BZ15" s="4">
        <f t="shared" si="40"/>
        <v>16.56651697166346</v>
      </c>
      <c r="CB15" s="4">
        <f t="shared" si="41"/>
        <v>31.584761329152766</v>
      </c>
      <c r="CD15" s="4">
        <f t="shared" si="15"/>
        <v>-0.07573887581964556</v>
      </c>
      <c r="CE15" s="4">
        <f t="shared" si="16"/>
        <v>-2.225611250420613</v>
      </c>
      <c r="CF15" s="4">
        <f t="shared" si="17"/>
        <v>-6.963411658082815</v>
      </c>
      <c r="CG15" s="4">
        <f t="shared" si="18"/>
        <v>8.715403917557186</v>
      </c>
      <c r="CH15" s="4">
        <f t="shared" si="19"/>
        <v>0.12105222184850639</v>
      </c>
      <c r="CI15" s="4">
        <f t="shared" si="20"/>
        <v>0.4283056449173763</v>
      </c>
      <c r="CK15" s="4">
        <f t="shared" si="21"/>
        <v>0.5493578667658845</v>
      </c>
      <c r="CL15" s="4">
        <f t="shared" si="22"/>
        <v>0</v>
      </c>
      <c r="CM15" s="4">
        <f t="shared" si="42"/>
        <v>58.10322987748337</v>
      </c>
    </row>
    <row r="16" spans="1:91" ht="15">
      <c r="A16" s="22" t="s">
        <v>89</v>
      </c>
      <c r="B16" s="47">
        <v>9</v>
      </c>
      <c r="C16" s="23">
        <v>6393018</v>
      </c>
      <c r="D16" s="6">
        <v>0.5246929496677422</v>
      </c>
      <c r="E16" s="24">
        <f t="shared" si="23"/>
        <v>3354371.4716989696</v>
      </c>
      <c r="F16" s="25"/>
      <c r="G16" s="24">
        <f t="shared" si="24"/>
        <v>0</v>
      </c>
      <c r="H16" s="6">
        <v>0.3691230719552885</v>
      </c>
      <c r="I16" s="6">
        <f t="shared" si="0"/>
        <v>0</v>
      </c>
      <c r="J16" s="6">
        <f t="shared" si="25"/>
        <v>0</v>
      </c>
      <c r="K16" s="6">
        <f t="shared" si="26"/>
        <v>0</v>
      </c>
      <c r="L16" s="24">
        <f t="shared" si="27"/>
        <v>2359810.4432254545</v>
      </c>
      <c r="M16" s="24">
        <f t="shared" si="28"/>
        <v>3038646.5283010304</v>
      </c>
      <c r="N16" s="6">
        <f t="shared" si="29"/>
        <v>0.09228076798882212</v>
      </c>
      <c r="O16" s="6">
        <f t="shared" si="30"/>
        <v>0.05</v>
      </c>
      <c r="P16" s="24">
        <f t="shared" si="31"/>
        <v>319650.9</v>
      </c>
      <c r="Q16" s="24"/>
      <c r="R16" s="24">
        <f t="shared" si="32"/>
        <v>4903445.676505179</v>
      </c>
      <c r="S16" s="24">
        <f t="shared" si="33"/>
        <v>4895457.352834124</v>
      </c>
      <c r="T16" s="24">
        <f t="shared" si="34"/>
        <v>4883091.031230436</v>
      </c>
      <c r="U16" s="24">
        <f t="shared" si="1"/>
        <v>6501700.176505179</v>
      </c>
      <c r="V16" s="24">
        <f t="shared" si="2"/>
        <v>6493711.852834124</v>
      </c>
      <c r="W16" s="24">
        <f t="shared" si="3"/>
        <v>6481345.531230436</v>
      </c>
      <c r="X16" s="22"/>
      <c r="Y16" s="3">
        <v>985630</v>
      </c>
      <c r="Z16" s="4">
        <v>0</v>
      </c>
      <c r="AA16" s="4">
        <v>974279</v>
      </c>
      <c r="AB16" s="4">
        <v>0</v>
      </c>
      <c r="AC16" s="3">
        <v>4</v>
      </c>
      <c r="AD16" s="3">
        <v>94</v>
      </c>
      <c r="AE16" s="3">
        <v>1</v>
      </c>
      <c r="AF16" s="3">
        <v>300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4">
        <v>148</v>
      </c>
      <c r="AP16" s="1">
        <v>107</v>
      </c>
      <c r="AQ16" s="1">
        <v>0</v>
      </c>
      <c r="AR16" s="4">
        <v>0</v>
      </c>
      <c r="AS16" s="3">
        <v>736</v>
      </c>
      <c r="AT16" s="3">
        <v>4508</v>
      </c>
      <c r="AU16" s="3">
        <v>0</v>
      </c>
      <c r="AV16" s="3">
        <v>0</v>
      </c>
      <c r="AW16" s="3">
        <v>5363</v>
      </c>
      <c r="AX16" s="3">
        <v>12</v>
      </c>
      <c r="AY16" s="3">
        <v>14</v>
      </c>
      <c r="AZ16" s="3">
        <v>6</v>
      </c>
      <c r="BA16" s="3">
        <v>3</v>
      </c>
      <c r="BB16" s="3">
        <v>3</v>
      </c>
      <c r="BC16" s="3">
        <v>1</v>
      </c>
      <c r="BD16" s="3">
        <v>1</v>
      </c>
      <c r="BE16" s="3">
        <v>3</v>
      </c>
      <c r="BF16" s="3">
        <v>571342</v>
      </c>
      <c r="BH16" s="4">
        <f t="shared" si="4"/>
        <v>586155.0495051786</v>
      </c>
      <c r="BI16" s="4">
        <f t="shared" si="5"/>
        <v>1571512.027</v>
      </c>
      <c r="BJ16" s="4">
        <f t="shared" si="6"/>
        <v>198281</v>
      </c>
      <c r="BK16" s="4">
        <f t="shared" si="7"/>
        <v>1031985</v>
      </c>
      <c r="BL16" s="4">
        <f t="shared" si="8"/>
        <v>712135.2000000001</v>
      </c>
      <c r="BM16" s="4">
        <f t="shared" si="9"/>
        <v>803377.4</v>
      </c>
      <c r="BN16" s="4">
        <v>23.52060419234795</v>
      </c>
      <c r="BO16" s="8">
        <f t="shared" si="10"/>
        <v>0.021031372549019607</v>
      </c>
      <c r="BP16" s="4">
        <f t="shared" si="11"/>
        <v>4903445.676505179</v>
      </c>
      <c r="BQ16" s="4">
        <f t="shared" si="12"/>
        <v>4895457.352834124</v>
      </c>
      <c r="BR16" s="4">
        <f t="shared" si="13"/>
        <v>4883091.031230436</v>
      </c>
      <c r="BS16" s="4">
        <v>6123980</v>
      </c>
      <c r="BT16" s="26"/>
      <c r="BU16" s="4">
        <f t="shared" si="35"/>
        <v>11.953941945635002</v>
      </c>
      <c r="BV16" s="4">
        <f t="shared" si="36"/>
        <v>32.0491370900648</v>
      </c>
      <c r="BW16" s="4">
        <f t="shared" si="37"/>
        <v>4.043707488186559</v>
      </c>
      <c r="BX16" s="4">
        <f t="shared" si="38"/>
        <v>21.046118751651473</v>
      </c>
      <c r="BY16" s="4">
        <f t="shared" si="39"/>
        <v>14.523158753694165</v>
      </c>
      <c r="BZ16" s="4">
        <f t="shared" si="40"/>
        <v>16.383935970767993</v>
      </c>
      <c r="CB16" s="4">
        <f t="shared" si="41"/>
        <v>30.90709472446216</v>
      </c>
      <c r="CD16" s="4">
        <f t="shared" si="15"/>
        <v>0.3464229698861665</v>
      </c>
      <c r="CE16" s="4">
        <f t="shared" si="16"/>
        <v>-4.754082009309606</v>
      </c>
      <c r="CF16" s="4">
        <f t="shared" si="17"/>
        <v>0.68968347760753</v>
      </c>
      <c r="CG16" s="4">
        <f t="shared" si="18"/>
        <v>2.4909510903594203</v>
      </c>
      <c r="CH16" s="4">
        <f t="shared" si="19"/>
        <v>0.616137825643646</v>
      </c>
      <c r="CI16" s="4">
        <f t="shared" si="20"/>
        <v>0.6108866458128439</v>
      </c>
      <c r="CK16" s="4">
        <f t="shared" si="21"/>
        <v>1.2270244714564917</v>
      </c>
      <c r="CL16" s="4">
        <f t="shared" si="22"/>
        <v>0</v>
      </c>
      <c r="CM16" s="4">
        <f t="shared" si="42"/>
        <v>55.99692096430019</v>
      </c>
    </row>
    <row r="17" spans="1:91" ht="15">
      <c r="A17" s="22" t="s">
        <v>118</v>
      </c>
      <c r="B17" s="47">
        <v>7</v>
      </c>
      <c r="C17" s="23">
        <v>1427989</v>
      </c>
      <c r="D17" s="6">
        <v>0.01905059</v>
      </c>
      <c r="E17" s="24">
        <f t="shared" si="23"/>
        <v>27204.03296351</v>
      </c>
      <c r="F17" s="25"/>
      <c r="G17" s="24">
        <f t="shared" si="24"/>
        <v>0</v>
      </c>
      <c r="H17" s="6">
        <v>0</v>
      </c>
      <c r="I17" s="6">
        <f t="shared" si="0"/>
        <v>0</v>
      </c>
      <c r="J17" s="6">
        <f t="shared" si="25"/>
        <v>0</v>
      </c>
      <c r="K17" s="6">
        <f t="shared" si="26"/>
        <v>0</v>
      </c>
      <c r="L17" s="24">
        <f t="shared" si="27"/>
        <v>0</v>
      </c>
      <c r="M17" s="24">
        <f t="shared" si="28"/>
        <v>1400784.96703649</v>
      </c>
      <c r="N17" s="6">
        <f t="shared" si="29"/>
        <v>0</v>
      </c>
      <c r="O17" s="6">
        <f t="shared" si="30"/>
        <v>0</v>
      </c>
      <c r="P17" s="24">
        <f t="shared" si="31"/>
        <v>0</v>
      </c>
      <c r="Q17" s="24"/>
      <c r="R17" s="24">
        <f t="shared" si="32"/>
        <v>1983303.6733443062</v>
      </c>
      <c r="S17" s="24">
        <f t="shared" si="33"/>
        <v>1964930.1984096572</v>
      </c>
      <c r="T17" s="24">
        <f t="shared" si="34"/>
        <v>2251054.5173214334</v>
      </c>
      <c r="U17" s="24">
        <f t="shared" si="1"/>
        <v>2340300.923344306</v>
      </c>
      <c r="V17" s="24">
        <f t="shared" si="2"/>
        <v>2321927.448409657</v>
      </c>
      <c r="W17" s="24">
        <f t="shared" si="3"/>
        <v>2608051.7673214334</v>
      </c>
      <c r="X17" s="22"/>
      <c r="Y17" s="3">
        <v>468244</v>
      </c>
      <c r="Z17" s="4">
        <v>0</v>
      </c>
      <c r="AA17" s="4">
        <v>468244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26</v>
      </c>
      <c r="AP17" s="1">
        <v>46</v>
      </c>
      <c r="AQ17" s="1">
        <v>0</v>
      </c>
      <c r="AR17" s="4">
        <v>0</v>
      </c>
      <c r="AS17" s="4">
        <v>161</v>
      </c>
      <c r="AT17" s="4">
        <v>2093</v>
      </c>
      <c r="AU17" s="4">
        <v>0</v>
      </c>
      <c r="AV17" s="4">
        <v>0</v>
      </c>
      <c r="AW17" s="4">
        <v>2254</v>
      </c>
      <c r="AX17" s="4">
        <v>11</v>
      </c>
      <c r="AY17" s="4">
        <v>0</v>
      </c>
      <c r="AZ17" s="4">
        <v>4</v>
      </c>
      <c r="BA17" s="4">
        <v>2</v>
      </c>
      <c r="BB17" s="4">
        <v>2</v>
      </c>
      <c r="BC17" s="4">
        <v>0</v>
      </c>
      <c r="BD17" s="4">
        <v>2</v>
      </c>
      <c r="BE17" s="4">
        <v>1</v>
      </c>
      <c r="BF17" s="4">
        <v>260696</v>
      </c>
      <c r="BH17" s="4">
        <f t="shared" si="4"/>
        <v>292899.7013443063</v>
      </c>
      <c r="BI17" s="4">
        <f t="shared" si="5"/>
        <v>755277.572</v>
      </c>
      <c r="BJ17" s="4">
        <f t="shared" si="6"/>
        <v>0</v>
      </c>
      <c r="BK17" s="4">
        <f t="shared" si="7"/>
        <v>291384</v>
      </c>
      <c r="BL17" s="4">
        <f t="shared" si="8"/>
        <v>306093.2</v>
      </c>
      <c r="BM17" s="4">
        <f t="shared" si="9"/>
        <v>337649.2</v>
      </c>
      <c r="BN17" s="4">
        <v>23.096440250970332</v>
      </c>
      <c r="BO17" s="8">
        <f t="shared" si="10"/>
        <v>0.03130555555555556</v>
      </c>
      <c r="BP17" s="4">
        <f t="shared" si="11"/>
        <v>1983303.6733443062</v>
      </c>
      <c r="BQ17" s="4">
        <f t="shared" si="12"/>
        <v>1964930.1984096572</v>
      </c>
      <c r="BR17" s="4">
        <f t="shared" si="13"/>
        <v>2251054.5173214334</v>
      </c>
      <c r="BS17" s="4">
        <v>1368579</v>
      </c>
      <c r="BT17" s="26"/>
      <c r="BU17" s="4">
        <f t="shared" si="35"/>
        <v>14.76827302247719</v>
      </c>
      <c r="BV17" s="4">
        <f t="shared" si="36"/>
        <v>38.08179161622932</v>
      </c>
      <c r="BW17" s="4">
        <f t="shared" si="37"/>
        <v>0</v>
      </c>
      <c r="BX17" s="4">
        <f t="shared" si="38"/>
        <v>14.691849963080013</v>
      </c>
      <c r="BY17" s="4">
        <f t="shared" si="39"/>
        <v>15.433501390327004</v>
      </c>
      <c r="BZ17" s="4">
        <f t="shared" si="40"/>
        <v>17.024584007886485</v>
      </c>
      <c r="CB17" s="4">
        <f t="shared" si="41"/>
        <v>32.45808539821349</v>
      </c>
      <c r="CD17" s="4">
        <f t="shared" si="15"/>
        <v>-2.4679081069560223</v>
      </c>
      <c r="CE17" s="4">
        <f t="shared" si="16"/>
        <v>-10.786736535474127</v>
      </c>
      <c r="CF17" s="4">
        <f t="shared" si="17"/>
        <v>4.733390965794089</v>
      </c>
      <c r="CG17" s="4">
        <f t="shared" si="18"/>
        <v>8.84521987893088</v>
      </c>
      <c r="CH17" s="4">
        <f t="shared" si="19"/>
        <v>-0.2942048109891928</v>
      </c>
      <c r="CI17" s="4">
        <f t="shared" si="20"/>
        <v>-0.029761391305648033</v>
      </c>
      <c r="CK17" s="4">
        <f t="shared" si="21"/>
        <v>-0.32396620229484085</v>
      </c>
      <c r="CL17" s="4">
        <f t="shared" si="22"/>
        <v>0</v>
      </c>
      <c r="CM17" s="4">
        <f t="shared" si="42"/>
        <v>47.1499353612935</v>
      </c>
    </row>
    <row r="18" spans="1:91" ht="15">
      <c r="A18" s="22" t="s">
        <v>68</v>
      </c>
      <c r="B18" s="47">
        <v>8</v>
      </c>
      <c r="C18" s="23">
        <v>971237</v>
      </c>
      <c r="D18" s="6">
        <v>0</v>
      </c>
      <c r="E18" s="24">
        <f t="shared" si="23"/>
        <v>0</v>
      </c>
      <c r="F18" s="25"/>
      <c r="G18" s="24">
        <f t="shared" si="24"/>
        <v>0</v>
      </c>
      <c r="H18" s="6">
        <v>0</v>
      </c>
      <c r="I18" s="6">
        <f t="shared" si="0"/>
        <v>0</v>
      </c>
      <c r="J18" s="6">
        <f t="shared" si="25"/>
        <v>0</v>
      </c>
      <c r="K18" s="6">
        <f t="shared" si="26"/>
        <v>0</v>
      </c>
      <c r="L18" s="24">
        <f t="shared" si="27"/>
        <v>0</v>
      </c>
      <c r="M18" s="24">
        <v>1252468</v>
      </c>
      <c r="N18" s="6">
        <f t="shared" si="29"/>
        <v>0</v>
      </c>
      <c r="O18" s="6">
        <f t="shared" si="30"/>
        <v>0</v>
      </c>
      <c r="P18" s="24">
        <f t="shared" si="31"/>
        <v>0</v>
      </c>
      <c r="Q18" s="24"/>
      <c r="R18" s="24">
        <f t="shared" si="32"/>
        <v>1658240.217109779</v>
      </c>
      <c r="S18" s="24">
        <f t="shared" si="33"/>
        <v>1843760.8945065008</v>
      </c>
      <c r="T18" s="24">
        <f t="shared" si="34"/>
        <v>2012709.991652148</v>
      </c>
      <c r="U18" s="24">
        <f t="shared" si="1"/>
        <v>1901049.467109779</v>
      </c>
      <c r="V18" s="24">
        <f t="shared" si="2"/>
        <v>2086570.1445065008</v>
      </c>
      <c r="W18" s="24">
        <f t="shared" si="3"/>
        <v>2255519.241652148</v>
      </c>
      <c r="X18" s="22"/>
      <c r="Y18" s="3">
        <v>376231</v>
      </c>
      <c r="Z18" s="4">
        <v>0</v>
      </c>
      <c r="AA18" s="3">
        <v>369474</v>
      </c>
      <c r="AB18" s="4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4">
        <v>19</v>
      </c>
      <c r="AP18" s="1">
        <v>39</v>
      </c>
      <c r="AQ18" s="1">
        <v>0</v>
      </c>
      <c r="AR18" s="4">
        <v>0</v>
      </c>
      <c r="AS18" s="3">
        <v>71</v>
      </c>
      <c r="AT18" s="3">
        <v>1889</v>
      </c>
      <c r="AU18" s="3">
        <v>0</v>
      </c>
      <c r="AV18" s="3">
        <v>0</v>
      </c>
      <c r="AW18" s="3">
        <v>2153</v>
      </c>
      <c r="AX18" s="3">
        <v>10</v>
      </c>
      <c r="AY18" s="3">
        <v>0</v>
      </c>
      <c r="AZ18" s="3">
        <v>7</v>
      </c>
      <c r="BA18" s="3">
        <v>3</v>
      </c>
      <c r="BB18" s="3">
        <v>0</v>
      </c>
      <c r="BC18" s="3">
        <v>1</v>
      </c>
      <c r="BD18" s="3">
        <v>1</v>
      </c>
      <c r="BE18" s="3">
        <v>1</v>
      </c>
      <c r="BF18" s="3">
        <v>162905</v>
      </c>
      <c r="BH18" s="4">
        <f t="shared" si="4"/>
        <v>238865.25510977898</v>
      </c>
      <c r="BI18" s="4">
        <f t="shared" si="5"/>
        <v>595961.562</v>
      </c>
      <c r="BJ18" s="4">
        <f t="shared" si="6"/>
        <v>0</v>
      </c>
      <c r="BK18" s="4">
        <f t="shared" si="7"/>
        <v>234726</v>
      </c>
      <c r="BL18" s="4">
        <f t="shared" si="8"/>
        <v>266168</v>
      </c>
      <c r="BM18" s="4">
        <f t="shared" si="9"/>
        <v>322519.4</v>
      </c>
      <c r="BN18" s="4">
        <v>29.826558181730288</v>
      </c>
      <c r="BO18" s="8">
        <f t="shared" si="10"/>
        <v>0.037120689655172415</v>
      </c>
      <c r="BP18" s="4">
        <f t="shared" si="11"/>
        <v>1658240.217109779</v>
      </c>
      <c r="BQ18" s="4">
        <f t="shared" si="12"/>
        <v>1843760.8945065008</v>
      </c>
      <c r="BR18" s="4">
        <f t="shared" si="13"/>
        <v>2012709.991652148</v>
      </c>
      <c r="BS18" s="4">
        <v>989507</v>
      </c>
      <c r="BT18" s="26"/>
      <c r="BU18" s="4">
        <f t="shared" si="35"/>
        <v>14.404743814868265</v>
      </c>
      <c r="BV18" s="4">
        <f t="shared" si="36"/>
        <v>35.939398637835964</v>
      </c>
      <c r="BW18" s="4">
        <f t="shared" si="37"/>
        <v>0</v>
      </c>
      <c r="BX18" s="4">
        <f t="shared" si="38"/>
        <v>14.155126475530455</v>
      </c>
      <c r="BY18" s="4">
        <f t="shared" si="39"/>
        <v>16.051232942831174</v>
      </c>
      <c r="BZ18" s="4">
        <f t="shared" si="40"/>
        <v>19.449498128934152</v>
      </c>
      <c r="CB18" s="4">
        <f t="shared" si="41"/>
        <v>35.50073107176533</v>
      </c>
      <c r="CD18" s="4">
        <f t="shared" si="15"/>
        <v>-2.104378899347097</v>
      </c>
      <c r="CE18" s="4">
        <f t="shared" si="16"/>
        <v>-8.644343557080774</v>
      </c>
      <c r="CF18" s="4">
        <f t="shared" si="17"/>
        <v>4.733390965794089</v>
      </c>
      <c r="CG18" s="4">
        <f t="shared" si="18"/>
        <v>9.381943366480439</v>
      </c>
      <c r="CH18" s="4">
        <f t="shared" si="19"/>
        <v>-0.9119363634933624</v>
      </c>
      <c r="CI18" s="4">
        <f t="shared" si="20"/>
        <v>-2.4546755123533153</v>
      </c>
      <c r="CK18" s="4">
        <f t="shared" si="21"/>
        <v>-3.3666118758466794</v>
      </c>
      <c r="CL18" s="4">
        <f t="shared" si="22"/>
        <v>0</v>
      </c>
      <c r="CM18" s="4">
        <f t="shared" si="42"/>
        <v>49.65585754729578</v>
      </c>
    </row>
    <row r="19" spans="1:91" ht="15">
      <c r="A19" s="22" t="s">
        <v>43</v>
      </c>
      <c r="B19" s="47">
        <v>8</v>
      </c>
      <c r="C19" s="23">
        <v>1451224</v>
      </c>
      <c r="D19" s="6">
        <v>0.17020002767436748</v>
      </c>
      <c r="E19" s="24">
        <f t="shared" si="23"/>
        <v>246998.36496170628</v>
      </c>
      <c r="F19" s="25"/>
      <c r="G19" s="24">
        <f t="shared" si="24"/>
        <v>0</v>
      </c>
      <c r="H19" s="6">
        <v>0.028079843077884803</v>
      </c>
      <c r="I19" s="6">
        <f t="shared" si="0"/>
        <v>0</v>
      </c>
      <c r="J19" s="6">
        <f t="shared" si="25"/>
        <v>0</v>
      </c>
      <c r="K19" s="6">
        <f t="shared" si="26"/>
        <v>0</v>
      </c>
      <c r="L19" s="24">
        <f t="shared" si="27"/>
        <v>40750.14219086029</v>
      </c>
      <c r="M19" s="24">
        <f t="shared" si="28"/>
        <v>1204225.6350382937</v>
      </c>
      <c r="N19" s="6">
        <f t="shared" si="29"/>
        <v>0.007019960769471201</v>
      </c>
      <c r="O19" s="6">
        <f t="shared" si="30"/>
        <v>0</v>
      </c>
      <c r="P19" s="24">
        <f t="shared" si="31"/>
        <v>0</v>
      </c>
      <c r="Q19" s="24"/>
      <c r="R19" s="24">
        <f t="shared" si="32"/>
        <v>1894772.2399999998</v>
      </c>
      <c r="S19" s="24">
        <f t="shared" si="33"/>
        <v>2104383.8103248114</v>
      </c>
      <c r="T19" s="24">
        <f t="shared" si="34"/>
        <v>1635968.7150068816</v>
      </c>
      <c r="U19" s="24">
        <f t="shared" si="1"/>
        <v>2257578.2399999998</v>
      </c>
      <c r="V19" s="24">
        <f t="shared" si="2"/>
        <v>2467189.8103248114</v>
      </c>
      <c r="W19" s="24">
        <f t="shared" si="3"/>
        <v>1998774.7150068816</v>
      </c>
      <c r="X19" s="22"/>
      <c r="Z19" s="4">
        <v>0</v>
      </c>
      <c r="AA19" s="1">
        <v>374880</v>
      </c>
      <c r="AB19" s="4">
        <v>0</v>
      </c>
      <c r="AC19" s="3">
        <v>3</v>
      </c>
      <c r="AD19" s="3">
        <v>35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105</v>
      </c>
      <c r="AP19" s="1">
        <v>57</v>
      </c>
      <c r="AQ19" s="1">
        <v>0</v>
      </c>
      <c r="AR19" s="1">
        <v>0</v>
      </c>
      <c r="AS19" s="3">
        <v>265</v>
      </c>
      <c r="AT19" s="3">
        <v>1613</v>
      </c>
      <c r="AU19" s="1">
        <v>0</v>
      </c>
      <c r="AV19" s="1">
        <v>0</v>
      </c>
      <c r="AW19" s="3">
        <v>1823</v>
      </c>
      <c r="AX19" s="3">
        <v>5</v>
      </c>
      <c r="AY19" s="3">
        <v>3</v>
      </c>
      <c r="AZ19" s="3">
        <v>3</v>
      </c>
      <c r="BA19" s="3">
        <v>1</v>
      </c>
      <c r="BB19" s="3">
        <v>1</v>
      </c>
      <c r="BC19" s="1">
        <v>0</v>
      </c>
      <c r="BD19" s="1">
        <v>0</v>
      </c>
      <c r="BE19" s="1">
        <v>0</v>
      </c>
      <c r="BF19" s="3">
        <v>128532</v>
      </c>
      <c r="BH19" s="4">
        <f t="shared" si="4"/>
        <v>0</v>
      </c>
      <c r="BI19" s="4">
        <f t="shared" si="5"/>
        <v>604681.44</v>
      </c>
      <c r="BJ19" s="4">
        <f t="shared" si="6"/>
        <v>106359</v>
      </c>
      <c r="BK19" s="4">
        <f t="shared" si="7"/>
        <v>655614</v>
      </c>
      <c r="BL19" s="4">
        <f t="shared" si="8"/>
        <v>255032.40000000002</v>
      </c>
      <c r="BM19" s="4">
        <f t="shared" si="9"/>
        <v>273085.4</v>
      </c>
      <c r="BN19" s="4">
        <v>29.757014557673802</v>
      </c>
      <c r="BO19" s="8">
        <f t="shared" si="10"/>
        <v>0.011253086419753087</v>
      </c>
      <c r="BP19" s="4">
        <f t="shared" si="11"/>
        <v>1894772.2399999998</v>
      </c>
      <c r="BQ19" s="4">
        <f t="shared" si="12"/>
        <v>2104383.8103248114</v>
      </c>
      <c r="BR19" s="4">
        <f t="shared" si="13"/>
        <v>1635968.7150068816</v>
      </c>
      <c r="BS19" s="4">
        <v>1521409</v>
      </c>
      <c r="BT19" s="26"/>
      <c r="BU19" s="4">
        <f t="shared" si="35"/>
        <v>0</v>
      </c>
      <c r="BV19" s="4">
        <f t="shared" si="36"/>
        <v>31.913146458172726</v>
      </c>
      <c r="BW19" s="4">
        <f t="shared" si="37"/>
        <v>5.61328679799531</v>
      </c>
      <c r="BX19" s="4">
        <f t="shared" si="38"/>
        <v>34.60120357262571</v>
      </c>
      <c r="BY19" s="4">
        <f t="shared" si="39"/>
        <v>13.45979187451047</v>
      </c>
      <c r="BZ19" s="4">
        <f t="shared" si="40"/>
        <v>14.4125712966958</v>
      </c>
      <c r="CB19" s="4">
        <f t="shared" si="41"/>
        <v>27.87236317120627</v>
      </c>
      <c r="CD19" s="4">
        <f t="shared" si="15"/>
        <v>12.300364915521168</v>
      </c>
      <c r="CE19" s="4">
        <f t="shared" si="16"/>
        <v>-4.618091377417535</v>
      </c>
      <c r="CF19" s="4">
        <f t="shared" si="17"/>
        <v>-0.8798958322012211</v>
      </c>
      <c r="CG19" s="4">
        <f t="shared" si="18"/>
        <v>-11.064133730614813</v>
      </c>
      <c r="CH19" s="4">
        <f t="shared" si="19"/>
        <v>1.679504704827341</v>
      </c>
      <c r="CI19" s="4">
        <f t="shared" si="20"/>
        <v>2.582251319885037</v>
      </c>
      <c r="CK19" s="4">
        <f t="shared" si="21"/>
        <v>4.26175602471238</v>
      </c>
      <c r="CL19" s="4">
        <f t="shared" si="22"/>
        <v>0</v>
      </c>
      <c r="CM19" s="4">
        <f t="shared" si="42"/>
        <v>68.08685354182728</v>
      </c>
    </row>
    <row r="20" spans="1:91" ht="15">
      <c r="A20" s="22" t="s">
        <v>97</v>
      </c>
      <c r="B20" s="47">
        <v>1</v>
      </c>
      <c r="C20" s="24">
        <v>3833397</v>
      </c>
      <c r="D20" s="58">
        <v>0.07217406</v>
      </c>
      <c r="E20" s="24">
        <f t="shared" si="23"/>
        <v>276671.82508182</v>
      </c>
      <c r="F20" s="25"/>
      <c r="G20" s="24">
        <f t="shared" si="24"/>
        <v>0</v>
      </c>
      <c r="H20" s="6">
        <v>0</v>
      </c>
      <c r="I20" s="6">
        <f t="shared" si="0"/>
        <v>0</v>
      </c>
      <c r="J20" s="6">
        <f t="shared" si="25"/>
        <v>0</v>
      </c>
      <c r="K20" s="6">
        <f t="shared" si="26"/>
        <v>0</v>
      </c>
      <c r="L20" s="24">
        <f t="shared" si="27"/>
        <v>0</v>
      </c>
      <c r="M20" s="24">
        <f t="shared" si="28"/>
        <v>3556725.17491818</v>
      </c>
      <c r="N20" s="6">
        <f t="shared" si="29"/>
        <v>0</v>
      </c>
      <c r="O20" s="6">
        <f t="shared" si="30"/>
        <v>0</v>
      </c>
      <c r="P20" s="24">
        <f t="shared" si="31"/>
        <v>0</v>
      </c>
      <c r="Q20" s="24"/>
      <c r="R20" s="24">
        <f t="shared" si="32"/>
        <v>4719858.655705832</v>
      </c>
      <c r="S20" s="24">
        <f t="shared" si="33"/>
        <v>5299082.131203264</v>
      </c>
      <c r="T20" s="24">
        <f t="shared" si="34"/>
        <v>5715641.231621912</v>
      </c>
      <c r="U20" s="24">
        <f t="shared" si="1"/>
        <v>5678207.905705832</v>
      </c>
      <c r="V20" s="24">
        <f t="shared" si="2"/>
        <v>6257431.381203264</v>
      </c>
      <c r="W20" s="24">
        <f t="shared" si="3"/>
        <v>6673990.481621912</v>
      </c>
      <c r="X20" s="22"/>
      <c r="Y20" s="3">
        <v>671922</v>
      </c>
      <c r="Z20" s="4">
        <v>0</v>
      </c>
      <c r="AA20" s="4">
        <v>649922</v>
      </c>
      <c r="AB20" s="4">
        <v>0</v>
      </c>
      <c r="AC20" s="3">
        <v>1</v>
      </c>
      <c r="AD20" s="3">
        <v>15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4">
        <v>43</v>
      </c>
      <c r="AP20" s="1">
        <v>100</v>
      </c>
      <c r="AQ20" s="1">
        <v>10</v>
      </c>
      <c r="AR20" s="4">
        <v>0</v>
      </c>
      <c r="AS20" s="3">
        <v>324</v>
      </c>
      <c r="AT20" s="3">
        <v>4711</v>
      </c>
      <c r="AU20" s="3">
        <v>613</v>
      </c>
      <c r="AV20" s="3">
        <v>0</v>
      </c>
      <c r="AW20" s="3">
        <v>5648</v>
      </c>
      <c r="AX20" s="3">
        <v>14</v>
      </c>
      <c r="AY20" s="3">
        <v>0</v>
      </c>
      <c r="AZ20" s="3">
        <v>7</v>
      </c>
      <c r="BA20" s="3">
        <v>1</v>
      </c>
      <c r="BB20" s="3">
        <v>1</v>
      </c>
      <c r="BC20" s="3">
        <v>1</v>
      </c>
      <c r="BD20" s="3">
        <v>2</v>
      </c>
      <c r="BE20" s="3">
        <v>2</v>
      </c>
      <c r="BF20" s="3">
        <v>316735</v>
      </c>
      <c r="BH20" s="4">
        <f t="shared" si="4"/>
        <v>410124.4697058315</v>
      </c>
      <c r="BI20" s="4">
        <f t="shared" si="5"/>
        <v>1048324.186</v>
      </c>
      <c r="BJ20" s="4">
        <f t="shared" si="6"/>
        <v>35453</v>
      </c>
      <c r="BK20" s="4">
        <f t="shared" si="7"/>
        <v>1432421</v>
      </c>
      <c r="BL20" s="4">
        <f t="shared" si="8"/>
        <v>947465.6</v>
      </c>
      <c r="BM20" s="4">
        <f t="shared" si="9"/>
        <v>846070.4</v>
      </c>
      <c r="BN20" s="4">
        <v>30.42891738867375</v>
      </c>
      <c r="BO20" s="8">
        <f t="shared" si="10"/>
        <v>0.036915032679738564</v>
      </c>
      <c r="BP20" s="4">
        <f t="shared" si="11"/>
        <v>4719858.655705832</v>
      </c>
      <c r="BQ20" s="4">
        <f t="shared" si="12"/>
        <v>5299082.131203264</v>
      </c>
      <c r="BR20" s="4">
        <f t="shared" si="13"/>
        <v>5715641.231621912</v>
      </c>
      <c r="BS20" s="4">
        <v>3114575</v>
      </c>
      <c r="BT20" s="26"/>
      <c r="BU20" s="4">
        <f t="shared" si="35"/>
        <v>8.68933795739905</v>
      </c>
      <c r="BV20" s="4">
        <f t="shared" si="36"/>
        <v>22.210923302389194</v>
      </c>
      <c r="BW20" s="4">
        <f t="shared" si="37"/>
        <v>0.751145375023909</v>
      </c>
      <c r="BX20" s="4">
        <f t="shared" si="38"/>
        <v>30.348811362567986</v>
      </c>
      <c r="BY20" s="4">
        <f t="shared" si="39"/>
        <v>20.07402486204984</v>
      </c>
      <c r="BZ20" s="4">
        <f t="shared" si="40"/>
        <v>17.925757140570013</v>
      </c>
      <c r="CB20" s="4">
        <f t="shared" si="41"/>
        <v>37.99978200261985</v>
      </c>
      <c r="CD20" s="4">
        <f t="shared" si="15"/>
        <v>3.6110269581221175</v>
      </c>
      <c r="CE20" s="4">
        <f t="shared" si="16"/>
        <v>5.084131778365997</v>
      </c>
      <c r="CF20" s="4">
        <f t="shared" si="17"/>
        <v>3.98224559077018</v>
      </c>
      <c r="CG20" s="4">
        <f t="shared" si="18"/>
        <v>-6.811741520557092</v>
      </c>
      <c r="CH20" s="4">
        <f t="shared" si="19"/>
        <v>-4.934728282712028</v>
      </c>
      <c r="CI20" s="4">
        <f t="shared" si="20"/>
        <v>-0.9309345239891762</v>
      </c>
      <c r="CK20" s="4">
        <f t="shared" si="21"/>
        <v>-5.865662806701202</v>
      </c>
      <c r="CL20" s="4">
        <f t="shared" si="22"/>
        <v>0</v>
      </c>
      <c r="CM20" s="4">
        <f t="shared" si="42"/>
        <v>69.09973874021175</v>
      </c>
    </row>
    <row r="21" spans="1:91" ht="15">
      <c r="A21" s="22" t="s">
        <v>59</v>
      </c>
      <c r="B21" s="47">
        <v>8</v>
      </c>
      <c r="C21" s="23">
        <v>1780332.2999999998</v>
      </c>
      <c r="D21" s="6">
        <v>0.4861543048680419</v>
      </c>
      <c r="E21" s="24">
        <f t="shared" si="23"/>
        <v>865516.2117406222</v>
      </c>
      <c r="F21" s="25"/>
      <c r="G21" s="24">
        <f t="shared" si="24"/>
        <v>0</v>
      </c>
      <c r="H21" s="6">
        <v>0.33058447582425443</v>
      </c>
      <c r="I21" s="6">
        <f t="shared" si="0"/>
        <v>0</v>
      </c>
      <c r="J21" s="6">
        <f t="shared" si="25"/>
        <v>0</v>
      </c>
      <c r="K21" s="6">
        <f t="shared" si="26"/>
        <v>0</v>
      </c>
      <c r="L21" s="24">
        <f t="shared" si="27"/>
        <v>588550.2201884892</v>
      </c>
      <c r="M21" s="24">
        <f t="shared" si="28"/>
        <v>914816.0882593776</v>
      </c>
      <c r="N21" s="6">
        <f t="shared" si="29"/>
        <v>0.08264611895606361</v>
      </c>
      <c r="O21" s="6">
        <f t="shared" si="30"/>
        <v>0.05</v>
      </c>
      <c r="P21" s="24">
        <f t="shared" si="31"/>
        <v>89016.61499999999</v>
      </c>
      <c r="Q21" s="24"/>
      <c r="R21" s="24">
        <f t="shared" si="32"/>
        <v>1221718.727565467</v>
      </c>
      <c r="S21" s="24">
        <f t="shared" si="33"/>
        <v>1359860.2182122786</v>
      </c>
      <c r="T21" s="24">
        <f t="shared" si="34"/>
        <v>1470104.7141671227</v>
      </c>
      <c r="U21" s="24">
        <f t="shared" si="1"/>
        <v>1666801.8025654668</v>
      </c>
      <c r="V21" s="24">
        <f t="shared" si="2"/>
        <v>1804943.2932122785</v>
      </c>
      <c r="W21" s="24">
        <f t="shared" si="3"/>
        <v>1915187.7891671227</v>
      </c>
      <c r="X21" s="22"/>
      <c r="Y21" s="3">
        <v>249717</v>
      </c>
      <c r="Z21" s="4">
        <v>0</v>
      </c>
      <c r="AA21" s="3">
        <v>237387</v>
      </c>
      <c r="AB21" s="4">
        <v>0</v>
      </c>
      <c r="AC21" s="3">
        <v>0</v>
      </c>
      <c r="AD21" s="3">
        <v>0</v>
      </c>
      <c r="AE21" s="3">
        <v>1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4">
        <v>4</v>
      </c>
      <c r="AP21" s="1">
        <v>39</v>
      </c>
      <c r="AQ21" s="1">
        <v>0</v>
      </c>
      <c r="AR21" s="4">
        <v>0</v>
      </c>
      <c r="AS21" s="3">
        <v>2</v>
      </c>
      <c r="AT21" s="3">
        <v>1553</v>
      </c>
      <c r="AU21" s="1">
        <v>0</v>
      </c>
      <c r="AV21" s="1">
        <v>0</v>
      </c>
      <c r="AW21" s="3">
        <v>1563</v>
      </c>
      <c r="AX21" s="3">
        <v>6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101923</v>
      </c>
      <c r="BH21" s="4">
        <f t="shared" si="4"/>
        <v>163017.0965654669</v>
      </c>
      <c r="BI21" s="4">
        <f t="shared" si="5"/>
        <v>382905.23099999997</v>
      </c>
      <c r="BJ21" s="4">
        <f t="shared" si="6"/>
        <v>56469</v>
      </c>
      <c r="BK21" s="4">
        <f t="shared" si="7"/>
        <v>174021</v>
      </c>
      <c r="BL21" s="4">
        <f t="shared" si="8"/>
        <v>211169.00000000003</v>
      </c>
      <c r="BM21" s="4">
        <f t="shared" si="9"/>
        <v>234137.40000000002</v>
      </c>
      <c r="BN21" s="4">
        <v>29.892857543409256</v>
      </c>
      <c r="BO21" s="8">
        <f t="shared" si="10"/>
        <v>0.03634883720930233</v>
      </c>
      <c r="BP21" s="4">
        <f t="shared" si="11"/>
        <v>1221718.727565467</v>
      </c>
      <c r="BQ21" s="4">
        <f t="shared" si="12"/>
        <v>1359860.2182122786</v>
      </c>
      <c r="BR21" s="4">
        <f t="shared" si="13"/>
        <v>1470104.7141671227</v>
      </c>
      <c r="BS21" s="4">
        <v>1510247</v>
      </c>
      <c r="BT21" s="26"/>
      <c r="BU21" s="4">
        <f t="shared" si="35"/>
        <v>13.343259204212494</v>
      </c>
      <c r="BV21" s="4">
        <f t="shared" si="36"/>
        <v>31.341520954092246</v>
      </c>
      <c r="BW21" s="4">
        <f t="shared" si="37"/>
        <v>4.622094981921611</v>
      </c>
      <c r="BX21" s="4">
        <f t="shared" si="38"/>
        <v>14.243949615700307</v>
      </c>
      <c r="BY21" s="4">
        <f t="shared" si="39"/>
        <v>17.28458402375471</v>
      </c>
      <c r="BZ21" s="4">
        <f t="shared" si="40"/>
        <v>19.164591220318634</v>
      </c>
      <c r="CB21" s="4">
        <f t="shared" si="41"/>
        <v>36.449175244073345</v>
      </c>
      <c r="CD21" s="4">
        <f t="shared" si="15"/>
        <v>-1.0428942886913255</v>
      </c>
      <c r="CE21" s="4">
        <f t="shared" si="16"/>
        <v>-4.0464658733370555</v>
      </c>
      <c r="CF21" s="4">
        <f t="shared" si="17"/>
        <v>0.11129598387247785</v>
      </c>
      <c r="CG21" s="4">
        <f t="shared" si="18"/>
        <v>9.293120226310586</v>
      </c>
      <c r="CH21" s="4">
        <f t="shared" si="19"/>
        <v>-2.1452874444168994</v>
      </c>
      <c r="CI21" s="4">
        <f t="shared" si="20"/>
        <v>-2.169768603737797</v>
      </c>
      <c r="CK21" s="4">
        <f t="shared" si="21"/>
        <v>-4.315056048154695</v>
      </c>
      <c r="CL21" s="4">
        <f t="shared" si="22"/>
        <v>0</v>
      </c>
      <c r="CM21" s="4">
        <f t="shared" si="42"/>
        <v>55.31521984169526</v>
      </c>
    </row>
    <row r="22" spans="1:91" ht="15">
      <c r="A22" s="22" t="s">
        <v>163</v>
      </c>
      <c r="B22" s="47">
        <v>3</v>
      </c>
      <c r="C22" s="24">
        <v>949276.1388549054</v>
      </c>
      <c r="D22" s="58">
        <v>0.03345209</v>
      </c>
      <c r="E22" s="24">
        <f t="shared" si="23"/>
        <v>31755.27083182679</v>
      </c>
      <c r="F22" s="25"/>
      <c r="G22" s="24">
        <f t="shared" si="24"/>
        <v>0</v>
      </c>
      <c r="H22" s="6">
        <v>0</v>
      </c>
      <c r="I22" s="6">
        <f t="shared" si="0"/>
        <v>0</v>
      </c>
      <c r="J22" s="6">
        <f t="shared" si="25"/>
        <v>0</v>
      </c>
      <c r="K22" s="6">
        <f t="shared" si="26"/>
        <v>0</v>
      </c>
      <c r="L22" s="24">
        <f t="shared" si="27"/>
        <v>0</v>
      </c>
      <c r="M22" s="24">
        <f t="shared" si="28"/>
        <v>917520.8680230785</v>
      </c>
      <c r="N22" s="6">
        <f t="shared" si="29"/>
        <v>0</v>
      </c>
      <c r="O22" s="6">
        <f t="shared" si="30"/>
        <v>0</v>
      </c>
      <c r="P22" s="24">
        <f t="shared" si="31"/>
        <v>0</v>
      </c>
      <c r="Q22" s="24"/>
      <c r="R22" s="24">
        <f t="shared" si="32"/>
        <v>1365454.5019662222</v>
      </c>
      <c r="S22" s="24">
        <f t="shared" si="33"/>
        <v>1564723.244433099</v>
      </c>
      <c r="T22" s="24">
        <f t="shared" si="34"/>
        <v>1466245.567406268</v>
      </c>
      <c r="U22" s="24">
        <f t="shared" si="1"/>
        <v>1602773.5366799484</v>
      </c>
      <c r="V22" s="24">
        <f t="shared" si="2"/>
        <v>1802042.2791468252</v>
      </c>
      <c r="W22" s="24">
        <f t="shared" si="3"/>
        <v>1703564.6021199943</v>
      </c>
      <c r="X22" s="22"/>
      <c r="Y22" s="3">
        <v>245516</v>
      </c>
      <c r="Z22" s="4">
        <v>0</v>
      </c>
      <c r="AA22" s="3">
        <v>242562</v>
      </c>
      <c r="AB22" s="4">
        <v>0</v>
      </c>
      <c r="AC22" s="3">
        <v>1</v>
      </c>
      <c r="AD22" s="3">
        <v>50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4">
        <v>28</v>
      </c>
      <c r="AP22" s="1">
        <v>38</v>
      </c>
      <c r="AQ22" s="1">
        <v>0</v>
      </c>
      <c r="AR22" s="4">
        <v>0</v>
      </c>
      <c r="AS22" s="3">
        <v>193</v>
      </c>
      <c r="AT22" s="3">
        <v>1621</v>
      </c>
      <c r="AU22" s="3">
        <v>0</v>
      </c>
      <c r="AV22" s="3">
        <v>0</v>
      </c>
      <c r="AW22" s="3">
        <v>1768</v>
      </c>
      <c r="AX22" s="3">
        <v>6</v>
      </c>
      <c r="AY22" s="3">
        <v>0</v>
      </c>
      <c r="AZ22" s="3">
        <v>6</v>
      </c>
      <c r="BA22" s="3">
        <v>1</v>
      </c>
      <c r="BB22" s="3">
        <v>1</v>
      </c>
      <c r="BC22" s="3">
        <v>1</v>
      </c>
      <c r="BD22" s="3">
        <v>1</v>
      </c>
      <c r="BE22" s="3">
        <v>3</v>
      </c>
      <c r="BF22" s="3">
        <v>128168</v>
      </c>
      <c r="BH22" s="4">
        <f t="shared" si="4"/>
        <v>160459.3959662221</v>
      </c>
      <c r="BI22" s="4">
        <f t="shared" si="5"/>
        <v>391252.506</v>
      </c>
      <c r="BJ22" s="4">
        <f t="shared" si="6"/>
        <v>35453</v>
      </c>
      <c r="BK22" s="4">
        <f t="shared" si="7"/>
        <v>267102</v>
      </c>
      <c r="BL22" s="4">
        <f t="shared" si="8"/>
        <v>246341.2</v>
      </c>
      <c r="BM22" s="4">
        <f t="shared" si="9"/>
        <v>264846.4</v>
      </c>
      <c r="BN22" s="4">
        <v>31.718657482420472</v>
      </c>
      <c r="BO22" s="8">
        <f t="shared" si="10"/>
        <v>0.026787878787878788</v>
      </c>
      <c r="BP22" s="4">
        <f t="shared" si="11"/>
        <v>1365454.5019662222</v>
      </c>
      <c r="BQ22" s="4">
        <f t="shared" si="12"/>
        <v>1564723.244433099</v>
      </c>
      <c r="BR22" s="4">
        <f t="shared" si="13"/>
        <v>1466245.567406268</v>
      </c>
      <c r="BS22" s="4">
        <v>1047210</v>
      </c>
      <c r="BT22" s="26"/>
      <c r="BU22" s="4">
        <f t="shared" si="35"/>
        <v>11.751354273259516</v>
      </c>
      <c r="BV22" s="4">
        <f t="shared" si="36"/>
        <v>28.653646491816875</v>
      </c>
      <c r="BW22" s="4">
        <f t="shared" si="37"/>
        <v>2.596424849670825</v>
      </c>
      <c r="BX22" s="4">
        <f t="shared" si="38"/>
        <v>19.561398758829345</v>
      </c>
      <c r="BY22" s="4">
        <f t="shared" si="39"/>
        <v>18.04096728563819</v>
      </c>
      <c r="BZ22" s="4">
        <f t="shared" si="40"/>
        <v>19.396208340785247</v>
      </c>
      <c r="CB22" s="4">
        <f t="shared" si="41"/>
        <v>37.43717562642344</v>
      </c>
      <c r="CD22" s="4">
        <f t="shared" si="15"/>
        <v>0.5490106422616527</v>
      </c>
      <c r="CE22" s="4">
        <f t="shared" si="16"/>
        <v>-1.3585914110616848</v>
      </c>
      <c r="CF22" s="4">
        <f t="shared" si="17"/>
        <v>2.136966116123264</v>
      </c>
      <c r="CG22" s="4">
        <f t="shared" si="18"/>
        <v>3.975671083181549</v>
      </c>
      <c r="CH22" s="4">
        <f t="shared" si="19"/>
        <v>-2.9016707063003775</v>
      </c>
      <c r="CI22" s="4">
        <f t="shared" si="20"/>
        <v>-2.4013857242044097</v>
      </c>
      <c r="CK22" s="4">
        <f t="shared" si="21"/>
        <v>-5.303056430504789</v>
      </c>
      <c r="CL22" s="4">
        <f t="shared" si="22"/>
        <v>0</v>
      </c>
      <c r="CM22" s="4">
        <f t="shared" si="42"/>
        <v>59.594999234923606</v>
      </c>
    </row>
    <row r="23" spans="1:91" ht="15">
      <c r="A23" s="22" t="s">
        <v>69</v>
      </c>
      <c r="B23" s="47">
        <v>10</v>
      </c>
      <c r="C23" s="23">
        <v>16328970</v>
      </c>
      <c r="D23" s="6">
        <v>0.4499503761834772</v>
      </c>
      <c r="E23" s="24">
        <f t="shared" si="23"/>
        <v>7347226.194188714</v>
      </c>
      <c r="F23" s="25"/>
      <c r="G23" s="24">
        <f t="shared" si="24"/>
        <v>0</v>
      </c>
      <c r="H23" s="6">
        <v>0.2943805280852325</v>
      </c>
      <c r="I23" s="6">
        <f t="shared" si="0"/>
        <v>0</v>
      </c>
      <c r="J23" s="6">
        <f t="shared" si="25"/>
        <v>0</v>
      </c>
      <c r="K23" s="6">
        <f t="shared" si="26"/>
        <v>0</v>
      </c>
      <c r="L23" s="24">
        <f t="shared" si="27"/>
        <v>4806930.811687919</v>
      </c>
      <c r="M23" s="24">
        <f t="shared" si="28"/>
        <v>8981743.805811286</v>
      </c>
      <c r="N23" s="6">
        <f t="shared" si="29"/>
        <v>0.07359513202130813</v>
      </c>
      <c r="O23" s="6">
        <f t="shared" si="30"/>
        <v>0.05</v>
      </c>
      <c r="P23" s="24">
        <f t="shared" si="31"/>
        <v>816448.5</v>
      </c>
      <c r="Q23" s="24"/>
      <c r="R23" s="24">
        <f t="shared" si="32"/>
        <v>13306406.641965609</v>
      </c>
      <c r="S23" s="24">
        <f t="shared" si="33"/>
        <v>14781229.906450972</v>
      </c>
      <c r="T23" s="24">
        <f t="shared" si="34"/>
        <v>14433621.37163685</v>
      </c>
      <c r="U23" s="24">
        <f t="shared" si="1"/>
        <v>17388649.14196561</v>
      </c>
      <c r="V23" s="24">
        <f t="shared" si="2"/>
        <v>18863472.406450972</v>
      </c>
      <c r="W23" s="24">
        <f t="shared" si="3"/>
        <v>18515863.871636853</v>
      </c>
      <c r="X23" s="22"/>
      <c r="Y23" s="3">
        <f>2463540+364260</f>
        <v>2827800</v>
      </c>
      <c r="Z23" s="4">
        <v>0</v>
      </c>
      <c r="AA23" s="4">
        <v>1932950</v>
      </c>
      <c r="AB23" s="3">
        <v>417410</v>
      </c>
      <c r="AC23" s="3">
        <v>5</v>
      </c>
      <c r="AD23" s="3">
        <v>56</v>
      </c>
      <c r="AE23" s="3">
        <v>1</v>
      </c>
      <c r="AF23" s="3">
        <v>100</v>
      </c>
      <c r="AG23" s="3">
        <v>1</v>
      </c>
      <c r="AH23" s="3">
        <v>120</v>
      </c>
      <c r="AI23" s="3">
        <v>1</v>
      </c>
      <c r="AJ23" s="3">
        <v>400</v>
      </c>
      <c r="AK23" s="3">
        <v>0</v>
      </c>
      <c r="AL23" s="3">
        <v>0</v>
      </c>
      <c r="AM23" s="3">
        <v>0</v>
      </c>
      <c r="AN23" s="3">
        <v>0</v>
      </c>
      <c r="AO23" s="4">
        <v>135</v>
      </c>
      <c r="AP23" s="1">
        <v>382</v>
      </c>
      <c r="AQ23" s="1">
        <v>13</v>
      </c>
      <c r="AR23" s="4">
        <v>0</v>
      </c>
      <c r="AS23" s="3">
        <v>740</v>
      </c>
      <c r="AT23" s="3">
        <v>11931</v>
      </c>
      <c r="AU23" s="3">
        <v>492</v>
      </c>
      <c r="AV23" s="3">
        <v>0</v>
      </c>
      <c r="AW23" s="3">
        <v>14624</v>
      </c>
      <c r="AX23" s="3">
        <v>42</v>
      </c>
      <c r="AY23" s="3">
        <v>73</v>
      </c>
      <c r="AZ23" s="3">
        <v>74</v>
      </c>
      <c r="BA23" s="3">
        <v>6</v>
      </c>
      <c r="BB23" s="3">
        <v>6</v>
      </c>
      <c r="BC23" s="3">
        <v>3</v>
      </c>
      <c r="BD23" s="3">
        <v>7</v>
      </c>
      <c r="BE23" s="3">
        <v>19</v>
      </c>
      <c r="BF23" s="3">
        <v>1411485</v>
      </c>
      <c r="BH23" s="4">
        <f t="shared" si="4"/>
        <v>1565550.5519656083</v>
      </c>
      <c r="BI23" s="4">
        <f t="shared" si="5"/>
        <v>3858333.69</v>
      </c>
      <c r="BJ23" s="4">
        <f t="shared" si="6"/>
        <v>557358</v>
      </c>
      <c r="BK23" s="4">
        <f t="shared" si="7"/>
        <v>3202109</v>
      </c>
      <c r="BL23" s="4">
        <f t="shared" si="8"/>
        <v>1932380.2</v>
      </c>
      <c r="BM23" s="4">
        <f t="shared" si="9"/>
        <v>2190675.2</v>
      </c>
      <c r="BN23" s="4">
        <v>29.76864319391533</v>
      </c>
      <c r="BO23" s="8">
        <f t="shared" si="10"/>
        <v>0.027592452830188678</v>
      </c>
      <c r="BP23" s="4">
        <f t="shared" si="11"/>
        <v>13306406.641965609</v>
      </c>
      <c r="BQ23" s="4">
        <f t="shared" si="12"/>
        <v>14781229.906450972</v>
      </c>
      <c r="BR23" s="4">
        <f t="shared" si="13"/>
        <v>14433621.37163685</v>
      </c>
      <c r="BS23" s="4">
        <v>18293521</v>
      </c>
      <c r="BT23" s="26"/>
      <c r="BU23" s="4">
        <f t="shared" si="35"/>
        <v>11.765389365361727</v>
      </c>
      <c r="BV23" s="4">
        <f t="shared" si="36"/>
        <v>28.996060272437692</v>
      </c>
      <c r="BW23" s="4">
        <f t="shared" si="37"/>
        <v>4.188643974265825</v>
      </c>
      <c r="BX23" s="4">
        <f t="shared" si="38"/>
        <v>24.064415631949963</v>
      </c>
      <c r="BY23" s="4">
        <f t="shared" si="39"/>
        <v>14.522179067530367</v>
      </c>
      <c r="BZ23" s="4">
        <f t="shared" si="40"/>
        <v>16.463311688454425</v>
      </c>
      <c r="CB23" s="4">
        <f t="shared" si="41"/>
        <v>30.98549075598479</v>
      </c>
      <c r="CD23" s="4">
        <f t="shared" si="15"/>
        <v>0.5349755501594409</v>
      </c>
      <c r="CE23" s="4">
        <f t="shared" si="16"/>
        <v>-1.7010051916825013</v>
      </c>
      <c r="CF23" s="4">
        <f t="shared" si="17"/>
        <v>0.5447469915282639</v>
      </c>
      <c r="CG23" s="4">
        <f t="shared" si="18"/>
        <v>-0.5273457899390692</v>
      </c>
      <c r="CH23" s="4">
        <f t="shared" si="19"/>
        <v>0.6171175118074448</v>
      </c>
      <c r="CI23" s="4">
        <f t="shared" si="20"/>
        <v>0.5315109281264121</v>
      </c>
      <c r="CK23" s="4">
        <f t="shared" si="21"/>
        <v>1.1486284399338587</v>
      </c>
      <c r="CL23" s="4">
        <f t="shared" si="22"/>
        <v>0</v>
      </c>
      <c r="CM23" s="4">
        <f t="shared" si="42"/>
        <v>59.238550362200584</v>
      </c>
    </row>
    <row r="24" spans="1:91" ht="15">
      <c r="A24" s="22" t="s">
        <v>105</v>
      </c>
      <c r="B24" s="47">
        <v>8</v>
      </c>
      <c r="C24" s="23">
        <v>2952676</v>
      </c>
      <c r="D24" s="6">
        <v>0.5986110884461673</v>
      </c>
      <c r="E24" s="24">
        <f>C24*D24</f>
        <v>1767504.5941888755</v>
      </c>
      <c r="F24" s="25"/>
      <c r="G24" s="24">
        <f t="shared" si="24"/>
        <v>0</v>
      </c>
      <c r="H24" s="6">
        <v>0.4430412594023796</v>
      </c>
      <c r="I24" s="6">
        <f t="shared" si="0"/>
        <v>0</v>
      </c>
      <c r="J24" s="6">
        <f t="shared" si="25"/>
        <v>0</v>
      </c>
      <c r="K24" s="6">
        <f t="shared" si="26"/>
        <v>0</v>
      </c>
      <c r="L24" s="24">
        <f t="shared" si="27"/>
        <v>1308157.2936471805</v>
      </c>
      <c r="M24" s="24">
        <f t="shared" si="28"/>
        <v>1185171.4058111245</v>
      </c>
      <c r="N24" s="6">
        <f t="shared" si="29"/>
        <v>0.1107603148505949</v>
      </c>
      <c r="O24" s="6">
        <f t="shared" si="30"/>
        <v>0.05</v>
      </c>
      <c r="P24" s="24">
        <f t="shared" si="31"/>
        <v>147633.80000000002</v>
      </c>
      <c r="Q24" s="28"/>
      <c r="R24" s="24">
        <f t="shared" si="32"/>
        <v>1759497.5708599216</v>
      </c>
      <c r="S24" s="24">
        <f t="shared" si="33"/>
        <v>1476983.8831454574</v>
      </c>
      <c r="T24" s="24">
        <f t="shared" si="34"/>
        <v>1904564.7883750603</v>
      </c>
      <c r="U24" s="24">
        <f t="shared" si="1"/>
        <v>2497666.5708599216</v>
      </c>
      <c r="V24" s="24">
        <f t="shared" si="2"/>
        <v>2215152.883145457</v>
      </c>
      <c r="W24" s="24">
        <f t="shared" si="3"/>
        <v>2642733.78837506</v>
      </c>
      <c r="X24" s="22"/>
      <c r="Y24" s="3">
        <v>360000</v>
      </c>
      <c r="Z24" s="4">
        <v>0</v>
      </c>
      <c r="AA24" s="4">
        <v>0</v>
      </c>
      <c r="AB24" s="4">
        <v>330000</v>
      </c>
      <c r="AC24" s="3">
        <v>0</v>
      </c>
      <c r="AD24" s="3">
        <v>0</v>
      </c>
      <c r="AE24" s="3">
        <v>1</v>
      </c>
      <c r="AF24" s="3">
        <v>92</v>
      </c>
      <c r="AG24" s="3">
        <v>0</v>
      </c>
      <c r="AH24" s="3">
        <v>0</v>
      </c>
      <c r="AI24" s="3">
        <v>1</v>
      </c>
      <c r="AJ24" s="3">
        <v>240</v>
      </c>
      <c r="AK24" s="3">
        <v>0</v>
      </c>
      <c r="AL24" s="3">
        <v>0</v>
      </c>
      <c r="AM24" s="3">
        <v>0</v>
      </c>
      <c r="AN24" s="3">
        <v>0</v>
      </c>
      <c r="AO24" s="4">
        <v>45</v>
      </c>
      <c r="AP24" s="1">
        <v>42</v>
      </c>
      <c r="AQ24" s="1">
        <v>0</v>
      </c>
      <c r="AR24" s="4">
        <v>0</v>
      </c>
      <c r="AS24" s="3">
        <v>0</v>
      </c>
      <c r="AT24" s="3">
        <v>0</v>
      </c>
      <c r="AU24" s="3">
        <v>0</v>
      </c>
      <c r="AV24" s="3">
        <v>0</v>
      </c>
      <c r="AW24" s="3">
        <v>2386</v>
      </c>
      <c r="AX24" s="3">
        <v>10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385587</v>
      </c>
      <c r="BH24" s="4">
        <f t="shared" si="4"/>
        <v>229245.77085992153</v>
      </c>
      <c r="BI24" s="4">
        <f t="shared" si="5"/>
        <v>585420</v>
      </c>
      <c r="BJ24" s="4">
        <f t="shared" si="6"/>
        <v>235320</v>
      </c>
      <c r="BK24" s="4">
        <f t="shared" si="7"/>
        <v>352089</v>
      </c>
      <c r="BL24" s="4">
        <f t="shared" si="8"/>
        <v>0</v>
      </c>
      <c r="BM24" s="4">
        <f t="shared" si="9"/>
        <v>357422.80000000005</v>
      </c>
      <c r="BN24" s="4">
        <v>14.690834588447284</v>
      </c>
      <c r="BO24" s="8">
        <f t="shared" si="10"/>
        <v>0.02742528735632184</v>
      </c>
      <c r="BP24" s="4">
        <f t="shared" si="11"/>
        <v>1759497.5708599216</v>
      </c>
      <c r="BQ24" s="4">
        <f t="shared" si="12"/>
        <v>1476983.8831454574</v>
      </c>
      <c r="BR24" s="4">
        <f t="shared" si="13"/>
        <v>1904564.7883750603</v>
      </c>
      <c r="BS24" s="4">
        <v>3682430</v>
      </c>
      <c r="BT24" s="26"/>
      <c r="BU24" s="4">
        <f t="shared" si="35"/>
        <v>13.029047306264932</v>
      </c>
      <c r="BV24" s="4">
        <f t="shared" si="36"/>
        <v>33.27199819400074</v>
      </c>
      <c r="BW24" s="4">
        <f t="shared" si="37"/>
        <v>13.374272513771743</v>
      </c>
      <c r="BX24" s="4">
        <f t="shared" si="38"/>
        <v>20.010769314556264</v>
      </c>
      <c r="BY24" s="4">
        <f t="shared" si="39"/>
        <v>0</v>
      </c>
      <c r="BZ24" s="4">
        <f t="shared" si="40"/>
        <v>20.313912671406325</v>
      </c>
      <c r="CB24" s="4">
        <f t="shared" si="41"/>
        <v>20.313912671406325</v>
      </c>
      <c r="CD24" s="4">
        <f t="shared" si="15"/>
        <v>-0.7286823907437636</v>
      </c>
      <c r="CE24" s="4">
        <f t="shared" si="16"/>
        <v>-5.976943113245547</v>
      </c>
      <c r="CF24" s="4">
        <f t="shared" si="17"/>
        <v>-8.640881547977653</v>
      </c>
      <c r="CG24" s="4">
        <f t="shared" si="18"/>
        <v>3.52630052745463</v>
      </c>
      <c r="CH24" s="4">
        <f t="shared" si="19"/>
        <v>15.139296579337811</v>
      </c>
      <c r="CI24" s="4">
        <f t="shared" si="20"/>
        <v>-3.3190900548254874</v>
      </c>
      <c r="CK24" s="4">
        <f t="shared" si="21"/>
        <v>11.820206524512326</v>
      </c>
      <c r="CL24" s="4">
        <f t="shared" si="22"/>
        <v>0</v>
      </c>
      <c r="CM24" s="4">
        <f t="shared" si="42"/>
        <v>53.69895449973433</v>
      </c>
    </row>
    <row r="25" spans="1:91" ht="15">
      <c r="A25" s="22" t="s">
        <v>51</v>
      </c>
      <c r="B25" s="47">
        <v>8</v>
      </c>
      <c r="C25" s="23">
        <v>759267</v>
      </c>
      <c r="D25" s="6">
        <v>0</v>
      </c>
      <c r="E25" s="24">
        <f t="shared" si="23"/>
        <v>0</v>
      </c>
      <c r="F25" s="25"/>
      <c r="G25" s="24">
        <f t="shared" si="24"/>
        <v>0</v>
      </c>
      <c r="H25" s="6">
        <v>0</v>
      </c>
      <c r="I25" s="6">
        <f t="shared" si="0"/>
        <v>0</v>
      </c>
      <c r="J25" s="6">
        <f t="shared" si="25"/>
        <v>0</v>
      </c>
      <c r="K25" s="6">
        <f t="shared" si="26"/>
        <v>0</v>
      </c>
      <c r="L25" s="24">
        <f t="shared" si="27"/>
        <v>0</v>
      </c>
      <c r="M25" s="24">
        <v>870139</v>
      </c>
      <c r="N25" s="6">
        <f t="shared" si="29"/>
        <v>0</v>
      </c>
      <c r="O25" s="6">
        <f t="shared" si="30"/>
        <v>0</v>
      </c>
      <c r="P25" s="24">
        <f t="shared" si="31"/>
        <v>0</v>
      </c>
      <c r="Q25" s="28"/>
      <c r="R25" s="24">
        <f t="shared" si="32"/>
        <v>1129331.751900214</v>
      </c>
      <c r="S25" s="24">
        <f t="shared" si="33"/>
        <v>1302908.2442296133</v>
      </c>
      <c r="T25" s="24">
        <f t="shared" si="34"/>
        <v>1398309.3863206422</v>
      </c>
      <c r="U25" s="24">
        <f t="shared" si="1"/>
        <v>1319148.501900214</v>
      </c>
      <c r="V25" s="24">
        <f t="shared" si="2"/>
        <v>1492724.9942296133</v>
      </c>
      <c r="W25" s="24">
        <f t="shared" si="3"/>
        <v>1588126.1363206422</v>
      </c>
      <c r="X25" s="22"/>
      <c r="Y25" s="3">
        <v>201405</v>
      </c>
      <c r="Z25" s="4">
        <v>0</v>
      </c>
      <c r="AA25" s="4">
        <v>200440</v>
      </c>
      <c r="AB25" s="4">
        <v>0</v>
      </c>
      <c r="AC25" s="3">
        <v>3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1">
        <v>5</v>
      </c>
      <c r="AP25" s="1">
        <v>34</v>
      </c>
      <c r="AQ25" s="1">
        <v>0</v>
      </c>
      <c r="AR25" s="1">
        <v>0</v>
      </c>
      <c r="AS25" s="3">
        <v>30</v>
      </c>
      <c r="AT25" s="3">
        <v>1303</v>
      </c>
      <c r="AU25" s="1">
        <v>0</v>
      </c>
      <c r="AV25" s="1">
        <v>0</v>
      </c>
      <c r="AW25" s="3">
        <v>1518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H25" s="4">
        <f t="shared" si="4"/>
        <v>133412.23190021396</v>
      </c>
      <c r="BI25" s="4">
        <f t="shared" si="5"/>
        <v>323309.72</v>
      </c>
      <c r="BJ25" s="4">
        <f t="shared" si="6"/>
        <v>106359</v>
      </c>
      <c r="BK25" s="4">
        <f t="shared" si="7"/>
        <v>157833</v>
      </c>
      <c r="BL25" s="4">
        <f t="shared" si="8"/>
        <v>181021.40000000002</v>
      </c>
      <c r="BM25" s="4">
        <f t="shared" si="9"/>
        <v>227396.40000000002</v>
      </c>
      <c r="BN25" s="4">
        <v>32.14991155351333</v>
      </c>
      <c r="BO25" s="8">
        <f t="shared" si="10"/>
        <v>0.03892307692307692</v>
      </c>
      <c r="BP25" s="4">
        <f t="shared" si="11"/>
        <v>1129331.751900214</v>
      </c>
      <c r="BQ25" s="4">
        <f t="shared" si="12"/>
        <v>1302908.2442296133</v>
      </c>
      <c r="BR25" s="4">
        <f t="shared" si="13"/>
        <v>1398309.3863206422</v>
      </c>
      <c r="BS25" s="4">
        <v>837172</v>
      </c>
      <c r="BT25" s="26"/>
      <c r="BU25" s="4">
        <f t="shared" si="35"/>
        <v>11.813378281070596</v>
      </c>
      <c r="BV25" s="4">
        <f t="shared" si="36"/>
        <v>28.62840962861435</v>
      </c>
      <c r="BW25" s="4">
        <f t="shared" si="37"/>
        <v>9.41787033093157</v>
      </c>
      <c r="BX25" s="4">
        <f t="shared" si="38"/>
        <v>13.975786985040504</v>
      </c>
      <c r="BY25" s="4">
        <f t="shared" si="39"/>
        <v>16.029072032678915</v>
      </c>
      <c r="BZ25" s="4">
        <f t="shared" si="40"/>
        <v>20.135482741664067</v>
      </c>
      <c r="CB25" s="4">
        <f t="shared" si="41"/>
        <v>36.16455477434298</v>
      </c>
      <c r="CD25" s="4">
        <f t="shared" si="15"/>
        <v>0.486986634450572</v>
      </c>
      <c r="CE25" s="4">
        <f t="shared" si="16"/>
        <v>-1.3333545478591589</v>
      </c>
      <c r="CF25" s="4">
        <f t="shared" si="17"/>
        <v>-4.684479365137482</v>
      </c>
      <c r="CG25" s="4">
        <f t="shared" si="18"/>
        <v>9.56128285697039</v>
      </c>
      <c r="CH25" s="4">
        <f t="shared" si="19"/>
        <v>-0.8897754533411035</v>
      </c>
      <c r="CI25" s="4">
        <f t="shared" si="20"/>
        <v>-3.1406601250832296</v>
      </c>
      <c r="CK25" s="4">
        <f t="shared" si="21"/>
        <v>-4.030435578424331</v>
      </c>
      <c r="CL25" s="4">
        <f t="shared" si="22"/>
        <v>0</v>
      </c>
      <c r="CM25" s="4">
        <f t="shared" si="42"/>
        <v>59.55821209031505</v>
      </c>
    </row>
    <row r="26" spans="1:91" ht="15">
      <c r="A26" s="29" t="s">
        <v>39</v>
      </c>
      <c r="B26" s="48">
        <v>8</v>
      </c>
      <c r="C26" s="23">
        <v>2307860</v>
      </c>
      <c r="D26" s="30">
        <v>0.6095036564960079</v>
      </c>
      <c r="E26" s="24">
        <f t="shared" si="23"/>
        <v>1406649.108680877</v>
      </c>
      <c r="F26" s="31"/>
      <c r="G26" s="24">
        <f t="shared" si="24"/>
        <v>0</v>
      </c>
      <c r="H26" s="30">
        <v>0.46409299705994167</v>
      </c>
      <c r="I26" s="6">
        <f t="shared" si="0"/>
        <v>0</v>
      </c>
      <c r="J26" s="6">
        <f t="shared" si="25"/>
        <v>0</v>
      </c>
      <c r="K26" s="6">
        <f t="shared" si="26"/>
        <v>0</v>
      </c>
      <c r="L26" s="24">
        <f t="shared" si="27"/>
        <v>1071061.664194757</v>
      </c>
      <c r="M26" s="24">
        <f t="shared" si="28"/>
        <v>901210.8913191231</v>
      </c>
      <c r="N26" s="6">
        <f t="shared" si="29"/>
        <v>0.11602324926498542</v>
      </c>
      <c r="O26" s="6">
        <f t="shared" si="30"/>
        <v>0.05</v>
      </c>
      <c r="P26" s="24">
        <f t="shared" si="31"/>
        <v>115393</v>
      </c>
      <c r="Q26" s="32"/>
      <c r="R26" s="24">
        <f t="shared" si="32"/>
        <v>1299857.501408828</v>
      </c>
      <c r="S26" s="24">
        <f t="shared" si="33"/>
        <v>1608107.383017496</v>
      </c>
      <c r="T26" s="24">
        <f t="shared" si="34"/>
        <v>1288492.3473288177</v>
      </c>
      <c r="U26" s="24">
        <f t="shared" si="1"/>
        <v>1876822.501408828</v>
      </c>
      <c r="V26" s="24">
        <f t="shared" si="2"/>
        <v>2185072.383017496</v>
      </c>
      <c r="W26" s="24">
        <f t="shared" si="3"/>
        <v>1865457.3473288177</v>
      </c>
      <c r="X26" s="29"/>
      <c r="Y26" s="1">
        <v>288013</v>
      </c>
      <c r="Z26" s="4">
        <v>0</v>
      </c>
      <c r="AA26" s="1">
        <v>288013</v>
      </c>
      <c r="AB26" s="4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29</v>
      </c>
      <c r="AP26" s="1">
        <v>36</v>
      </c>
      <c r="AQ26" s="1">
        <v>0</v>
      </c>
      <c r="AR26" s="1">
        <v>0</v>
      </c>
      <c r="AS26" s="1">
        <v>197</v>
      </c>
      <c r="AT26" s="1">
        <v>1162</v>
      </c>
      <c r="AU26" s="1">
        <v>0</v>
      </c>
      <c r="AV26" s="1">
        <v>0</v>
      </c>
      <c r="AW26" s="1">
        <v>1345</v>
      </c>
      <c r="AX26" s="1">
        <v>7</v>
      </c>
      <c r="AY26" s="1">
        <v>5</v>
      </c>
      <c r="AZ26" s="1">
        <v>2</v>
      </c>
      <c r="BA26" s="1">
        <v>1</v>
      </c>
      <c r="BB26" s="1">
        <v>1</v>
      </c>
      <c r="BC26" s="1">
        <v>0</v>
      </c>
      <c r="BD26" s="1">
        <v>1</v>
      </c>
      <c r="BE26" s="1">
        <v>7</v>
      </c>
      <c r="BF26" s="1">
        <v>145480</v>
      </c>
      <c r="BH26" s="4">
        <f t="shared" si="4"/>
        <v>186204.33240882805</v>
      </c>
      <c r="BI26" s="4">
        <f t="shared" si="5"/>
        <v>464564.969</v>
      </c>
      <c r="BJ26" s="4">
        <f t="shared" si="6"/>
        <v>0</v>
      </c>
      <c r="BK26" s="4">
        <f t="shared" si="7"/>
        <v>263055</v>
      </c>
      <c r="BL26" s="4">
        <f t="shared" si="8"/>
        <v>184552.2</v>
      </c>
      <c r="BM26" s="4">
        <f t="shared" si="9"/>
        <v>201481.00000000003</v>
      </c>
      <c r="BN26" s="4">
        <v>36.78562709008816</v>
      </c>
      <c r="BO26" s="8">
        <f t="shared" si="10"/>
        <v>0.020692307692307694</v>
      </c>
      <c r="BP26" s="4">
        <f t="shared" si="11"/>
        <v>1299857.501408828</v>
      </c>
      <c r="BQ26" s="4">
        <f t="shared" si="12"/>
        <v>1608107.383017496</v>
      </c>
      <c r="BR26" s="4">
        <f t="shared" si="13"/>
        <v>1288492.3473288177</v>
      </c>
      <c r="BS26" s="4">
        <v>3151808</v>
      </c>
      <c r="BT26" s="26"/>
      <c r="BU26" s="4">
        <f t="shared" si="35"/>
        <v>14.324980408007319</v>
      </c>
      <c r="BV26" s="4">
        <f t="shared" si="36"/>
        <v>35.73968442667672</v>
      </c>
      <c r="BW26" s="4">
        <f t="shared" si="37"/>
        <v>0</v>
      </c>
      <c r="BX26" s="4">
        <f t="shared" si="38"/>
        <v>20.23721828853489</v>
      </c>
      <c r="BY26" s="4">
        <f t="shared" si="39"/>
        <v>14.197879367544235</v>
      </c>
      <c r="BZ26" s="4">
        <f t="shared" si="40"/>
        <v>15.500237509236847</v>
      </c>
      <c r="CB26" s="4">
        <f t="shared" si="41"/>
        <v>29.698116876781082</v>
      </c>
      <c r="CD26" s="4">
        <f t="shared" si="15"/>
        <v>-2.0246154924861504</v>
      </c>
      <c r="CE26" s="4">
        <f t="shared" si="16"/>
        <v>-8.444629345921527</v>
      </c>
      <c r="CF26" s="4">
        <f t="shared" si="17"/>
        <v>4.733390965794089</v>
      </c>
      <c r="CG26" s="4">
        <f t="shared" si="18"/>
        <v>3.299851553476003</v>
      </c>
      <c r="CH26" s="4">
        <f t="shared" si="19"/>
        <v>0.941417211793576</v>
      </c>
      <c r="CI26" s="4">
        <f t="shared" si="20"/>
        <v>1.4945851073439904</v>
      </c>
      <c r="CK26" s="4">
        <f t="shared" si="21"/>
        <v>2.436002319137568</v>
      </c>
      <c r="CL26" s="4">
        <f t="shared" si="22"/>
        <v>0</v>
      </c>
      <c r="CM26" s="4">
        <f t="shared" si="42"/>
        <v>49.93533516531597</v>
      </c>
    </row>
    <row r="27" spans="1:91" ht="15">
      <c r="A27" s="29" t="s">
        <v>231</v>
      </c>
      <c r="B27" s="48">
        <v>10</v>
      </c>
      <c r="C27" s="23">
        <v>1088334.4769500103</v>
      </c>
      <c r="D27" s="30">
        <v>0.09156576</v>
      </c>
      <c r="E27" s="24">
        <f t="shared" si="23"/>
        <v>99654.17351613016</v>
      </c>
      <c r="F27" s="31"/>
      <c r="G27" s="24">
        <f t="shared" si="24"/>
        <v>0</v>
      </c>
      <c r="H27" s="30">
        <v>0</v>
      </c>
      <c r="I27" s="6">
        <f t="shared" si="0"/>
        <v>0</v>
      </c>
      <c r="J27" s="6">
        <f>CL27/100</f>
        <v>0</v>
      </c>
      <c r="K27" s="6">
        <f>IF(J27&lt;0,H27+J27,0)</f>
        <v>0</v>
      </c>
      <c r="L27" s="24">
        <f>IF(J27&lt;0,(H27+J27)*C27,H27*C27)</f>
        <v>0</v>
      </c>
      <c r="M27" s="24">
        <f>IF(D27&gt;0,C27-E27,"Over front")</f>
        <v>988680.3034338801</v>
      </c>
      <c r="N27" s="6">
        <f>IF(J27&lt;0,(H27+J27)/4,H27/4)</f>
        <v>0</v>
      </c>
      <c r="O27" s="6">
        <f>IF(N27&gt;0.05,0.05,IF(N27&gt;0.01,N27,0))</f>
        <v>0</v>
      </c>
      <c r="P27" s="24">
        <f>C27*O27</f>
        <v>0</v>
      </c>
      <c r="Q27" s="32"/>
      <c r="R27" s="24">
        <f>BP27</f>
        <v>1257806.8540175906</v>
      </c>
      <c r="S27" s="24">
        <f>BQ27</f>
        <v>1366736.6486036808</v>
      </c>
      <c r="T27" s="24">
        <f>BR27</f>
        <v>1588804.0513929576</v>
      </c>
      <c r="U27" s="24">
        <f t="shared" si="1"/>
        <v>1529890.4732550932</v>
      </c>
      <c r="V27" s="24">
        <f t="shared" si="2"/>
        <v>1638820.2678411833</v>
      </c>
      <c r="W27" s="24">
        <f t="shared" si="3"/>
        <v>1860887.6706304601</v>
      </c>
      <c r="X27" s="29"/>
      <c r="Y27" s="1">
        <v>222578</v>
      </c>
      <c r="Z27" s="4">
        <v>0</v>
      </c>
      <c r="AA27" s="1">
        <v>0</v>
      </c>
      <c r="AB27" s="4">
        <v>222578</v>
      </c>
      <c r="AC27" s="1">
        <v>1</v>
      </c>
      <c r="AD27" s="1">
        <v>50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1</v>
      </c>
      <c r="AP27" s="1">
        <v>42</v>
      </c>
      <c r="AQ27" s="1">
        <v>0</v>
      </c>
      <c r="AR27" s="1">
        <v>0</v>
      </c>
      <c r="AS27" s="1">
        <v>47</v>
      </c>
      <c r="AT27" s="1">
        <v>1753</v>
      </c>
      <c r="AU27" s="1">
        <v>0</v>
      </c>
      <c r="AV27" s="1">
        <v>0</v>
      </c>
      <c r="AW27" s="1">
        <v>1753</v>
      </c>
      <c r="AX27" s="1">
        <v>11</v>
      </c>
      <c r="AY27" s="1">
        <v>6</v>
      </c>
      <c r="AZ27" s="1">
        <v>2</v>
      </c>
      <c r="BA27" s="1">
        <v>2</v>
      </c>
      <c r="BB27" s="1">
        <v>2</v>
      </c>
      <c r="BC27" s="1">
        <v>1</v>
      </c>
      <c r="BD27" s="1">
        <v>3</v>
      </c>
      <c r="BE27" s="1">
        <v>1</v>
      </c>
      <c r="BF27" s="1">
        <v>141306</v>
      </c>
      <c r="BH27" s="4">
        <f>1.518*(Y27)^0.9321</f>
        <v>146440.08201759052</v>
      </c>
      <c r="BI27" s="4">
        <f>0.748*Z27+1.613*AA27+1.774*AB27</f>
        <v>394853.37200000003</v>
      </c>
      <c r="BJ27" s="4">
        <f>35453*AC27+56469*AE27+144773*AG27+178851*(AI27+AK27)+440*AN27</f>
        <v>35453</v>
      </c>
      <c r="BK27" s="4">
        <f>4047*(AO27+AP27)+85370*(AQ27+AR27)</f>
        <v>174021</v>
      </c>
      <c r="BL27" s="4">
        <f>135.8*(AS27+AT27)+430.2*AU27+1208.1*AV27</f>
        <v>244440.00000000003</v>
      </c>
      <c r="BM27" s="4">
        <f>149.8*AW27</f>
        <v>262599.4</v>
      </c>
      <c r="BN27" s="4">
        <v>28.42238657479065</v>
      </c>
      <c r="BO27" s="8">
        <f>AW27/(SUM(AO27:AR27)*1000)</f>
        <v>0.04076744186046512</v>
      </c>
      <c r="BP27" s="4">
        <f>SUM(BG27:BM27)</f>
        <v>1257806.8540175906</v>
      </c>
      <c r="BQ27" s="4">
        <f>(0.575+0.018*BN27)*BP27</f>
        <v>1366736.6486036808</v>
      </c>
      <c r="BR27" s="4">
        <f>(0.711+13.544*BO27)*BP27</f>
        <v>1588804.0513929576</v>
      </c>
      <c r="BS27" s="4">
        <v>1609211</v>
      </c>
      <c r="BT27" s="26"/>
      <c r="BU27" s="4">
        <f aca="true" t="shared" si="43" ref="BU27:BZ27">(BH27/(SUM($BH27:$BM27)))*100</f>
        <v>11.64249356328778</v>
      </c>
      <c r="BV27" s="4">
        <f t="shared" si="43"/>
        <v>31.39221023790652</v>
      </c>
      <c r="BW27" s="4">
        <f t="shared" si="43"/>
        <v>2.8186362545854102</v>
      </c>
      <c r="BX27" s="4">
        <f t="shared" si="43"/>
        <v>13.835272040707633</v>
      </c>
      <c r="BY27" s="4">
        <f t="shared" si="43"/>
        <v>19.43382636366056</v>
      </c>
      <c r="BZ27" s="4">
        <f t="shared" si="43"/>
        <v>20.877561539852092</v>
      </c>
      <c r="CD27" s="4">
        <f t="shared" si="15"/>
        <v>0.6578713522333874</v>
      </c>
      <c r="CE27" s="4">
        <f t="shared" si="16"/>
        <v>-4.097155157151331</v>
      </c>
      <c r="CF27" s="4">
        <f t="shared" si="17"/>
        <v>1.914754711208679</v>
      </c>
      <c r="CG27" s="4">
        <f t="shared" si="18"/>
        <v>9.701797801303261</v>
      </c>
      <c r="CH27" s="4">
        <f t="shared" si="19"/>
        <v>-4.29452978432275</v>
      </c>
      <c r="CI27" s="4">
        <f t="shared" si="20"/>
        <v>-3.882738923271255</v>
      </c>
      <c r="CK27" s="4">
        <f t="shared" si="21"/>
        <v>32.13411919591865</v>
      </c>
      <c r="CL27" s="4">
        <f t="shared" si="22"/>
        <v>0</v>
      </c>
      <c r="CM27" s="4">
        <f>SUM(BW27:BZ27)</f>
        <v>56.9652961988057</v>
      </c>
    </row>
    <row r="28" spans="1:91" ht="15">
      <c r="A28" s="22" t="s">
        <v>101</v>
      </c>
      <c r="B28" s="47">
        <v>8</v>
      </c>
      <c r="C28" s="23">
        <v>719513</v>
      </c>
      <c r="D28" s="6">
        <v>0</v>
      </c>
      <c r="E28" s="24">
        <f t="shared" si="23"/>
        <v>0</v>
      </c>
      <c r="F28" s="25"/>
      <c r="G28" s="24">
        <f t="shared" si="24"/>
        <v>0</v>
      </c>
      <c r="H28" s="6">
        <v>0</v>
      </c>
      <c r="I28" s="6">
        <f t="shared" si="0"/>
        <v>-0.05513574065093815</v>
      </c>
      <c r="J28" s="6">
        <f t="shared" si="25"/>
        <v>-0.02896693974448663</v>
      </c>
      <c r="K28" s="6">
        <f t="shared" si="26"/>
        <v>-0.02896693974448663</v>
      </c>
      <c r="L28" s="24">
        <f t="shared" si="27"/>
        <v>-20842.08971637481</v>
      </c>
      <c r="M28" s="24">
        <v>906437</v>
      </c>
      <c r="N28" s="6">
        <f t="shared" si="29"/>
        <v>-0.007241734936121657</v>
      </c>
      <c r="O28" s="6">
        <f t="shared" si="30"/>
        <v>0</v>
      </c>
      <c r="P28" s="24">
        <f t="shared" si="31"/>
        <v>0</v>
      </c>
      <c r="Q28" s="28"/>
      <c r="R28" s="24">
        <f t="shared" si="32"/>
        <v>1250403.871805515</v>
      </c>
      <c r="S28" s="24">
        <f t="shared" si="33"/>
        <v>1371546.1700196348</v>
      </c>
      <c r="T28" s="24">
        <f t="shared" si="34"/>
        <v>1456640.0159041774</v>
      </c>
      <c r="U28" s="24">
        <f t="shared" si="1"/>
        <v>1430282.121805515</v>
      </c>
      <c r="V28" s="24">
        <f t="shared" si="2"/>
        <v>1551424.4200196348</v>
      </c>
      <c r="W28" s="24">
        <f t="shared" si="3"/>
        <v>1636518.2659041774</v>
      </c>
      <c r="X28" s="22"/>
      <c r="Y28" s="3">
        <v>233742</v>
      </c>
      <c r="Z28" s="3">
        <v>227260</v>
      </c>
      <c r="AA28" s="3">
        <v>0</v>
      </c>
      <c r="AB28" s="4">
        <v>0</v>
      </c>
      <c r="AC28" s="3">
        <v>0</v>
      </c>
      <c r="AD28" s="3">
        <v>0</v>
      </c>
      <c r="AE28" s="3">
        <v>1</v>
      </c>
      <c r="AF28" s="3">
        <v>100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4">
        <v>10</v>
      </c>
      <c r="AP28" s="1">
        <v>54</v>
      </c>
      <c r="AQ28" s="1">
        <v>0</v>
      </c>
      <c r="AR28" s="4">
        <v>0</v>
      </c>
      <c r="AS28" s="3">
        <v>325</v>
      </c>
      <c r="AT28" s="3">
        <v>1813</v>
      </c>
      <c r="AU28" s="3">
        <v>0</v>
      </c>
      <c r="AV28" s="3">
        <v>0</v>
      </c>
      <c r="AW28" s="3">
        <v>2145</v>
      </c>
      <c r="AX28" s="3">
        <v>8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45680</v>
      </c>
      <c r="BH28" s="4">
        <f t="shared" si="4"/>
        <v>153274.9918055149</v>
      </c>
      <c r="BI28" s="4">
        <f t="shared" si="5"/>
        <v>169990.48</v>
      </c>
      <c r="BJ28" s="4">
        <f t="shared" si="6"/>
        <v>56469</v>
      </c>
      <c r="BK28" s="4">
        <f t="shared" si="7"/>
        <v>259008</v>
      </c>
      <c r="BL28" s="4">
        <f t="shared" si="8"/>
        <v>290340.4</v>
      </c>
      <c r="BM28" s="4">
        <f t="shared" si="9"/>
        <v>321321</v>
      </c>
      <c r="BN28" s="4">
        <v>28.99347422619352</v>
      </c>
      <c r="BO28" s="8">
        <f t="shared" si="10"/>
        <v>0.033515625</v>
      </c>
      <c r="BP28" s="4">
        <f t="shared" si="11"/>
        <v>1250403.871805515</v>
      </c>
      <c r="BQ28" s="4">
        <f t="shared" si="12"/>
        <v>1371546.1700196348</v>
      </c>
      <c r="BR28" s="4">
        <f t="shared" si="13"/>
        <v>1456640.0159041774</v>
      </c>
      <c r="BS28" s="4">
        <v>1561991</v>
      </c>
      <c r="BT28" s="26"/>
      <c r="BU28" s="4">
        <f t="shared" si="35"/>
        <v>12.258038803430301</v>
      </c>
      <c r="BV28" s="4">
        <f t="shared" si="36"/>
        <v>13.594845940019606</v>
      </c>
      <c r="BW28" s="4">
        <f t="shared" si="37"/>
        <v>4.51606087227336</v>
      </c>
      <c r="BX28" s="4">
        <f t="shared" si="38"/>
        <v>20.713947376538957</v>
      </c>
      <c r="BY28" s="4">
        <f t="shared" si="39"/>
        <v>23.219729764653106</v>
      </c>
      <c r="BZ28" s="4">
        <f t="shared" si="40"/>
        <v>25.697377243084667</v>
      </c>
      <c r="CB28" s="4">
        <f t="shared" si="41"/>
        <v>48.91710700773777</v>
      </c>
      <c r="CD28" s="4">
        <f t="shared" si="15"/>
        <v>0.04232611209086734</v>
      </c>
      <c r="CE28" s="4">
        <f t="shared" si="16"/>
        <v>13.700209140735584</v>
      </c>
      <c r="CF28" s="4">
        <f t="shared" si="17"/>
        <v>0.2173300935207294</v>
      </c>
      <c r="CG28" s="4">
        <f t="shared" si="18"/>
        <v>2.8231224654719362</v>
      </c>
      <c r="CH28" s="4">
        <f t="shared" si="19"/>
        <v>-8.080433185315295</v>
      </c>
      <c r="CI28" s="4">
        <f t="shared" si="20"/>
        <v>-8.70255462650383</v>
      </c>
      <c r="CK28" s="4">
        <f t="shared" si="21"/>
        <v>-16.78298781181912</v>
      </c>
      <c r="CL28" s="4">
        <f t="shared" si="22"/>
        <v>-2.896693974448663</v>
      </c>
      <c r="CM28" s="4">
        <f t="shared" si="42"/>
        <v>74.14711525655008</v>
      </c>
    </row>
    <row r="29" spans="1:91" ht="15">
      <c r="A29" s="22" t="s">
        <v>82</v>
      </c>
      <c r="B29" s="47">
        <v>8</v>
      </c>
      <c r="C29" s="23">
        <v>2778719.6</v>
      </c>
      <c r="D29" s="6">
        <v>0.4952698432694923</v>
      </c>
      <c r="E29" s="24">
        <f t="shared" si="23"/>
        <v>1376216.0207818665</v>
      </c>
      <c r="F29" s="25"/>
      <c r="G29" s="24">
        <f t="shared" si="24"/>
        <v>0</v>
      </c>
      <c r="H29" s="6">
        <v>0.34154982518826105</v>
      </c>
      <c r="I29" s="6">
        <f t="shared" si="0"/>
        <v>0</v>
      </c>
      <c r="J29" s="6">
        <f t="shared" si="25"/>
        <v>0</v>
      </c>
      <c r="K29" s="6">
        <f t="shared" si="26"/>
        <v>0</v>
      </c>
      <c r="L29" s="24">
        <f t="shared" si="27"/>
        <v>949071.1936271947</v>
      </c>
      <c r="M29" s="24">
        <f t="shared" si="28"/>
        <v>1402503.5792181336</v>
      </c>
      <c r="N29" s="6">
        <f t="shared" si="29"/>
        <v>0.08538745629706526</v>
      </c>
      <c r="O29" s="6">
        <f t="shared" si="30"/>
        <v>0.05</v>
      </c>
      <c r="P29" s="24">
        <f t="shared" si="31"/>
        <v>138935.98</v>
      </c>
      <c r="Q29" s="24"/>
      <c r="R29" s="24">
        <f t="shared" si="32"/>
        <v>2258286.327717432</v>
      </c>
      <c r="S29" s="24">
        <f t="shared" si="33"/>
        <v>2526493.317688704</v>
      </c>
      <c r="T29" s="24">
        <f t="shared" si="34"/>
        <v>2371894.8381642764</v>
      </c>
      <c r="U29" s="24">
        <f t="shared" si="1"/>
        <v>2952966.2277174317</v>
      </c>
      <c r="V29" s="24">
        <f t="shared" si="2"/>
        <v>3221173.217688704</v>
      </c>
      <c r="W29" s="24">
        <f t="shared" si="3"/>
        <v>3066574.7381642764</v>
      </c>
      <c r="X29" s="22"/>
      <c r="Y29" s="3">
        <v>431714</v>
      </c>
      <c r="Z29" s="4">
        <v>0</v>
      </c>
      <c r="AA29" s="4">
        <v>427400</v>
      </c>
      <c r="AB29" s="4">
        <v>0</v>
      </c>
      <c r="AC29" s="3">
        <f>2+1</f>
        <v>3</v>
      </c>
      <c r="AD29" s="3">
        <v>14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4">
        <f>49+8.048</f>
        <v>57.048</v>
      </c>
      <c r="AP29" s="1">
        <v>54</v>
      </c>
      <c r="AQ29" s="1">
        <v>0</v>
      </c>
      <c r="AR29" s="4">
        <v>0</v>
      </c>
      <c r="AS29" s="3">
        <f>678+192</f>
        <v>870</v>
      </c>
      <c r="AT29" s="3">
        <v>1522</v>
      </c>
      <c r="AU29" s="3">
        <v>0</v>
      </c>
      <c r="AV29" s="3">
        <v>0</v>
      </c>
      <c r="AW29" s="3">
        <f>2590+192</f>
        <v>2782</v>
      </c>
      <c r="AX29" s="3">
        <v>13</v>
      </c>
      <c r="AY29" s="3">
        <v>0</v>
      </c>
      <c r="AZ29" s="3">
        <v>8</v>
      </c>
      <c r="BA29" s="3">
        <v>2</v>
      </c>
      <c r="BB29" s="3">
        <v>1</v>
      </c>
      <c r="BC29" s="3">
        <v>1</v>
      </c>
      <c r="BD29" s="3">
        <v>1</v>
      </c>
      <c r="BE29" s="3">
        <v>0</v>
      </c>
      <c r="BF29" s="3">
        <v>199833</v>
      </c>
      <c r="BH29" s="4">
        <f t="shared" si="4"/>
        <v>271542.6717174317</v>
      </c>
      <c r="BI29" s="4">
        <f t="shared" si="5"/>
        <v>689396.2</v>
      </c>
      <c r="BJ29" s="4">
        <f t="shared" si="6"/>
        <v>106359</v>
      </c>
      <c r="BK29" s="4">
        <f t="shared" si="7"/>
        <v>449411.256</v>
      </c>
      <c r="BL29" s="4">
        <f t="shared" si="8"/>
        <v>324833.60000000003</v>
      </c>
      <c r="BM29" s="4">
        <f t="shared" si="9"/>
        <v>416743.60000000003</v>
      </c>
      <c r="BN29" s="4">
        <v>30.209206378684193</v>
      </c>
      <c r="BO29" s="8">
        <f t="shared" si="10"/>
        <v>0.025052229666450543</v>
      </c>
      <c r="BP29" s="4">
        <f t="shared" si="11"/>
        <v>2258286.327717432</v>
      </c>
      <c r="BQ29" s="4">
        <f t="shared" si="12"/>
        <v>2526493.317688704</v>
      </c>
      <c r="BR29" s="4">
        <f t="shared" si="13"/>
        <v>2371894.8381642764</v>
      </c>
      <c r="BS29" s="4">
        <v>3087160</v>
      </c>
      <c r="BT29" s="26"/>
      <c r="BU29" s="4">
        <f t="shared" si="35"/>
        <v>12.024280020855198</v>
      </c>
      <c r="BV29" s="4">
        <f t="shared" si="36"/>
        <v>30.527404410086863</v>
      </c>
      <c r="BW29" s="4">
        <f t="shared" si="37"/>
        <v>4.709721645771225</v>
      </c>
      <c r="BX29" s="4">
        <f t="shared" si="38"/>
        <v>19.900543632757298</v>
      </c>
      <c r="BY29" s="4">
        <f t="shared" si="39"/>
        <v>14.384075040135693</v>
      </c>
      <c r="BZ29" s="4">
        <f t="shared" si="40"/>
        <v>18.453975250393718</v>
      </c>
      <c r="CB29" s="4">
        <f t="shared" si="41"/>
        <v>32.83805029052941</v>
      </c>
      <c r="CD29" s="4">
        <f t="shared" si="15"/>
        <v>0.27608489466597064</v>
      </c>
      <c r="CE29" s="4">
        <f t="shared" si="16"/>
        <v>-3.2323493293316723</v>
      </c>
      <c r="CF29" s="4">
        <f t="shared" si="17"/>
        <v>0.02366932002286415</v>
      </c>
      <c r="CG29" s="4">
        <f t="shared" si="18"/>
        <v>3.6365262092535957</v>
      </c>
      <c r="CH29" s="4">
        <f t="shared" si="19"/>
        <v>0.7552215392021182</v>
      </c>
      <c r="CI29" s="4">
        <f t="shared" si="20"/>
        <v>-1.4591526338128809</v>
      </c>
      <c r="CK29" s="4">
        <f t="shared" si="21"/>
        <v>-0.7039310946107591</v>
      </c>
      <c r="CL29" s="4">
        <f t="shared" si="22"/>
        <v>0</v>
      </c>
      <c r="CM29" s="4">
        <f t="shared" si="42"/>
        <v>57.44831556905793</v>
      </c>
    </row>
    <row r="30" spans="1:91" ht="15">
      <c r="A30" s="22" t="s">
        <v>80</v>
      </c>
      <c r="B30" s="47">
        <v>7</v>
      </c>
      <c r="C30" s="23">
        <v>30439226.484687522</v>
      </c>
      <c r="D30" s="6">
        <v>0.2521468</v>
      </c>
      <c r="E30" s="24">
        <f t="shared" si="23"/>
        <v>7675153.552589208</v>
      </c>
      <c r="F30" s="25">
        <v>0.30557</v>
      </c>
      <c r="G30" s="24">
        <f t="shared" si="24"/>
        <v>9301314.436925966</v>
      </c>
      <c r="H30" s="6">
        <v>0.1135683</v>
      </c>
      <c r="I30" s="6">
        <f t="shared" si="0"/>
        <v>0</v>
      </c>
      <c r="J30" s="6">
        <f t="shared" si="25"/>
        <v>0</v>
      </c>
      <c r="K30" s="6">
        <f t="shared" si="26"/>
        <v>0</v>
      </c>
      <c r="L30" s="24">
        <f t="shared" si="27"/>
        <v>3456931.205180938</v>
      </c>
      <c r="M30" s="24">
        <f t="shared" si="28"/>
        <v>22764072.932098314</v>
      </c>
      <c r="N30" s="6">
        <f t="shared" si="29"/>
        <v>0.028392075</v>
      </c>
      <c r="O30" s="6">
        <f t="shared" si="30"/>
        <v>0.028392075</v>
      </c>
      <c r="P30" s="24">
        <f t="shared" si="31"/>
        <v>864232.8012952345</v>
      </c>
      <c r="Q30" s="24"/>
      <c r="R30" s="24">
        <f t="shared" si="32"/>
        <v>24361685.518836364</v>
      </c>
      <c r="S30" s="24">
        <f t="shared" si="33"/>
        <v>41016851.85280851</v>
      </c>
      <c r="T30" s="24">
        <f t="shared" si="34"/>
        <v>27104607.189046126</v>
      </c>
      <c r="U30" s="24">
        <f t="shared" si="1"/>
        <v>31971492.140008245</v>
      </c>
      <c r="V30" s="24">
        <f t="shared" si="2"/>
        <v>48626658.4739804</v>
      </c>
      <c r="W30" s="24">
        <f t="shared" si="3"/>
        <v>34714413.81021801</v>
      </c>
      <c r="X30" s="22"/>
      <c r="Y30" s="3">
        <v>2203436</v>
      </c>
      <c r="Z30" s="4">
        <v>0</v>
      </c>
      <c r="AA30" s="4">
        <v>0</v>
      </c>
      <c r="AB30" s="3">
        <v>2202436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1</v>
      </c>
      <c r="AJ30" s="3">
        <v>300</v>
      </c>
      <c r="AK30" s="3">
        <v>3</v>
      </c>
      <c r="AL30" s="3">
        <v>1800</v>
      </c>
      <c r="AM30" s="3">
        <v>0</v>
      </c>
      <c r="AN30" s="3">
        <v>0</v>
      </c>
      <c r="AO30" s="4">
        <v>0</v>
      </c>
      <c r="AP30" s="1">
        <v>29</v>
      </c>
      <c r="AQ30" s="1">
        <v>66</v>
      </c>
      <c r="AR30" s="4">
        <v>74</v>
      </c>
      <c r="AS30" s="3">
        <v>0</v>
      </c>
      <c r="AT30" s="3">
        <v>954</v>
      </c>
      <c r="AU30" s="3">
        <v>2125</v>
      </c>
      <c r="AV30" s="3">
        <v>2396</v>
      </c>
      <c r="AW30" s="3">
        <v>5011</v>
      </c>
      <c r="AX30" s="3">
        <v>75</v>
      </c>
      <c r="AY30" s="3">
        <v>41</v>
      </c>
      <c r="AZ30" s="3">
        <v>60</v>
      </c>
      <c r="BA30" s="3">
        <v>6</v>
      </c>
      <c r="BB30" s="3">
        <v>2</v>
      </c>
      <c r="BC30" s="3">
        <v>1</v>
      </c>
      <c r="BD30" s="3">
        <v>3</v>
      </c>
      <c r="BE30" s="3">
        <v>4</v>
      </c>
      <c r="BF30" s="3">
        <v>1279088</v>
      </c>
      <c r="BG30" s="4">
        <v>1740288</v>
      </c>
      <c r="BH30" s="4">
        <f t="shared" si="4"/>
        <v>1240725.4548363641</v>
      </c>
      <c r="BI30" s="4">
        <f t="shared" si="5"/>
        <v>3907121.464</v>
      </c>
      <c r="BJ30" s="4">
        <f t="shared" si="6"/>
        <v>715404</v>
      </c>
      <c r="BK30" s="4">
        <f t="shared" si="7"/>
        <v>12069163</v>
      </c>
      <c r="BL30" s="4">
        <f t="shared" si="8"/>
        <v>3938335.8</v>
      </c>
      <c r="BM30" s="4">
        <f t="shared" si="9"/>
        <v>750647.8</v>
      </c>
      <c r="BN30" s="4">
        <v>61.5923508672265</v>
      </c>
      <c r="BO30" s="8">
        <f t="shared" si="10"/>
        <v>0.029650887573964498</v>
      </c>
      <c r="BP30" s="4">
        <f t="shared" si="11"/>
        <v>24361685.518836364</v>
      </c>
      <c r="BQ30" s="4">
        <f t="shared" si="12"/>
        <v>41016851.85280851</v>
      </c>
      <c r="BR30" s="4">
        <f t="shared" si="13"/>
        <v>27104607.189046126</v>
      </c>
      <c r="BS30" s="4">
        <v>27934992</v>
      </c>
      <c r="BT30" s="26"/>
      <c r="BU30" s="4">
        <f t="shared" si="35"/>
        <v>5.484742725568736</v>
      </c>
      <c r="BV30" s="4">
        <f t="shared" si="36"/>
        <v>17.271795258213476</v>
      </c>
      <c r="BW30" s="4">
        <f t="shared" si="37"/>
        <v>3.1625101826900752</v>
      </c>
      <c r="BX30" s="4">
        <f t="shared" si="38"/>
        <v>53.35286199692243</v>
      </c>
      <c r="BY30" s="4">
        <f t="shared" si="39"/>
        <v>17.409781145133184</v>
      </c>
      <c r="BZ30" s="4">
        <f t="shared" si="40"/>
        <v>3.318308691472095</v>
      </c>
      <c r="CB30" s="4">
        <f t="shared" si="41"/>
        <v>20.728089836605278</v>
      </c>
      <c r="CD30" s="4">
        <f t="shared" si="15"/>
        <v>6.815622189952432</v>
      </c>
      <c r="CE30" s="4">
        <f t="shared" si="16"/>
        <v>10.023259822541714</v>
      </c>
      <c r="CF30" s="4">
        <f t="shared" si="17"/>
        <v>1.570880783104014</v>
      </c>
      <c r="CG30" s="4">
        <f t="shared" si="18"/>
        <v>-29.815792154911534</v>
      </c>
      <c r="CH30" s="4">
        <f t="shared" si="19"/>
        <v>-2.270484565795373</v>
      </c>
      <c r="CI30" s="4">
        <f t="shared" si="20"/>
        <v>13.676513925108742</v>
      </c>
      <c r="CK30" s="4">
        <f t="shared" si="21"/>
        <v>11.406029359313372</v>
      </c>
      <c r="CL30" s="4">
        <f t="shared" si="22"/>
        <v>0</v>
      </c>
      <c r="CM30" s="4">
        <f t="shared" si="42"/>
        <v>77.24346201621779</v>
      </c>
    </row>
    <row r="31" spans="1:91" ht="15">
      <c r="A31" s="22" t="s">
        <v>83</v>
      </c>
      <c r="B31" s="47">
        <v>7</v>
      </c>
      <c r="C31" s="23">
        <v>30447990</v>
      </c>
      <c r="D31" s="6">
        <v>0.4611422</v>
      </c>
      <c r="E31" s="24">
        <f t="shared" si="23"/>
        <v>14040853.094178</v>
      </c>
      <c r="F31" s="6">
        <v>0.465394</v>
      </c>
      <c r="G31" s="24">
        <f t="shared" si="24"/>
        <v>14170311.858059999</v>
      </c>
      <c r="H31" s="6">
        <v>0.3108394</v>
      </c>
      <c r="I31" s="6">
        <f t="shared" si="0"/>
        <v>0</v>
      </c>
      <c r="J31" s="6">
        <f t="shared" si="25"/>
        <v>0</v>
      </c>
      <c r="K31" s="6">
        <f t="shared" si="26"/>
        <v>0</v>
      </c>
      <c r="L31" s="24">
        <f t="shared" si="27"/>
        <v>9464434.942806</v>
      </c>
      <c r="M31" s="24">
        <f t="shared" si="28"/>
        <v>16407136.905822</v>
      </c>
      <c r="N31" s="6">
        <f t="shared" si="29"/>
        <v>0.07770985</v>
      </c>
      <c r="O31" s="6">
        <f t="shared" si="30"/>
        <v>0.05</v>
      </c>
      <c r="P31" s="24">
        <f t="shared" si="31"/>
        <v>1522399.5</v>
      </c>
      <c r="Q31" s="33"/>
      <c r="R31" s="24">
        <f t="shared" si="32"/>
        <v>25455027.24734321</v>
      </c>
      <c r="S31" s="24">
        <f t="shared" si="33"/>
        <v>28190217.276585933</v>
      </c>
      <c r="T31" s="24">
        <f t="shared" si="34"/>
        <v>25894064.044077512</v>
      </c>
      <c r="U31" s="24">
        <f t="shared" si="1"/>
        <v>33067024.74734321</v>
      </c>
      <c r="V31" s="24">
        <f t="shared" si="2"/>
        <v>35802214.77658594</v>
      </c>
      <c r="W31" s="24">
        <f t="shared" si="3"/>
        <v>33506061.544077512</v>
      </c>
      <c r="X31" s="22"/>
      <c r="Y31" s="3">
        <v>5187894</v>
      </c>
      <c r="Z31" s="4">
        <v>0</v>
      </c>
      <c r="AA31" s="4">
        <v>3398055</v>
      </c>
      <c r="AB31" s="4">
        <v>1408828</v>
      </c>
      <c r="AC31" s="3">
        <v>15</v>
      </c>
      <c r="AD31" s="3">
        <v>298</v>
      </c>
      <c r="AE31" s="3">
        <v>3</v>
      </c>
      <c r="AF31" s="3">
        <v>262</v>
      </c>
      <c r="AG31" s="3">
        <v>1</v>
      </c>
      <c r="AH31" s="3">
        <v>120</v>
      </c>
      <c r="AI31" s="3">
        <v>1</v>
      </c>
      <c r="AJ31" s="3">
        <v>270</v>
      </c>
      <c r="AK31" s="3">
        <v>0</v>
      </c>
      <c r="AL31" s="3">
        <v>0</v>
      </c>
      <c r="AM31" s="3">
        <v>0</v>
      </c>
      <c r="AN31" s="3">
        <v>0</v>
      </c>
      <c r="AO31" s="4">
        <v>719</v>
      </c>
      <c r="AP31" s="1">
        <v>399</v>
      </c>
      <c r="AQ31" s="1">
        <v>14</v>
      </c>
      <c r="AR31" s="4">
        <v>0</v>
      </c>
      <c r="AS31" s="3">
        <v>7404</v>
      </c>
      <c r="AT31" s="3">
        <v>19088</v>
      </c>
      <c r="AU31" s="3">
        <v>793</v>
      </c>
      <c r="AV31" s="3">
        <v>0</v>
      </c>
      <c r="AW31" s="3">
        <v>25596</v>
      </c>
      <c r="AX31" s="3">
        <v>101</v>
      </c>
      <c r="AY31" s="3">
        <v>22</v>
      </c>
      <c r="AZ31" s="3">
        <v>44</v>
      </c>
      <c r="BA31" s="3">
        <v>6</v>
      </c>
      <c r="BB31" s="3">
        <v>7</v>
      </c>
      <c r="BC31" s="3">
        <v>3</v>
      </c>
      <c r="BD31" s="3">
        <v>57</v>
      </c>
      <c r="BE31" s="3">
        <v>31</v>
      </c>
      <c r="BF31" s="3">
        <v>3596812</v>
      </c>
      <c r="BG31" s="4">
        <f>112657+88224.74</f>
        <v>200881.74</v>
      </c>
      <c r="BH31" s="4">
        <f t="shared" si="4"/>
        <v>2756226.9203432086</v>
      </c>
      <c r="BI31" s="4">
        <f t="shared" si="5"/>
        <v>7980323.586999999</v>
      </c>
      <c r="BJ31" s="4">
        <f t="shared" si="6"/>
        <v>1024826</v>
      </c>
      <c r="BK31" s="4">
        <f t="shared" si="7"/>
        <v>5719726</v>
      </c>
      <c r="BL31" s="4">
        <f t="shared" si="8"/>
        <v>3938762.2</v>
      </c>
      <c r="BM31" s="4">
        <f t="shared" si="9"/>
        <v>3834280.8000000003</v>
      </c>
      <c r="BN31" s="4">
        <v>29.580658900161534</v>
      </c>
      <c r="BO31" s="8">
        <f t="shared" si="10"/>
        <v>0.0226113074204947</v>
      </c>
      <c r="BP31" s="4">
        <f t="shared" si="11"/>
        <v>25455027.24734321</v>
      </c>
      <c r="BQ31" s="4">
        <f t="shared" si="12"/>
        <v>28190217.276585933</v>
      </c>
      <c r="BR31" s="4">
        <f t="shared" si="13"/>
        <v>25894064.044077512</v>
      </c>
      <c r="BS31" s="4">
        <v>26565804</v>
      </c>
      <c r="BT31" s="26"/>
      <c r="BU31" s="4">
        <f t="shared" si="35"/>
        <v>10.913958342173064</v>
      </c>
      <c r="BV31" s="4">
        <f t="shared" si="36"/>
        <v>31.60005387899401</v>
      </c>
      <c r="BW31" s="4">
        <f t="shared" si="37"/>
        <v>4.058050586989802</v>
      </c>
      <c r="BX31" s="4">
        <f t="shared" si="38"/>
        <v>22.648661774506927</v>
      </c>
      <c r="BY31" s="4">
        <f t="shared" si="39"/>
        <v>15.596497608104446</v>
      </c>
      <c r="BZ31" s="4">
        <f t="shared" si="40"/>
        <v>15.182777809231743</v>
      </c>
      <c r="CB31" s="4">
        <f t="shared" si="41"/>
        <v>30.779275417336187</v>
      </c>
      <c r="CD31" s="4">
        <f t="shared" si="15"/>
        <v>1.3864065733481041</v>
      </c>
      <c r="CE31" s="4">
        <f t="shared" si="16"/>
        <v>-4.30499879823882</v>
      </c>
      <c r="CF31" s="4">
        <f t="shared" si="17"/>
        <v>0.6753403788042869</v>
      </c>
      <c r="CG31" s="4">
        <f t="shared" si="18"/>
        <v>0.888408067503967</v>
      </c>
      <c r="CH31" s="4">
        <f t="shared" si="19"/>
        <v>-0.4572010287666348</v>
      </c>
      <c r="CI31" s="4">
        <f t="shared" si="20"/>
        <v>1.8120448073490945</v>
      </c>
      <c r="CK31" s="4">
        <f t="shared" si="21"/>
        <v>1.3548437785824632</v>
      </c>
      <c r="CL31" s="4">
        <f t="shared" si="22"/>
        <v>0</v>
      </c>
      <c r="CM31" s="4">
        <f t="shared" si="42"/>
        <v>57.485987778832914</v>
      </c>
    </row>
    <row r="32" spans="1:91" ht="15">
      <c r="A32" s="22" t="s">
        <v>99</v>
      </c>
      <c r="B32" s="47">
        <v>7</v>
      </c>
      <c r="C32" s="23">
        <v>10260670</v>
      </c>
      <c r="D32" s="6">
        <v>0.3089090302861208</v>
      </c>
      <c r="E32" s="24">
        <f t="shared" si="23"/>
        <v>3169613.6197858914</v>
      </c>
      <c r="F32" s="25"/>
      <c r="G32" s="24">
        <f t="shared" si="24"/>
        <v>0</v>
      </c>
      <c r="H32" s="6">
        <v>0.15333923156585583</v>
      </c>
      <c r="I32" s="6">
        <f t="shared" si="0"/>
        <v>0</v>
      </c>
      <c r="J32" s="6">
        <f t="shared" si="25"/>
        <v>0</v>
      </c>
      <c r="K32" s="6">
        <f t="shared" si="26"/>
        <v>0</v>
      </c>
      <c r="L32" s="24">
        <f t="shared" si="27"/>
        <v>1573363.2531508298</v>
      </c>
      <c r="M32" s="24">
        <f t="shared" si="28"/>
        <v>7091056.380214108</v>
      </c>
      <c r="N32" s="6">
        <f t="shared" si="29"/>
        <v>0.03833480789146396</v>
      </c>
      <c r="O32" s="6">
        <f t="shared" si="30"/>
        <v>0.03833480789146396</v>
      </c>
      <c r="P32" s="24">
        <f t="shared" si="31"/>
        <v>393340.81328770745</v>
      </c>
      <c r="Q32" s="33"/>
      <c r="R32" s="24">
        <f t="shared" si="32"/>
        <v>9701513.435745142</v>
      </c>
      <c r="S32" s="24">
        <f t="shared" si="33"/>
        <v>11661038.678939596</v>
      </c>
      <c r="T32" s="24">
        <f t="shared" si="34"/>
        <v>11395294.677903347</v>
      </c>
      <c r="U32" s="24">
        <f t="shared" si="1"/>
        <v>12266680.935745142</v>
      </c>
      <c r="V32" s="24">
        <f t="shared" si="2"/>
        <v>14226206.178939596</v>
      </c>
      <c r="W32" s="24">
        <f t="shared" si="3"/>
        <v>13960462.177903347</v>
      </c>
      <c r="X32" s="22"/>
      <c r="Y32" s="3">
        <v>1499785</v>
      </c>
      <c r="Z32" s="4">
        <v>0</v>
      </c>
      <c r="AA32" s="4">
        <v>1484965</v>
      </c>
      <c r="AB32" s="4">
        <v>0</v>
      </c>
      <c r="AC32" s="3">
        <v>3</v>
      </c>
      <c r="AD32" s="3">
        <v>130</v>
      </c>
      <c r="AE32" s="3">
        <v>1</v>
      </c>
      <c r="AF32" s="3">
        <v>80</v>
      </c>
      <c r="AG32" s="3">
        <v>2</v>
      </c>
      <c r="AH32" s="3">
        <v>360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4">
        <v>195</v>
      </c>
      <c r="AP32" s="1">
        <v>115</v>
      </c>
      <c r="AQ32" s="1">
        <v>14</v>
      </c>
      <c r="AR32" s="4">
        <v>0</v>
      </c>
      <c r="AS32" s="3">
        <v>5340</v>
      </c>
      <c r="AT32" s="3">
        <v>5636</v>
      </c>
      <c r="AU32" s="3">
        <v>896</v>
      </c>
      <c r="AV32" s="3">
        <v>0</v>
      </c>
      <c r="AW32" s="3">
        <v>11090</v>
      </c>
      <c r="AX32" s="3">
        <v>12</v>
      </c>
      <c r="AY32" s="3">
        <v>3</v>
      </c>
      <c r="AZ32" s="3">
        <v>8</v>
      </c>
      <c r="BA32" s="3">
        <v>3</v>
      </c>
      <c r="BB32" s="3">
        <v>2</v>
      </c>
      <c r="BC32" s="3">
        <v>2</v>
      </c>
      <c r="BD32" s="3">
        <v>4</v>
      </c>
      <c r="BE32" s="3">
        <v>7</v>
      </c>
      <c r="BF32" s="3">
        <v>548436</v>
      </c>
      <c r="BH32" s="4">
        <f t="shared" si="4"/>
        <v>866858.8907451419</v>
      </c>
      <c r="BI32" s="4">
        <f t="shared" si="5"/>
        <v>2395248.545</v>
      </c>
      <c r="BJ32" s="4">
        <f t="shared" si="6"/>
        <v>452374</v>
      </c>
      <c r="BK32" s="4">
        <f t="shared" si="7"/>
        <v>2449750</v>
      </c>
      <c r="BL32" s="4">
        <f t="shared" si="8"/>
        <v>1876000</v>
      </c>
      <c r="BM32" s="4">
        <f t="shared" si="9"/>
        <v>1661282.0000000002</v>
      </c>
      <c r="BN32" s="4">
        <v>34.83229987014535</v>
      </c>
      <c r="BO32" s="8">
        <f t="shared" si="10"/>
        <v>0.034228395061728395</v>
      </c>
      <c r="BP32" s="4">
        <f t="shared" si="11"/>
        <v>9701513.435745142</v>
      </c>
      <c r="BQ32" s="4">
        <f t="shared" si="12"/>
        <v>11661038.678939596</v>
      </c>
      <c r="BR32" s="4">
        <f t="shared" si="13"/>
        <v>11395294.677903347</v>
      </c>
      <c r="BS32" s="4">
        <v>9417819</v>
      </c>
      <c r="BT32" s="26"/>
      <c r="BU32" s="4">
        <f t="shared" si="35"/>
        <v>8.93529547205705</v>
      </c>
      <c r="BV32" s="4">
        <f t="shared" si="36"/>
        <v>24.689431817665966</v>
      </c>
      <c r="BW32" s="4">
        <f t="shared" si="37"/>
        <v>4.662921955385146</v>
      </c>
      <c r="BX32" s="4">
        <f t="shared" si="38"/>
        <v>25.25121483596484</v>
      </c>
      <c r="BY32" s="4">
        <f t="shared" si="39"/>
        <v>19.33718911410146</v>
      </c>
      <c r="BZ32" s="4">
        <f t="shared" si="40"/>
        <v>17.123946804825536</v>
      </c>
      <c r="CB32" s="4">
        <f t="shared" si="41"/>
        <v>36.461135918927</v>
      </c>
      <c r="CD32" s="4">
        <f t="shared" si="15"/>
        <v>3.365069443464119</v>
      </c>
      <c r="CE32" s="4">
        <f t="shared" si="16"/>
        <v>2.6056232630892247</v>
      </c>
      <c r="CF32" s="4">
        <f t="shared" si="17"/>
        <v>0.07046901040894316</v>
      </c>
      <c r="CG32" s="4">
        <f t="shared" si="18"/>
        <v>-1.7141449939539477</v>
      </c>
      <c r="CH32" s="4">
        <f t="shared" si="19"/>
        <v>-4.197892534763648</v>
      </c>
      <c r="CI32" s="4">
        <f t="shared" si="20"/>
        <v>-0.12912418824469896</v>
      </c>
      <c r="CK32" s="4">
        <f t="shared" si="21"/>
        <v>-4.327016723008349</v>
      </c>
      <c r="CL32" s="4">
        <f t="shared" si="22"/>
        <v>0</v>
      </c>
      <c r="CM32" s="4">
        <f t="shared" si="42"/>
        <v>66.37527271027699</v>
      </c>
    </row>
    <row r="33" spans="1:91" ht="15">
      <c r="A33" s="22" t="s">
        <v>67</v>
      </c>
      <c r="B33" s="47">
        <v>8</v>
      </c>
      <c r="C33" s="23">
        <v>1594957</v>
      </c>
      <c r="D33" s="6">
        <v>0.26047970978522594</v>
      </c>
      <c r="E33" s="24">
        <f t="shared" si="23"/>
        <v>415453.93647991464</v>
      </c>
      <c r="F33" s="25"/>
      <c r="G33" s="24">
        <f t="shared" si="24"/>
        <v>0</v>
      </c>
      <c r="H33" s="6">
        <v>0.1049095881257206</v>
      </c>
      <c r="I33" s="6">
        <f t="shared" si="0"/>
        <v>0</v>
      </c>
      <c r="J33" s="6">
        <f t="shared" si="25"/>
        <v>0</v>
      </c>
      <c r="K33" s="6">
        <f t="shared" si="26"/>
        <v>0</v>
      </c>
      <c r="L33" s="24">
        <f t="shared" si="27"/>
        <v>167326.28194823494</v>
      </c>
      <c r="M33" s="24">
        <f t="shared" si="28"/>
        <v>1179503.0635200853</v>
      </c>
      <c r="N33" s="6">
        <f t="shared" si="29"/>
        <v>0.02622739703143015</v>
      </c>
      <c r="O33" s="6">
        <f t="shared" si="30"/>
        <v>0.02622739703143015</v>
      </c>
      <c r="P33" s="24">
        <f t="shared" si="31"/>
        <v>41831.570487058736</v>
      </c>
      <c r="Q33" s="24"/>
      <c r="R33" s="24">
        <f t="shared" si="32"/>
        <v>1834670.45825376</v>
      </c>
      <c r="S33" s="24">
        <f t="shared" si="33"/>
        <v>1833021.9674111686</v>
      </c>
      <c r="T33" s="24">
        <f t="shared" si="34"/>
        <v>1895456.2595119528</v>
      </c>
      <c r="U33" s="24">
        <f t="shared" si="1"/>
        <v>2233409.70825376</v>
      </c>
      <c r="V33" s="24">
        <f t="shared" si="2"/>
        <v>2231761.217411169</v>
      </c>
      <c r="W33" s="24">
        <f t="shared" si="3"/>
        <v>2294195.5095119528</v>
      </c>
      <c r="X33" s="22"/>
      <c r="Y33" s="3">
        <v>282493</v>
      </c>
      <c r="Z33" s="4">
        <v>0</v>
      </c>
      <c r="AA33" s="3">
        <v>0</v>
      </c>
      <c r="AB33" s="4">
        <v>281633</v>
      </c>
      <c r="AC33" s="3">
        <v>4</v>
      </c>
      <c r="AD33" s="3">
        <v>50</v>
      </c>
      <c r="AE33" s="3">
        <v>1</v>
      </c>
      <c r="AF33" s="3">
        <v>80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4">
        <v>31</v>
      </c>
      <c r="AP33" s="1">
        <v>57</v>
      </c>
      <c r="AQ33" s="1">
        <v>0</v>
      </c>
      <c r="AR33" s="4">
        <v>0</v>
      </c>
      <c r="AS33" s="3">
        <v>200</v>
      </c>
      <c r="AT33" s="3">
        <v>1893</v>
      </c>
      <c r="AU33" s="3">
        <v>0</v>
      </c>
      <c r="AV33" s="3">
        <v>0</v>
      </c>
      <c r="AW33" s="3">
        <v>2093</v>
      </c>
      <c r="AX33" s="3">
        <v>8</v>
      </c>
      <c r="AY33" s="3">
        <v>15</v>
      </c>
      <c r="AZ33" s="3">
        <v>5</v>
      </c>
      <c r="BA33" s="3">
        <v>1</v>
      </c>
      <c r="BB33" s="3">
        <v>1</v>
      </c>
      <c r="BC33" s="3">
        <v>1</v>
      </c>
      <c r="BD33" s="3">
        <v>9</v>
      </c>
      <c r="BE33" s="3">
        <v>5</v>
      </c>
      <c r="BF33" s="3">
        <v>153021</v>
      </c>
      <c r="BH33" s="4">
        <f t="shared" si="4"/>
        <v>182875.71625375983</v>
      </c>
      <c r="BI33" s="4">
        <f t="shared" si="5"/>
        <v>499616.942</v>
      </c>
      <c r="BJ33" s="4">
        <f t="shared" si="6"/>
        <v>198281</v>
      </c>
      <c r="BK33" s="4">
        <f t="shared" si="7"/>
        <v>356136</v>
      </c>
      <c r="BL33" s="4">
        <f t="shared" si="8"/>
        <v>284229.4</v>
      </c>
      <c r="BM33" s="4">
        <f t="shared" si="9"/>
        <v>313531.4</v>
      </c>
      <c r="BN33" s="4">
        <v>23.561193250289627</v>
      </c>
      <c r="BO33" s="8">
        <f t="shared" si="10"/>
        <v>0.023784090909090908</v>
      </c>
      <c r="BP33" s="4">
        <f t="shared" si="11"/>
        <v>1834670.45825376</v>
      </c>
      <c r="BQ33" s="4">
        <f t="shared" si="12"/>
        <v>1833021.9674111686</v>
      </c>
      <c r="BR33" s="4">
        <f t="shared" si="13"/>
        <v>1895456.2595119528</v>
      </c>
      <c r="BS33" s="4">
        <v>1683645</v>
      </c>
      <c r="BT33" s="26"/>
      <c r="BU33" s="4">
        <f t="shared" si="35"/>
        <v>9.967769166993675</v>
      </c>
      <c r="BV33" s="4">
        <f t="shared" si="36"/>
        <v>27.231971810105648</v>
      </c>
      <c r="BW33" s="4">
        <f t="shared" si="37"/>
        <v>10.807444961463213</v>
      </c>
      <c r="BX33" s="4">
        <f t="shared" si="38"/>
        <v>19.411442441765285</v>
      </c>
      <c r="BY33" s="4">
        <f t="shared" si="39"/>
        <v>15.492122779942164</v>
      </c>
      <c r="BZ33" s="4">
        <f t="shared" si="40"/>
        <v>17.089248839730015</v>
      </c>
      <c r="CB33" s="4">
        <f t="shared" si="41"/>
        <v>32.58137161967218</v>
      </c>
      <c r="CD33" s="4">
        <f t="shared" si="15"/>
        <v>2.3325957485274937</v>
      </c>
      <c r="CE33" s="4">
        <f t="shared" si="16"/>
        <v>0.06308327064954256</v>
      </c>
      <c r="CF33" s="4">
        <f t="shared" si="17"/>
        <v>-6.074053995669124</v>
      </c>
      <c r="CG33" s="4">
        <f t="shared" si="18"/>
        <v>4.125627400245609</v>
      </c>
      <c r="CH33" s="4">
        <f t="shared" si="19"/>
        <v>-0.352826200604353</v>
      </c>
      <c r="CI33" s="4">
        <f t="shared" si="20"/>
        <v>-0.0944262231491777</v>
      </c>
      <c r="CK33" s="4">
        <f t="shared" si="21"/>
        <v>-0.44725242375353247</v>
      </c>
      <c r="CL33" s="4">
        <f t="shared" si="22"/>
        <v>0</v>
      </c>
      <c r="CM33" s="4">
        <f t="shared" si="42"/>
        <v>62.800259022900676</v>
      </c>
    </row>
    <row r="34" spans="1:91" ht="15">
      <c r="A34" s="22" t="s">
        <v>111</v>
      </c>
      <c r="B34" s="47">
        <v>7</v>
      </c>
      <c r="C34" s="23">
        <v>4190533</v>
      </c>
      <c r="D34" s="6">
        <v>0.46185714462168936</v>
      </c>
      <c r="E34" s="24">
        <f t="shared" si="23"/>
        <v>1935427.6058229618</v>
      </c>
      <c r="F34" s="25"/>
      <c r="G34" s="24">
        <f t="shared" si="24"/>
        <v>0</v>
      </c>
      <c r="H34" s="6">
        <v>0.30628720420555666</v>
      </c>
      <c r="I34" s="6">
        <f t="shared" si="0"/>
        <v>0</v>
      </c>
      <c r="J34" s="6">
        <f t="shared" si="25"/>
        <v>0</v>
      </c>
      <c r="K34" s="6">
        <f t="shared" si="26"/>
        <v>0</v>
      </c>
      <c r="L34" s="24">
        <f t="shared" si="27"/>
        <v>1283506.636701124</v>
      </c>
      <c r="M34" s="24">
        <f t="shared" si="28"/>
        <v>2255105.394177038</v>
      </c>
      <c r="N34" s="6">
        <f t="shared" si="29"/>
        <v>0.07657180105138917</v>
      </c>
      <c r="O34" s="6">
        <f t="shared" si="30"/>
        <v>0.05</v>
      </c>
      <c r="P34" s="24">
        <f t="shared" si="31"/>
        <v>209526.65000000002</v>
      </c>
      <c r="Q34" s="24"/>
      <c r="R34" s="24">
        <f t="shared" si="32"/>
        <v>3251510.6526485933</v>
      </c>
      <c r="S34" s="24">
        <f t="shared" si="33"/>
        <v>3426868.3427788815</v>
      </c>
      <c r="T34" s="24">
        <f t="shared" si="34"/>
        <v>3623944.352103588</v>
      </c>
      <c r="U34" s="24">
        <f t="shared" si="1"/>
        <v>4299143.902648593</v>
      </c>
      <c r="V34" s="24">
        <f t="shared" si="2"/>
        <v>4474501.592778882</v>
      </c>
      <c r="W34" s="24">
        <f t="shared" si="3"/>
        <v>4671577.602103588</v>
      </c>
      <c r="X34" s="22"/>
      <c r="Y34" s="3">
        <v>545258</v>
      </c>
      <c r="Z34" s="4">
        <v>0</v>
      </c>
      <c r="AA34" s="4">
        <v>550552</v>
      </c>
      <c r="AB34" s="4">
        <v>0</v>
      </c>
      <c r="AC34" s="3">
        <v>2</v>
      </c>
      <c r="AD34" s="3">
        <v>60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4">
        <v>57</v>
      </c>
      <c r="AP34" s="1">
        <v>99</v>
      </c>
      <c r="AQ34" s="1">
        <v>0</v>
      </c>
      <c r="AR34" s="4">
        <v>0</v>
      </c>
      <c r="AS34" s="3">
        <v>1045</v>
      </c>
      <c r="AT34" s="3">
        <v>3575</v>
      </c>
      <c r="AU34" s="3">
        <v>0</v>
      </c>
      <c r="AV34" s="3">
        <v>0</v>
      </c>
      <c r="AW34" s="3">
        <v>4648</v>
      </c>
      <c r="AX34" s="3">
        <v>21</v>
      </c>
      <c r="AY34" s="3">
        <v>4</v>
      </c>
      <c r="AZ34" s="3">
        <v>12</v>
      </c>
      <c r="BA34" s="3">
        <v>2</v>
      </c>
      <c r="BB34" s="3">
        <v>2</v>
      </c>
      <c r="BC34" s="3">
        <v>2</v>
      </c>
      <c r="BD34" s="3">
        <v>4</v>
      </c>
      <c r="BE34" s="3">
        <v>3</v>
      </c>
      <c r="BF34" s="3">
        <v>368748</v>
      </c>
      <c r="BH34" s="4">
        <f t="shared" si="4"/>
        <v>337565.8766485933</v>
      </c>
      <c r="BI34" s="4">
        <f t="shared" si="5"/>
        <v>888040.376</v>
      </c>
      <c r="BJ34" s="4">
        <f t="shared" si="6"/>
        <v>70906</v>
      </c>
      <c r="BK34" s="4">
        <f t="shared" si="7"/>
        <v>631332</v>
      </c>
      <c r="BL34" s="4">
        <f t="shared" si="8"/>
        <v>627396</v>
      </c>
      <c r="BM34" s="4">
        <f t="shared" si="9"/>
        <v>696270.4</v>
      </c>
      <c r="BN34" s="4">
        <v>26.607285793236635</v>
      </c>
      <c r="BO34" s="8">
        <f t="shared" si="10"/>
        <v>0.029794871794871794</v>
      </c>
      <c r="BP34" s="4">
        <f t="shared" si="11"/>
        <v>3251510.6526485933</v>
      </c>
      <c r="BQ34" s="4">
        <f t="shared" si="12"/>
        <v>3426868.3427788815</v>
      </c>
      <c r="BR34" s="4">
        <f t="shared" si="13"/>
        <v>3623944.352103588</v>
      </c>
      <c r="BS34" s="4">
        <v>4399235</v>
      </c>
      <c r="BT34" s="26"/>
      <c r="BU34" s="4">
        <f t="shared" si="35"/>
        <v>10.381816721825013</v>
      </c>
      <c r="BV34" s="4">
        <f t="shared" si="36"/>
        <v>27.311624376091963</v>
      </c>
      <c r="BW34" s="4">
        <f t="shared" si="37"/>
        <v>2.180709447845169</v>
      </c>
      <c r="BX34" s="4">
        <f t="shared" si="38"/>
        <v>19.416574861464284</v>
      </c>
      <c r="BY34" s="4">
        <f t="shared" si="39"/>
        <v>19.29552343582021</v>
      </c>
      <c r="BZ34" s="4">
        <f t="shared" si="40"/>
        <v>21.413751156953364</v>
      </c>
      <c r="CB34" s="4">
        <f t="shared" si="41"/>
        <v>40.709274592773575</v>
      </c>
      <c r="CD34" s="4">
        <f t="shared" si="15"/>
        <v>1.9185481936961555</v>
      </c>
      <c r="CE34" s="4">
        <f t="shared" si="16"/>
        <v>-0.016569295336772427</v>
      </c>
      <c r="CF34" s="4">
        <f t="shared" si="17"/>
        <v>2.55268151794892</v>
      </c>
      <c r="CG34" s="4">
        <f t="shared" si="18"/>
        <v>4.12049498054661</v>
      </c>
      <c r="CH34" s="4">
        <f t="shared" si="19"/>
        <v>-4.1562268564824</v>
      </c>
      <c r="CI34" s="4">
        <f t="shared" si="20"/>
        <v>-4.4189285403725265</v>
      </c>
      <c r="CK34" s="4">
        <f t="shared" si="21"/>
        <v>-8.575155396854925</v>
      </c>
      <c r="CL34" s="4">
        <f t="shared" si="22"/>
        <v>0</v>
      </c>
      <c r="CM34" s="4">
        <f t="shared" si="42"/>
        <v>62.306558902083026</v>
      </c>
    </row>
    <row r="35" spans="1:91" ht="15">
      <c r="A35" s="22" t="s">
        <v>102</v>
      </c>
      <c r="B35" s="47">
        <v>1</v>
      </c>
      <c r="C35" s="24">
        <v>2396512.75</v>
      </c>
      <c r="D35" s="58">
        <v>0.5013065292144618</v>
      </c>
      <c r="E35" s="24">
        <f t="shared" si="23"/>
        <v>1201387.4889207054</v>
      </c>
      <c r="F35" s="25"/>
      <c r="G35" s="24">
        <f t="shared" si="24"/>
        <v>0</v>
      </c>
      <c r="H35" s="14">
        <v>0.3457367650857526</v>
      </c>
      <c r="I35" s="6">
        <f aca="true" t="shared" si="44" ref="I35:I66">IF(CK35&lt;$CB$131,CK35-$CB$131,0)/100</f>
        <v>0</v>
      </c>
      <c r="J35" s="6">
        <f t="shared" si="25"/>
        <v>0</v>
      </c>
      <c r="K35" s="6">
        <f t="shared" si="26"/>
        <v>0</v>
      </c>
      <c r="L35" s="24">
        <f t="shared" si="27"/>
        <v>828562.5656717609</v>
      </c>
      <c r="M35" s="24">
        <f t="shared" si="28"/>
        <v>1195125.2610792946</v>
      </c>
      <c r="N35" s="6">
        <f t="shared" si="29"/>
        <v>0.08643419127143814</v>
      </c>
      <c r="O35" s="6">
        <f t="shared" si="30"/>
        <v>0.05</v>
      </c>
      <c r="P35" s="24">
        <f t="shared" si="31"/>
        <v>119825.63750000001</v>
      </c>
      <c r="Q35" s="24"/>
      <c r="R35" s="24">
        <f t="shared" si="32"/>
        <v>1617282.9570943424</v>
      </c>
      <c r="S35" s="24">
        <f t="shared" si="33"/>
        <v>1646583.9391474607</v>
      </c>
      <c r="T35" s="24">
        <f t="shared" si="34"/>
        <v>1920560.8168764084</v>
      </c>
      <c r="U35" s="24">
        <f t="shared" si="1"/>
        <v>2216411.1445943424</v>
      </c>
      <c r="V35" s="24">
        <f t="shared" si="2"/>
        <v>2245712.1266474607</v>
      </c>
      <c r="W35" s="24">
        <f t="shared" si="3"/>
        <v>2519689.0043764086</v>
      </c>
      <c r="X35" s="22"/>
      <c r="Y35" s="3">
        <v>295048</v>
      </c>
      <c r="Z35" s="4">
        <v>0</v>
      </c>
      <c r="AA35" s="3">
        <v>287347</v>
      </c>
      <c r="AB35" s="4">
        <v>0</v>
      </c>
      <c r="AC35" s="3">
        <v>3</v>
      </c>
      <c r="AD35" s="3">
        <v>60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4">
        <v>21</v>
      </c>
      <c r="AP35" s="1">
        <v>39</v>
      </c>
      <c r="AQ35" s="1">
        <v>0</v>
      </c>
      <c r="AR35" s="4">
        <v>0</v>
      </c>
      <c r="AS35" s="3">
        <v>105</v>
      </c>
      <c r="AT35" s="3">
        <v>2089</v>
      </c>
      <c r="AU35" s="3">
        <v>0</v>
      </c>
      <c r="AV35" s="3">
        <v>0</v>
      </c>
      <c r="AW35" s="3">
        <v>2111</v>
      </c>
      <c r="AX35" s="3">
        <v>10</v>
      </c>
      <c r="AY35" s="3">
        <v>4</v>
      </c>
      <c r="AZ35" s="3">
        <v>4</v>
      </c>
      <c r="BA35" s="3">
        <v>6</v>
      </c>
      <c r="BB35" s="3">
        <v>4</v>
      </c>
      <c r="BC35" s="3">
        <v>2</v>
      </c>
      <c r="BD35" s="3">
        <v>2</v>
      </c>
      <c r="BE35" s="3">
        <v>4</v>
      </c>
      <c r="BF35" s="3">
        <v>177191</v>
      </c>
      <c r="BH35" s="4">
        <f t="shared" si="4"/>
        <v>190440.24609434235</v>
      </c>
      <c r="BI35" s="4">
        <f t="shared" si="5"/>
        <v>463490.711</v>
      </c>
      <c r="BJ35" s="4">
        <f t="shared" si="6"/>
        <v>106359</v>
      </c>
      <c r="BK35" s="4">
        <f t="shared" si="7"/>
        <v>242820</v>
      </c>
      <c r="BL35" s="4">
        <f t="shared" si="8"/>
        <v>297945.2</v>
      </c>
      <c r="BM35" s="4">
        <f t="shared" si="9"/>
        <v>316227.80000000005</v>
      </c>
      <c r="BN35" s="4">
        <v>24.61763401370137</v>
      </c>
      <c r="BO35" s="8">
        <f t="shared" si="10"/>
        <v>0.03518333333333333</v>
      </c>
      <c r="BP35" s="4">
        <f t="shared" si="11"/>
        <v>1617282.9570943424</v>
      </c>
      <c r="BQ35" s="4">
        <f t="shared" si="12"/>
        <v>1646583.9391474607</v>
      </c>
      <c r="BR35" s="4">
        <f t="shared" si="13"/>
        <v>1920560.8168764084</v>
      </c>
      <c r="BS35" s="4">
        <v>2629044</v>
      </c>
      <c r="BT35" s="26"/>
      <c r="BU35" s="4">
        <f t="shared" si="35"/>
        <v>11.775320160208256</v>
      </c>
      <c r="BV35" s="4">
        <f t="shared" si="36"/>
        <v>28.658603552758688</v>
      </c>
      <c r="BW35" s="4">
        <f t="shared" si="37"/>
        <v>6.576400223192092</v>
      </c>
      <c r="BX35" s="4">
        <f t="shared" si="38"/>
        <v>15.014070292081572</v>
      </c>
      <c r="BY35" s="4">
        <f t="shared" si="39"/>
        <v>18.422577118805297</v>
      </c>
      <c r="BZ35" s="4">
        <f t="shared" si="40"/>
        <v>19.553028652954094</v>
      </c>
      <c r="CB35" s="4">
        <f t="shared" si="41"/>
        <v>37.97560577175939</v>
      </c>
      <c r="CD35" s="4">
        <f aca="true" t="shared" si="45" ref="CD35:CD66">BU$128-BU35</f>
        <v>0.5250447553129121</v>
      </c>
      <c r="CE35" s="4">
        <f aca="true" t="shared" si="46" ref="CE35:CE66">BV$128-BV35</f>
        <v>-1.3635484720034974</v>
      </c>
      <c r="CF35" s="4">
        <f aca="true" t="shared" si="47" ref="CF35:CF66">BW$128-BW35</f>
        <v>-1.8430092573980028</v>
      </c>
      <c r="CG35" s="4">
        <f aca="true" t="shared" si="48" ref="CG35:CG66">BX$128-BX35</f>
        <v>8.522999549929322</v>
      </c>
      <c r="CH35" s="4">
        <f aca="true" t="shared" si="49" ref="CH35:CH66">BY$128-BY35</f>
        <v>-3.2832805394674853</v>
      </c>
      <c r="CI35" s="4">
        <f aca="true" t="shared" si="50" ref="CI35:CI66">BZ$128-BZ35</f>
        <v>-2.5582060363732566</v>
      </c>
      <c r="CK35" s="4">
        <f aca="true" t="shared" si="51" ref="CK35:CK66">$CB$128-CB35</f>
        <v>-5.84148657584074</v>
      </c>
      <c r="CL35" s="4">
        <f aca="true" t="shared" si="52" ref="CL35:CL66">IF(CK35&lt;$CB$131,(CK35-$CB$131)*0.7005*0.75,0)</f>
        <v>0</v>
      </c>
      <c r="CM35" s="4">
        <f t="shared" si="42"/>
        <v>59.566076287033056</v>
      </c>
    </row>
    <row r="36" spans="1:91" ht="15">
      <c r="A36" s="22" t="s">
        <v>98</v>
      </c>
      <c r="B36" s="47">
        <v>7</v>
      </c>
      <c r="C36" s="23">
        <v>1258225</v>
      </c>
      <c r="D36" s="6">
        <v>0.11566182</v>
      </c>
      <c r="E36" s="24">
        <f t="shared" si="23"/>
        <v>145528.5934695</v>
      </c>
      <c r="F36" s="25"/>
      <c r="G36" s="24">
        <f t="shared" si="24"/>
        <v>0</v>
      </c>
      <c r="H36" s="6">
        <v>0</v>
      </c>
      <c r="I36" s="6">
        <f t="shared" si="44"/>
        <v>0</v>
      </c>
      <c r="J36" s="6">
        <f t="shared" si="25"/>
        <v>0</v>
      </c>
      <c r="K36" s="6">
        <f t="shared" si="26"/>
        <v>0</v>
      </c>
      <c r="L36" s="24">
        <f t="shared" si="27"/>
        <v>0</v>
      </c>
      <c r="M36" s="24">
        <f t="shared" si="28"/>
        <v>1112696.4065305</v>
      </c>
      <c r="N36" s="6">
        <f t="shared" si="29"/>
        <v>0</v>
      </c>
      <c r="O36" s="6">
        <f t="shared" si="30"/>
        <v>0</v>
      </c>
      <c r="P36" s="24">
        <f t="shared" si="31"/>
        <v>0</v>
      </c>
      <c r="Q36" s="24"/>
      <c r="R36" s="24">
        <f t="shared" si="32"/>
        <v>1453154.388252885</v>
      </c>
      <c r="S36" s="24">
        <f t="shared" si="33"/>
        <v>1632614.1054636666</v>
      </c>
      <c r="T36" s="24">
        <f t="shared" si="34"/>
        <v>1788097.5241468567</v>
      </c>
      <c r="U36" s="24">
        <f t="shared" si="1"/>
        <v>1767710.638252885</v>
      </c>
      <c r="V36" s="24">
        <f t="shared" si="2"/>
        <v>1947170.3554636666</v>
      </c>
      <c r="W36" s="24">
        <f t="shared" si="3"/>
        <v>2102653.7741468567</v>
      </c>
      <c r="X36" s="22"/>
      <c r="Y36" s="3">
        <v>283918</v>
      </c>
      <c r="Z36" s="4">
        <v>0</v>
      </c>
      <c r="AA36" s="4">
        <v>281918</v>
      </c>
      <c r="AB36" s="4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4">
        <v>11</v>
      </c>
      <c r="AP36" s="1">
        <f>43307/1000</f>
        <v>43.307</v>
      </c>
      <c r="AQ36" s="1">
        <v>0</v>
      </c>
      <c r="AR36" s="4">
        <v>0</v>
      </c>
      <c r="AS36" s="3">
        <v>62</v>
      </c>
      <c r="AT36" s="3">
        <v>2021</v>
      </c>
      <c r="AU36" s="3">
        <v>0</v>
      </c>
      <c r="AV36" s="3">
        <v>0</v>
      </c>
      <c r="AW36" s="3">
        <v>2083</v>
      </c>
      <c r="AX36" s="3">
        <v>15</v>
      </c>
      <c r="AY36" s="3">
        <v>5</v>
      </c>
      <c r="AZ36" s="3">
        <v>4</v>
      </c>
      <c r="BA36" s="3">
        <v>2</v>
      </c>
      <c r="BB36" s="3">
        <v>2</v>
      </c>
      <c r="BC36" s="3">
        <v>2</v>
      </c>
      <c r="BD36" s="3">
        <v>2</v>
      </c>
      <c r="BE36" s="3">
        <v>3</v>
      </c>
      <c r="BF36" s="3">
        <v>148665</v>
      </c>
      <c r="BH36" s="4">
        <f t="shared" si="4"/>
        <v>183735.42525288518</v>
      </c>
      <c r="BI36" s="4">
        <f t="shared" si="5"/>
        <v>454733.734</v>
      </c>
      <c r="BJ36" s="4">
        <f t="shared" si="6"/>
        <v>0</v>
      </c>
      <c r="BK36" s="4">
        <f t="shared" si="7"/>
        <v>219780.429</v>
      </c>
      <c r="BL36" s="4">
        <f t="shared" si="8"/>
        <v>282871.4</v>
      </c>
      <c r="BM36" s="4">
        <f t="shared" si="9"/>
        <v>312033.4</v>
      </c>
      <c r="BN36" s="4">
        <v>30.47203681183773</v>
      </c>
      <c r="BO36" s="8">
        <f t="shared" si="10"/>
        <v>0.03835601303699339</v>
      </c>
      <c r="BP36" s="4">
        <f t="shared" si="11"/>
        <v>1453154.388252885</v>
      </c>
      <c r="BQ36" s="4">
        <f t="shared" si="12"/>
        <v>1632614.1054636666</v>
      </c>
      <c r="BR36" s="4">
        <f t="shared" si="13"/>
        <v>1788097.5241468567</v>
      </c>
      <c r="BS36" s="4">
        <v>1192317</v>
      </c>
      <c r="BT36" s="26"/>
      <c r="BU36" s="4">
        <f t="shared" si="35"/>
        <v>12.643902584486478</v>
      </c>
      <c r="BV36" s="4">
        <f t="shared" si="36"/>
        <v>31.292871402791718</v>
      </c>
      <c r="BW36" s="4">
        <f t="shared" si="37"/>
        <v>0</v>
      </c>
      <c r="BX36" s="4">
        <f t="shared" si="38"/>
        <v>15.124368806004165</v>
      </c>
      <c r="BY36" s="4">
        <f t="shared" si="39"/>
        <v>19.46602524044908</v>
      </c>
      <c r="BZ36" s="4">
        <f t="shared" si="40"/>
        <v>21.472831966268572</v>
      </c>
      <c r="CB36" s="4">
        <f t="shared" si="41"/>
        <v>40.93885720671766</v>
      </c>
      <c r="CD36" s="4">
        <f t="shared" si="45"/>
        <v>-0.34353766896530935</v>
      </c>
      <c r="CE36" s="4">
        <f t="shared" si="46"/>
        <v>-3.9978163220365275</v>
      </c>
      <c r="CF36" s="4">
        <f t="shared" si="47"/>
        <v>4.733390965794089</v>
      </c>
      <c r="CG36" s="4">
        <f t="shared" si="48"/>
        <v>8.412701036006728</v>
      </c>
      <c r="CH36" s="4">
        <f t="shared" si="49"/>
        <v>-4.32672866111127</v>
      </c>
      <c r="CI36" s="4">
        <f t="shared" si="50"/>
        <v>-4.478009349687735</v>
      </c>
      <c r="CK36" s="4">
        <f t="shared" si="51"/>
        <v>-8.804738010799007</v>
      </c>
      <c r="CL36" s="4">
        <f t="shared" si="52"/>
        <v>0</v>
      </c>
      <c r="CM36" s="4">
        <f t="shared" si="42"/>
        <v>56.06322601272182</v>
      </c>
    </row>
    <row r="37" spans="1:91" ht="15">
      <c r="A37" s="22" t="s">
        <v>93</v>
      </c>
      <c r="B37" s="47">
        <v>3</v>
      </c>
      <c r="C37" s="24">
        <v>17580323.118390903</v>
      </c>
      <c r="D37" s="6">
        <v>0.35345482031563413</v>
      </c>
      <c r="E37" s="24">
        <f t="shared" si="23"/>
        <v>6213849.948901645</v>
      </c>
      <c r="F37" s="25"/>
      <c r="G37" s="24">
        <f t="shared" si="24"/>
        <v>0</v>
      </c>
      <c r="H37" s="6">
        <v>0.19788498242275843</v>
      </c>
      <c r="I37" s="6">
        <f t="shared" si="44"/>
        <v>0</v>
      </c>
      <c r="J37" s="6">
        <f t="shared" si="25"/>
        <v>0</v>
      </c>
      <c r="K37" s="6">
        <f t="shared" si="26"/>
        <v>0</v>
      </c>
      <c r="L37" s="24">
        <f t="shared" si="27"/>
        <v>3478881.9312691973</v>
      </c>
      <c r="M37" s="24">
        <f t="shared" si="28"/>
        <v>11366473.169489257</v>
      </c>
      <c r="N37" s="6">
        <f t="shared" si="29"/>
        <v>0.04947124560568961</v>
      </c>
      <c r="O37" s="6">
        <f t="shared" si="30"/>
        <v>0.04947124560568961</v>
      </c>
      <c r="P37" s="24">
        <f t="shared" si="31"/>
        <v>869720.4828172993</v>
      </c>
      <c r="Q37" s="24"/>
      <c r="R37" s="24">
        <f t="shared" si="32"/>
        <v>13280505.713365758</v>
      </c>
      <c r="S37" s="24">
        <f t="shared" si="33"/>
        <v>18539504.820153724</v>
      </c>
      <c r="T37" s="24">
        <f t="shared" si="34"/>
        <v>18265869.883587368</v>
      </c>
      <c r="U37" s="24">
        <f t="shared" si="1"/>
        <v>17675586.492963485</v>
      </c>
      <c r="V37" s="24">
        <f t="shared" si="2"/>
        <v>22934585.59975145</v>
      </c>
      <c r="W37" s="24">
        <f t="shared" si="3"/>
        <v>22660950.663185094</v>
      </c>
      <c r="X37" s="22"/>
      <c r="Y37" s="3">
        <v>1111439</v>
      </c>
      <c r="Z37" s="4">
        <v>0</v>
      </c>
      <c r="AA37" s="4">
        <v>1027650</v>
      </c>
      <c r="AB37" s="4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2</v>
      </c>
      <c r="AN37" s="3">
        <v>2950</v>
      </c>
      <c r="AO37" s="4">
        <v>6</v>
      </c>
      <c r="AP37" s="1">
        <v>177</v>
      </c>
      <c r="AQ37" s="1">
        <v>57</v>
      </c>
      <c r="AR37" s="4">
        <v>0</v>
      </c>
      <c r="AS37" s="3">
        <v>271</v>
      </c>
      <c r="AT37" s="3">
        <v>8254</v>
      </c>
      <c r="AU37" s="3">
        <v>2653</v>
      </c>
      <c r="AV37" s="3">
        <v>0</v>
      </c>
      <c r="AW37" s="3">
        <v>11773</v>
      </c>
      <c r="AX37" s="3">
        <v>46</v>
      </c>
      <c r="AY37" s="3">
        <v>472</v>
      </c>
      <c r="AZ37" s="3">
        <v>34</v>
      </c>
      <c r="BA37" s="3">
        <v>2</v>
      </c>
      <c r="BB37" s="3">
        <v>3</v>
      </c>
      <c r="BC37" s="3">
        <v>1</v>
      </c>
      <c r="BD37" s="3">
        <v>6</v>
      </c>
      <c r="BE37" s="3">
        <v>36</v>
      </c>
      <c r="BF37" s="3">
        <v>653258</v>
      </c>
      <c r="BH37" s="4">
        <f t="shared" si="4"/>
        <v>655604.2633657579</v>
      </c>
      <c r="BI37" s="4">
        <f t="shared" si="5"/>
        <v>1657599.45</v>
      </c>
      <c r="BJ37" s="4">
        <f t="shared" si="6"/>
        <v>1298000</v>
      </c>
      <c r="BK37" s="4">
        <f t="shared" si="7"/>
        <v>5606691</v>
      </c>
      <c r="BL37" s="4">
        <f t="shared" si="8"/>
        <v>2299015.5999999996</v>
      </c>
      <c r="BM37" s="4">
        <f t="shared" si="9"/>
        <v>1763595.4000000001</v>
      </c>
      <c r="BN37" s="4">
        <v>45.61077161724183</v>
      </c>
      <c r="BO37" s="8">
        <f t="shared" si="10"/>
        <v>0.04905416666666667</v>
      </c>
      <c r="BP37" s="4">
        <f t="shared" si="11"/>
        <v>13280505.713365758</v>
      </c>
      <c r="BQ37" s="4">
        <f t="shared" si="12"/>
        <v>18539504.820153724</v>
      </c>
      <c r="BR37" s="4">
        <f t="shared" si="13"/>
        <v>18265869.883587368</v>
      </c>
      <c r="BS37" s="4">
        <v>14949835</v>
      </c>
      <c r="BT37" s="26"/>
      <c r="BU37" s="4">
        <f t="shared" si="35"/>
        <v>4.936591102144138</v>
      </c>
      <c r="BV37" s="4">
        <f t="shared" si="36"/>
        <v>12.481448265420795</v>
      </c>
      <c r="BW37" s="4">
        <f t="shared" si="37"/>
        <v>9.773724194054354</v>
      </c>
      <c r="BX37" s="4">
        <f t="shared" si="38"/>
        <v>42.217451059542995</v>
      </c>
      <c r="BY37" s="4">
        <f t="shared" si="39"/>
        <v>17.31120523284159</v>
      </c>
      <c r="BZ37" s="4">
        <f t="shared" si="40"/>
        <v>13.279580145996125</v>
      </c>
      <c r="CB37" s="4">
        <f t="shared" si="41"/>
        <v>30.590785378837715</v>
      </c>
      <c r="CD37" s="4">
        <f t="shared" si="45"/>
        <v>7.36377381337703</v>
      </c>
      <c r="CE37" s="4">
        <f t="shared" si="46"/>
        <v>14.813606815334396</v>
      </c>
      <c r="CF37" s="4">
        <f t="shared" si="47"/>
        <v>-5.040333228260265</v>
      </c>
      <c r="CG37" s="4">
        <f t="shared" si="48"/>
        <v>-18.6803812175321</v>
      </c>
      <c r="CH37" s="4">
        <f t="shared" si="49"/>
        <v>-2.1719086535037793</v>
      </c>
      <c r="CI37" s="4">
        <f t="shared" si="50"/>
        <v>3.7152424705847125</v>
      </c>
      <c r="CK37" s="4">
        <f t="shared" si="51"/>
        <v>1.543333817080935</v>
      </c>
      <c r="CL37" s="4">
        <f t="shared" si="52"/>
        <v>0</v>
      </c>
      <c r="CM37" s="4">
        <f t="shared" si="42"/>
        <v>82.58196063243506</v>
      </c>
    </row>
    <row r="38" spans="1:91" ht="15">
      <c r="A38" s="22" t="s">
        <v>62</v>
      </c>
      <c r="B38" s="47">
        <v>8</v>
      </c>
      <c r="C38" s="23">
        <v>716880</v>
      </c>
      <c r="D38" s="6">
        <v>0</v>
      </c>
      <c r="E38" s="24">
        <f t="shared" si="23"/>
        <v>0</v>
      </c>
      <c r="F38" s="25"/>
      <c r="G38" s="24">
        <f t="shared" si="24"/>
        <v>0</v>
      </c>
      <c r="H38" s="6">
        <v>0</v>
      </c>
      <c r="I38" s="6">
        <f t="shared" si="44"/>
        <v>0</v>
      </c>
      <c r="J38" s="6">
        <f t="shared" si="25"/>
        <v>0</v>
      </c>
      <c r="K38" s="6">
        <f t="shared" si="26"/>
        <v>0</v>
      </c>
      <c r="L38" s="24">
        <f t="shared" si="27"/>
        <v>0</v>
      </c>
      <c r="M38" s="24">
        <v>827869</v>
      </c>
      <c r="N38" s="6">
        <f t="shared" si="29"/>
        <v>0</v>
      </c>
      <c r="O38" s="6">
        <f t="shared" si="30"/>
        <v>0</v>
      </c>
      <c r="P38" s="24">
        <f t="shared" si="31"/>
        <v>0</v>
      </c>
      <c r="Q38" s="24"/>
      <c r="R38" s="24">
        <f t="shared" si="32"/>
        <v>1045755.8807957917</v>
      </c>
      <c r="S38" s="24">
        <f t="shared" si="33"/>
        <v>1035987.1418368217</v>
      </c>
      <c r="T38" s="24">
        <f t="shared" si="34"/>
        <v>1330382.4658566837</v>
      </c>
      <c r="U38" s="24">
        <f t="shared" si="1"/>
        <v>1224975.8807957917</v>
      </c>
      <c r="V38" s="24">
        <f t="shared" si="2"/>
        <v>1215207.1418368216</v>
      </c>
      <c r="W38" s="24">
        <f t="shared" si="3"/>
        <v>1509602.4658566837</v>
      </c>
      <c r="X38" s="22"/>
      <c r="Y38" s="3">
        <v>260601</v>
      </c>
      <c r="Z38" s="4">
        <v>0</v>
      </c>
      <c r="AA38" s="3">
        <v>247640</v>
      </c>
      <c r="AB38" s="4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4">
        <v>4</v>
      </c>
      <c r="AP38" s="1">
        <v>26</v>
      </c>
      <c r="AQ38" s="1">
        <v>0</v>
      </c>
      <c r="AR38" s="4">
        <v>0</v>
      </c>
      <c r="AS38" s="3">
        <v>4</v>
      </c>
      <c r="AT38" s="3">
        <v>1241</v>
      </c>
      <c r="AU38" s="1">
        <v>0</v>
      </c>
      <c r="AV38" s="1">
        <v>0</v>
      </c>
      <c r="AW38" s="3">
        <v>1243</v>
      </c>
      <c r="AX38" s="3">
        <v>8</v>
      </c>
      <c r="AY38" s="3">
        <v>0</v>
      </c>
      <c r="AZ38" s="3">
        <v>4</v>
      </c>
      <c r="BA38" s="3">
        <v>1</v>
      </c>
      <c r="BB38" s="3">
        <v>1</v>
      </c>
      <c r="BC38" s="3">
        <v>1</v>
      </c>
      <c r="BD38" s="3">
        <v>2</v>
      </c>
      <c r="BE38" s="3">
        <v>2</v>
      </c>
      <c r="BF38" s="3">
        <v>128556</v>
      </c>
      <c r="BH38" s="4">
        <f t="shared" si="4"/>
        <v>169630.16079579171</v>
      </c>
      <c r="BI38" s="4">
        <f t="shared" si="5"/>
        <v>399443.32</v>
      </c>
      <c r="BJ38" s="4">
        <f t="shared" si="6"/>
        <v>0</v>
      </c>
      <c r="BK38" s="4">
        <f t="shared" si="7"/>
        <v>121410</v>
      </c>
      <c r="BL38" s="4">
        <f t="shared" si="8"/>
        <v>169071</v>
      </c>
      <c r="BM38" s="4">
        <f t="shared" si="9"/>
        <v>186201.40000000002</v>
      </c>
      <c r="BN38" s="4">
        <v>23.092148961426812</v>
      </c>
      <c r="BO38" s="8">
        <f t="shared" si="10"/>
        <v>0.041433333333333336</v>
      </c>
      <c r="BP38" s="4">
        <f t="shared" si="11"/>
        <v>1045755.8807957917</v>
      </c>
      <c r="BQ38" s="4">
        <f t="shared" si="12"/>
        <v>1035987.1418368217</v>
      </c>
      <c r="BR38" s="4">
        <f t="shared" si="13"/>
        <v>1330382.4658566837</v>
      </c>
      <c r="BS38" s="4">
        <v>901128</v>
      </c>
      <c r="BT38" s="26"/>
      <c r="BU38" s="4">
        <f t="shared" si="35"/>
        <v>16.22081825317662</v>
      </c>
      <c r="BV38" s="4">
        <f t="shared" si="36"/>
        <v>38.19661235813797</v>
      </c>
      <c r="BW38" s="4">
        <f t="shared" si="37"/>
        <v>0</v>
      </c>
      <c r="BX38" s="4">
        <f t="shared" si="38"/>
        <v>11.609784102539331</v>
      </c>
      <c r="BY38" s="4">
        <f t="shared" si="39"/>
        <v>16.1673487192194</v>
      </c>
      <c r="BZ38" s="4">
        <f t="shared" si="40"/>
        <v>17.805436566926673</v>
      </c>
      <c r="CB38" s="4">
        <f t="shared" si="41"/>
        <v>33.97278528614608</v>
      </c>
      <c r="CD38" s="4">
        <f t="shared" si="45"/>
        <v>-3.9204533376554522</v>
      </c>
      <c r="CE38" s="4">
        <f t="shared" si="46"/>
        <v>-10.901557277382778</v>
      </c>
      <c r="CF38" s="4">
        <f t="shared" si="47"/>
        <v>4.733390965794089</v>
      </c>
      <c r="CG38" s="4">
        <f t="shared" si="48"/>
        <v>11.927285739471563</v>
      </c>
      <c r="CH38" s="4">
        <f t="shared" si="49"/>
        <v>-1.0280521398815896</v>
      </c>
      <c r="CI38" s="4">
        <f t="shared" si="50"/>
        <v>-0.8106139503458358</v>
      </c>
      <c r="CK38" s="4">
        <f t="shared" si="51"/>
        <v>-1.8386660902274272</v>
      </c>
      <c r="CL38" s="4">
        <f t="shared" si="52"/>
        <v>0</v>
      </c>
      <c r="CM38" s="4">
        <f t="shared" si="42"/>
        <v>45.58256938868541</v>
      </c>
    </row>
    <row r="39" spans="1:91" ht="15">
      <c r="A39" s="22" t="s">
        <v>126</v>
      </c>
      <c r="B39" s="47">
        <v>3</v>
      </c>
      <c r="C39" s="24">
        <v>9121268.207567867</v>
      </c>
      <c r="D39" s="6">
        <v>0.49702288035577935</v>
      </c>
      <c r="E39" s="24">
        <f t="shared" si="23"/>
        <v>4533478.997022978</v>
      </c>
      <c r="F39" s="25"/>
      <c r="G39" s="24">
        <f t="shared" si="24"/>
        <v>0</v>
      </c>
      <c r="H39" s="14">
        <v>0.3414530513119918</v>
      </c>
      <c r="I39" s="6">
        <f t="shared" si="44"/>
        <v>0</v>
      </c>
      <c r="J39" s="6">
        <f t="shared" si="25"/>
        <v>0</v>
      </c>
      <c r="K39" s="6">
        <f t="shared" si="26"/>
        <v>0</v>
      </c>
      <c r="L39" s="24">
        <f t="shared" si="27"/>
        <v>3114484.86130911</v>
      </c>
      <c r="M39" s="24">
        <f t="shared" si="28"/>
        <v>4587789.210544889</v>
      </c>
      <c r="N39" s="6">
        <f t="shared" si="29"/>
        <v>0.08536326282799794</v>
      </c>
      <c r="O39" s="6">
        <f t="shared" si="30"/>
        <v>0.05</v>
      </c>
      <c r="P39" s="24">
        <f t="shared" si="31"/>
        <v>456063.41037839337</v>
      </c>
      <c r="Q39" s="24"/>
      <c r="R39" s="24">
        <f t="shared" si="32"/>
        <v>5895673.652409895</v>
      </c>
      <c r="S39" s="24">
        <f t="shared" si="33"/>
        <v>6714955.672303727</v>
      </c>
      <c r="T39" s="24">
        <f t="shared" si="34"/>
        <v>7372555.624134981</v>
      </c>
      <c r="U39" s="24">
        <f t="shared" si="1"/>
        <v>8175990.704301862</v>
      </c>
      <c r="V39" s="24">
        <f t="shared" si="2"/>
        <v>8995272.724195693</v>
      </c>
      <c r="W39" s="24">
        <f t="shared" si="3"/>
        <v>9652872.676026948</v>
      </c>
      <c r="X39" s="22"/>
      <c r="Y39" s="3">
        <v>864568</v>
      </c>
      <c r="Z39" s="4">
        <v>476848</v>
      </c>
      <c r="AA39" s="4">
        <v>864568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1</v>
      </c>
      <c r="AP39" s="1">
        <v>71</v>
      </c>
      <c r="AQ39" s="1">
        <v>24</v>
      </c>
      <c r="AR39" s="4">
        <v>0</v>
      </c>
      <c r="AS39" s="4">
        <v>0</v>
      </c>
      <c r="AT39" s="4">
        <v>3505</v>
      </c>
      <c r="AU39" s="4">
        <v>550</v>
      </c>
      <c r="AV39" s="4">
        <v>0</v>
      </c>
      <c r="AW39" s="4">
        <v>3824</v>
      </c>
      <c r="AX39" s="4">
        <v>21</v>
      </c>
      <c r="AY39" s="4">
        <v>36</v>
      </c>
      <c r="AZ39" s="4">
        <v>16</v>
      </c>
      <c r="BA39" s="4">
        <v>3</v>
      </c>
      <c r="BB39" s="4">
        <v>3</v>
      </c>
      <c r="BC39" s="4">
        <v>4</v>
      </c>
      <c r="BD39" s="4">
        <v>15</v>
      </c>
      <c r="BE39" s="4">
        <v>10</v>
      </c>
      <c r="BF39" s="4">
        <v>571462</v>
      </c>
      <c r="BH39" s="4">
        <f t="shared" si="4"/>
        <v>518754.96440989536</v>
      </c>
      <c r="BI39" s="4">
        <f t="shared" si="5"/>
        <v>1751230.488</v>
      </c>
      <c r="BJ39" s="4">
        <f t="shared" si="6"/>
        <v>0</v>
      </c>
      <c r="BK39" s="4">
        <f t="shared" si="7"/>
        <v>2340264</v>
      </c>
      <c r="BL39" s="4">
        <f t="shared" si="8"/>
        <v>712589</v>
      </c>
      <c r="BM39" s="4">
        <f t="shared" si="9"/>
        <v>572835.2000000001</v>
      </c>
      <c r="BN39" s="4">
        <v>31.331292121007202</v>
      </c>
      <c r="BO39" s="8">
        <f t="shared" si="10"/>
        <v>0.03983333333333333</v>
      </c>
      <c r="BP39" s="4">
        <f t="shared" si="11"/>
        <v>5895673.652409895</v>
      </c>
      <c r="BQ39" s="4">
        <f t="shared" si="12"/>
        <v>6714955.672303727</v>
      </c>
      <c r="BR39" s="4">
        <f t="shared" si="13"/>
        <v>7372555.624134981</v>
      </c>
      <c r="BS39" s="4">
        <v>8405617</v>
      </c>
      <c r="BT39" s="26"/>
      <c r="BU39" s="4">
        <f t="shared" si="35"/>
        <v>8.798909081371063</v>
      </c>
      <c r="BV39" s="4">
        <f t="shared" si="36"/>
        <v>29.70365375098693</v>
      </c>
      <c r="BW39" s="4">
        <f t="shared" si="37"/>
        <v>0</v>
      </c>
      <c r="BX39" s="4">
        <f t="shared" si="38"/>
        <v>39.694598751126634</v>
      </c>
      <c r="BY39" s="4">
        <f t="shared" si="39"/>
        <v>12.086642545228475</v>
      </c>
      <c r="BZ39" s="4">
        <f t="shared" si="40"/>
        <v>9.716195871286903</v>
      </c>
      <c r="CB39" s="4">
        <f t="shared" si="41"/>
        <v>21.802838416515378</v>
      </c>
      <c r="CD39" s="4">
        <f t="shared" si="45"/>
        <v>3.5014558341501054</v>
      </c>
      <c r="CE39" s="4">
        <f t="shared" si="46"/>
        <v>-2.40859867023174</v>
      </c>
      <c r="CF39" s="4">
        <f t="shared" si="47"/>
        <v>4.733390965794089</v>
      </c>
      <c r="CG39" s="4">
        <f t="shared" si="48"/>
        <v>-16.15752890911574</v>
      </c>
      <c r="CH39" s="4">
        <f t="shared" si="49"/>
        <v>3.0526540341093362</v>
      </c>
      <c r="CI39" s="4">
        <f t="shared" si="50"/>
        <v>7.278626745293934</v>
      </c>
      <c r="CK39" s="4">
        <f t="shared" si="51"/>
        <v>10.331280779403272</v>
      </c>
      <c r="CL39" s="4">
        <f t="shared" si="52"/>
        <v>0</v>
      </c>
      <c r="CM39" s="4">
        <f t="shared" si="42"/>
        <v>61.497437167642005</v>
      </c>
    </row>
    <row r="40" spans="1:91" ht="15">
      <c r="A40" s="22" t="s">
        <v>164</v>
      </c>
      <c r="B40" s="47">
        <v>8</v>
      </c>
      <c r="C40" s="23">
        <v>928849</v>
      </c>
      <c r="D40" s="6">
        <v>0.08788232</v>
      </c>
      <c r="E40" s="24">
        <f t="shared" si="23"/>
        <v>81629.40504968</v>
      </c>
      <c r="F40" s="25"/>
      <c r="G40" s="24">
        <f t="shared" si="24"/>
        <v>0</v>
      </c>
      <c r="H40" s="6">
        <v>0</v>
      </c>
      <c r="I40" s="6">
        <f t="shared" si="44"/>
        <v>0</v>
      </c>
      <c r="J40" s="6">
        <f t="shared" si="25"/>
        <v>0</v>
      </c>
      <c r="K40" s="6">
        <f t="shared" si="26"/>
        <v>0</v>
      </c>
      <c r="L40" s="24">
        <f t="shared" si="27"/>
        <v>0</v>
      </c>
      <c r="M40" s="24">
        <f t="shared" si="28"/>
        <v>847219.59495032</v>
      </c>
      <c r="N40" s="6">
        <f t="shared" si="29"/>
        <v>0</v>
      </c>
      <c r="O40" s="6">
        <f t="shared" si="30"/>
        <v>0</v>
      </c>
      <c r="P40" s="24">
        <f t="shared" si="31"/>
        <v>0</v>
      </c>
      <c r="Q40" s="24"/>
      <c r="R40" s="24">
        <f t="shared" si="32"/>
        <v>1327493.118070192</v>
      </c>
      <c r="S40" s="24">
        <f t="shared" si="33"/>
        <v>1307518.0158976857</v>
      </c>
      <c r="T40" s="24">
        <f t="shared" si="34"/>
        <v>1361478.246096554</v>
      </c>
      <c r="U40" s="24">
        <f t="shared" si="1"/>
        <v>1559705.368070192</v>
      </c>
      <c r="V40" s="24">
        <f t="shared" si="2"/>
        <v>1539730.2658976857</v>
      </c>
      <c r="W40" s="24">
        <f t="shared" si="3"/>
        <v>1593690.496096554</v>
      </c>
      <c r="X40" s="22"/>
      <c r="Y40" s="3">
        <v>298866</v>
      </c>
      <c r="Z40" s="4">
        <v>0</v>
      </c>
      <c r="AA40" s="4">
        <v>298866</v>
      </c>
      <c r="AB40" s="4">
        <v>0</v>
      </c>
      <c r="AC40" s="3">
        <v>1</v>
      </c>
      <c r="AD40" s="3">
        <v>6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4">
        <v>23</v>
      </c>
      <c r="AP40" s="1">
        <v>34</v>
      </c>
      <c r="AQ40" s="1">
        <v>0</v>
      </c>
      <c r="AR40" s="4">
        <v>0</v>
      </c>
      <c r="AS40" s="3">
        <v>0</v>
      </c>
      <c r="AT40" s="3">
        <v>1386</v>
      </c>
      <c r="AU40" s="1">
        <v>0</v>
      </c>
      <c r="AV40" s="1">
        <v>0</v>
      </c>
      <c r="AW40" s="3">
        <v>1324</v>
      </c>
      <c r="AX40" s="3">
        <v>16</v>
      </c>
      <c r="AY40" s="3">
        <v>0</v>
      </c>
      <c r="AZ40" s="3">
        <v>8</v>
      </c>
      <c r="BA40" s="3">
        <v>2</v>
      </c>
      <c r="BB40" s="3">
        <v>2</v>
      </c>
      <c r="BC40" s="3">
        <v>2</v>
      </c>
      <c r="BD40" s="3">
        <v>2</v>
      </c>
      <c r="BE40" s="3">
        <v>0</v>
      </c>
      <c r="BF40" s="3">
        <v>141214</v>
      </c>
      <c r="BH40" s="4">
        <f t="shared" si="4"/>
        <v>192736.26007019193</v>
      </c>
      <c r="BI40" s="4">
        <f t="shared" si="5"/>
        <v>482070.858</v>
      </c>
      <c r="BJ40" s="4">
        <f t="shared" si="6"/>
        <v>35453</v>
      </c>
      <c r="BK40" s="4">
        <f t="shared" si="7"/>
        <v>230679</v>
      </c>
      <c r="BL40" s="4">
        <f t="shared" si="8"/>
        <v>188218.80000000002</v>
      </c>
      <c r="BM40" s="4">
        <f t="shared" si="9"/>
        <v>198335.2</v>
      </c>
      <c r="BN40" s="4">
        <v>22.775153558211855</v>
      </c>
      <c r="BO40" s="8">
        <f t="shared" si="10"/>
        <v>0.023228070175438598</v>
      </c>
      <c r="BP40" s="4">
        <f t="shared" si="11"/>
        <v>1327493.118070192</v>
      </c>
      <c r="BQ40" s="4">
        <f t="shared" si="12"/>
        <v>1307518.0158976857</v>
      </c>
      <c r="BR40" s="4">
        <f t="shared" si="13"/>
        <v>1361478.246096554</v>
      </c>
      <c r="BS40" s="4">
        <v>672943</v>
      </c>
      <c r="BT40" s="26"/>
      <c r="BU40" s="4">
        <f t="shared" si="35"/>
        <v>14.51881425572866</v>
      </c>
      <c r="BV40" s="4">
        <f t="shared" si="36"/>
        <v>36.31437718493018</v>
      </c>
      <c r="BW40" s="4">
        <f t="shared" si="37"/>
        <v>2.6706729788203245</v>
      </c>
      <c r="BX40" s="4">
        <f t="shared" si="38"/>
        <v>17.377039237336575</v>
      </c>
      <c r="BY40" s="4">
        <f t="shared" si="39"/>
        <v>14.178514181197272</v>
      </c>
      <c r="BZ40" s="4">
        <f t="shared" si="40"/>
        <v>14.940582161986992</v>
      </c>
      <c r="CB40" s="4">
        <f t="shared" si="41"/>
        <v>29.119096343184264</v>
      </c>
      <c r="CD40" s="4">
        <f t="shared" si="45"/>
        <v>-2.218449340207492</v>
      </c>
      <c r="CE40" s="4">
        <f t="shared" si="46"/>
        <v>-9.01932210417499</v>
      </c>
      <c r="CF40" s="4">
        <f t="shared" si="47"/>
        <v>2.0627179869737646</v>
      </c>
      <c r="CG40" s="4">
        <f t="shared" si="48"/>
        <v>6.1600306046743185</v>
      </c>
      <c r="CH40" s="4">
        <f t="shared" si="49"/>
        <v>0.9607823981405392</v>
      </c>
      <c r="CI40" s="4">
        <f t="shared" si="50"/>
        <v>2.0542404545938453</v>
      </c>
      <c r="CK40" s="4">
        <f t="shared" si="51"/>
        <v>3.0150228527343863</v>
      </c>
      <c r="CL40" s="4">
        <f t="shared" si="52"/>
        <v>0</v>
      </c>
      <c r="CM40" s="4">
        <f t="shared" si="42"/>
        <v>49.16680855934116</v>
      </c>
    </row>
    <row r="41" spans="1:91" ht="15">
      <c r="A41" s="22" t="s">
        <v>77</v>
      </c>
      <c r="B41" s="47">
        <v>1</v>
      </c>
      <c r="C41" s="24">
        <v>6855675</v>
      </c>
      <c r="D41" s="58">
        <v>0.34990032850270836</v>
      </c>
      <c r="E41" s="24">
        <f t="shared" si="23"/>
        <v>2398802.934607805</v>
      </c>
      <c r="F41" s="25">
        <v>0.3509854</v>
      </c>
      <c r="G41" s="24">
        <f t="shared" si="24"/>
        <v>2406241.832145</v>
      </c>
      <c r="H41" s="14">
        <v>0.20019384521544104</v>
      </c>
      <c r="I41" s="6">
        <f t="shared" si="44"/>
        <v>0</v>
      </c>
      <c r="J41" s="6">
        <f t="shared" si="25"/>
        <v>0</v>
      </c>
      <c r="K41" s="6">
        <f t="shared" si="26"/>
        <v>0</v>
      </c>
      <c r="L41" s="24">
        <f t="shared" si="27"/>
        <v>1372463.9397973688</v>
      </c>
      <c r="M41" s="24">
        <f t="shared" si="28"/>
        <v>4456872.065392194</v>
      </c>
      <c r="N41" s="6">
        <f t="shared" si="29"/>
        <v>0.05004846130386026</v>
      </c>
      <c r="O41" s="6">
        <f t="shared" si="30"/>
        <v>0.05</v>
      </c>
      <c r="P41" s="24">
        <f t="shared" si="31"/>
        <v>342783.75</v>
      </c>
      <c r="Q41" s="6"/>
      <c r="R41" s="24">
        <f t="shared" si="32"/>
        <v>6590607.489017667</v>
      </c>
      <c r="S41" s="24">
        <f t="shared" si="33"/>
        <v>7676984.303179042</v>
      </c>
      <c r="T41" s="24">
        <f t="shared" si="34"/>
        <v>7003942.256910325</v>
      </c>
      <c r="U41" s="24">
        <f t="shared" si="1"/>
        <v>8304526.239017667</v>
      </c>
      <c r="V41" s="24">
        <f t="shared" si="2"/>
        <v>9390903.053179042</v>
      </c>
      <c r="W41" s="24">
        <f t="shared" si="3"/>
        <v>8717861.006910324</v>
      </c>
      <c r="X41" s="22"/>
      <c r="Y41" s="3">
        <v>1550902</v>
      </c>
      <c r="Z41" s="3">
        <v>263049</v>
      </c>
      <c r="AA41" s="4">
        <v>1287853</v>
      </c>
      <c r="AB41" s="4">
        <v>0</v>
      </c>
      <c r="AC41" s="3">
        <v>6</v>
      </c>
      <c r="AD41" s="3">
        <v>109</v>
      </c>
      <c r="AE41" s="3">
        <v>2</v>
      </c>
      <c r="AF41" s="3">
        <v>120</v>
      </c>
      <c r="AG41" s="3">
        <v>1</v>
      </c>
      <c r="AH41" s="3">
        <v>122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4">
        <v>104</v>
      </c>
      <c r="AP41" s="1">
        <v>146</v>
      </c>
      <c r="AQ41" s="1">
        <v>3</v>
      </c>
      <c r="AR41" s="4">
        <v>0</v>
      </c>
      <c r="AS41" s="3">
        <v>677</v>
      </c>
      <c r="AT41" s="3">
        <v>3745</v>
      </c>
      <c r="AU41" s="3">
        <v>205</v>
      </c>
      <c r="AV41" s="3">
        <v>0</v>
      </c>
      <c r="AW41" s="3">
        <v>6570</v>
      </c>
      <c r="AX41" s="3">
        <v>43</v>
      </c>
      <c r="AY41" s="3">
        <v>50</v>
      </c>
      <c r="AZ41" s="3">
        <v>23</v>
      </c>
      <c r="BA41" s="3">
        <v>4</v>
      </c>
      <c r="BB41" s="3">
        <v>3</v>
      </c>
      <c r="BC41" s="3">
        <v>4</v>
      </c>
      <c r="BD41" s="3">
        <v>6</v>
      </c>
      <c r="BE41" s="3">
        <v>3</v>
      </c>
      <c r="BF41" s="3">
        <v>516181</v>
      </c>
      <c r="BG41" s="4">
        <f>5000+6000</f>
        <v>11000</v>
      </c>
      <c r="BH41" s="4">
        <f t="shared" si="4"/>
        <v>894366.3480176664</v>
      </c>
      <c r="BI41" s="4">
        <f t="shared" si="5"/>
        <v>2274067.541</v>
      </c>
      <c r="BJ41" s="4">
        <f t="shared" si="6"/>
        <v>470429</v>
      </c>
      <c r="BK41" s="4">
        <f t="shared" si="7"/>
        <v>1267860</v>
      </c>
      <c r="BL41" s="4">
        <f t="shared" si="8"/>
        <v>688698.6000000001</v>
      </c>
      <c r="BM41" s="4">
        <f t="shared" si="9"/>
        <v>984186.0000000001</v>
      </c>
      <c r="BN41" s="4">
        <v>32.76872936617816</v>
      </c>
      <c r="BO41" s="8">
        <f t="shared" si="10"/>
        <v>0.025968379446640315</v>
      </c>
      <c r="BP41" s="4">
        <f t="shared" si="11"/>
        <v>6590607.489017667</v>
      </c>
      <c r="BQ41" s="4">
        <f t="shared" si="12"/>
        <v>7676984.303179042</v>
      </c>
      <c r="BR41" s="4">
        <f t="shared" si="13"/>
        <v>7003942.256910325</v>
      </c>
      <c r="BS41" s="4">
        <v>6561601</v>
      </c>
      <c r="BT41" s="26"/>
      <c r="BU41" s="4">
        <f t="shared" si="35"/>
        <v>13.593004590478921</v>
      </c>
      <c r="BV41" s="4">
        <f t="shared" si="36"/>
        <v>34.562358693824116</v>
      </c>
      <c r="BW41" s="4">
        <f t="shared" si="37"/>
        <v>7.149803400662049</v>
      </c>
      <c r="BX41" s="4">
        <f t="shared" si="38"/>
        <v>19.269538526671155</v>
      </c>
      <c r="BY41" s="4">
        <f t="shared" si="39"/>
        <v>10.467168461789543</v>
      </c>
      <c r="BZ41" s="4">
        <f t="shared" si="40"/>
        <v>14.958126326574211</v>
      </c>
      <c r="CB41" s="4">
        <f t="shared" si="41"/>
        <v>25.425294788363754</v>
      </c>
      <c r="CD41" s="4">
        <f t="shared" si="45"/>
        <v>-1.2926396749577531</v>
      </c>
      <c r="CE41" s="4">
        <f t="shared" si="46"/>
        <v>-7.2673036130689255</v>
      </c>
      <c r="CF41" s="4">
        <f t="shared" si="47"/>
        <v>-2.4164124348679596</v>
      </c>
      <c r="CG41" s="4">
        <f t="shared" si="48"/>
        <v>4.267531315339738</v>
      </c>
      <c r="CH41" s="4">
        <f t="shared" si="49"/>
        <v>4.672128117548269</v>
      </c>
      <c r="CI41" s="4">
        <f t="shared" si="50"/>
        <v>2.036696290006626</v>
      </c>
      <c r="CK41" s="4">
        <f t="shared" si="51"/>
        <v>6.708824407554896</v>
      </c>
      <c r="CL41" s="4">
        <f t="shared" si="52"/>
        <v>0</v>
      </c>
      <c r="CM41" s="4">
        <f t="shared" si="42"/>
        <v>51.84463671569696</v>
      </c>
    </row>
    <row r="42" spans="1:91" ht="15">
      <c r="A42" s="22" t="s">
        <v>70</v>
      </c>
      <c r="B42" s="47">
        <v>3</v>
      </c>
      <c r="C42" s="24">
        <v>12200492.831084175</v>
      </c>
      <c r="D42" s="6">
        <v>0.2205938039803803</v>
      </c>
      <c r="E42" s="24">
        <f t="shared" si="23"/>
        <v>2691353.1240442176</v>
      </c>
      <c r="F42" s="25">
        <v>0.225084</v>
      </c>
      <c r="G42" s="24">
        <f t="shared" si="24"/>
        <v>2746135.7283917507</v>
      </c>
      <c r="H42" s="14">
        <v>0.06502398768770279</v>
      </c>
      <c r="I42" s="6">
        <f t="shared" si="44"/>
        <v>0</v>
      </c>
      <c r="J42" s="6">
        <f t="shared" si="25"/>
        <v>0</v>
      </c>
      <c r="K42" s="6">
        <f t="shared" si="26"/>
        <v>0</v>
      </c>
      <c r="L42" s="24">
        <f t="shared" si="27"/>
        <v>793324.6956323235</v>
      </c>
      <c r="M42" s="24">
        <f t="shared" si="28"/>
        <v>9509139.707039958</v>
      </c>
      <c r="N42" s="6">
        <f t="shared" si="29"/>
        <v>0.016255996921925697</v>
      </c>
      <c r="O42" s="6">
        <f t="shared" si="30"/>
        <v>0.016255996921925697</v>
      </c>
      <c r="P42" s="24">
        <f t="shared" si="31"/>
        <v>198331.17390808088</v>
      </c>
      <c r="Q42" s="24"/>
      <c r="R42" s="24">
        <f t="shared" si="32"/>
        <v>12109786.96053651</v>
      </c>
      <c r="S42" s="24">
        <f t="shared" si="33"/>
        <v>14522437.511130858</v>
      </c>
      <c r="T42" s="24">
        <f t="shared" si="34"/>
        <v>15281143.774144288</v>
      </c>
      <c r="U42" s="24">
        <f t="shared" si="1"/>
        <v>15159910.168307554</v>
      </c>
      <c r="V42" s="24">
        <f t="shared" si="2"/>
        <v>17572560.718901902</v>
      </c>
      <c r="W42" s="24">
        <f t="shared" si="3"/>
        <v>18331266.981915332</v>
      </c>
      <c r="X42" s="22"/>
      <c r="Y42" s="3">
        <v>2042221</v>
      </c>
      <c r="Z42" s="4">
        <v>0</v>
      </c>
      <c r="AA42" s="3">
        <v>0</v>
      </c>
      <c r="AB42" s="4">
        <v>1909009</v>
      </c>
      <c r="AC42" s="3">
        <v>1</v>
      </c>
      <c r="AD42" s="3">
        <v>10</v>
      </c>
      <c r="AE42" s="3">
        <v>0</v>
      </c>
      <c r="AF42" s="3">
        <v>0</v>
      </c>
      <c r="AG42" s="3">
        <v>1</v>
      </c>
      <c r="AH42" s="3">
        <v>170</v>
      </c>
      <c r="AI42" s="3">
        <v>1</v>
      </c>
      <c r="AJ42" s="3">
        <v>300</v>
      </c>
      <c r="AK42" s="3">
        <v>1</v>
      </c>
      <c r="AL42" s="3">
        <v>550</v>
      </c>
      <c r="AM42" s="3">
        <v>0</v>
      </c>
      <c r="AN42" s="3">
        <v>0</v>
      </c>
      <c r="AO42" s="4">
        <v>8</v>
      </c>
      <c r="AP42" s="1">
        <v>203</v>
      </c>
      <c r="AQ42" s="1">
        <v>28</v>
      </c>
      <c r="AR42" s="4">
        <v>0</v>
      </c>
      <c r="AS42" s="3">
        <v>138</v>
      </c>
      <c r="AT42" s="3">
        <v>6408</v>
      </c>
      <c r="AU42" s="3">
        <v>3185</v>
      </c>
      <c r="AV42" s="3">
        <v>0</v>
      </c>
      <c r="AW42" s="3">
        <v>9721</v>
      </c>
      <c r="AX42" s="3">
        <v>43</v>
      </c>
      <c r="AY42" s="3">
        <v>24</v>
      </c>
      <c r="AZ42" s="3">
        <v>20</v>
      </c>
      <c r="BA42" s="3">
        <v>3</v>
      </c>
      <c r="BB42" s="3">
        <v>2</v>
      </c>
      <c r="BC42" s="3">
        <v>2</v>
      </c>
      <c r="BD42" s="3">
        <v>4</v>
      </c>
      <c r="BE42" s="3">
        <v>12</v>
      </c>
      <c r="BF42" s="3">
        <v>458000</v>
      </c>
      <c r="BG42" s="4">
        <v>69765</v>
      </c>
      <c r="BH42" s="4">
        <f t="shared" si="4"/>
        <v>1155895.394536509</v>
      </c>
      <c r="BI42" s="4">
        <f t="shared" si="5"/>
        <v>3386581.966</v>
      </c>
      <c r="BJ42" s="4">
        <f t="shared" si="6"/>
        <v>537928</v>
      </c>
      <c r="BK42" s="4">
        <f t="shared" si="7"/>
        <v>3244277</v>
      </c>
      <c r="BL42" s="4">
        <f t="shared" si="8"/>
        <v>2259133.8</v>
      </c>
      <c r="BM42" s="4">
        <f t="shared" si="9"/>
        <v>1456205.8</v>
      </c>
      <c r="BN42" s="4">
        <v>34.679525620506226</v>
      </c>
      <c r="BO42" s="8">
        <f t="shared" si="10"/>
        <v>0.040673640167364015</v>
      </c>
      <c r="BP42" s="4">
        <f t="shared" si="11"/>
        <v>12109786.96053651</v>
      </c>
      <c r="BQ42" s="4">
        <f t="shared" si="12"/>
        <v>14522437.511130858</v>
      </c>
      <c r="BR42" s="4">
        <f t="shared" si="13"/>
        <v>15281143.774144288</v>
      </c>
      <c r="BS42" s="4">
        <v>15947381</v>
      </c>
      <c r="BT42" s="26"/>
      <c r="BU42" s="4">
        <f t="shared" si="35"/>
        <v>9.600442576642955</v>
      </c>
      <c r="BV42" s="4">
        <f t="shared" si="36"/>
        <v>28.127705888744842</v>
      </c>
      <c r="BW42" s="4">
        <f t="shared" si="37"/>
        <v>4.467832382392347</v>
      </c>
      <c r="BX42" s="4">
        <f t="shared" si="38"/>
        <v>26.945773110993837</v>
      </c>
      <c r="BY42" s="4">
        <f t="shared" si="39"/>
        <v>18.76353554341301</v>
      </c>
      <c r="BZ42" s="4">
        <f t="shared" si="40"/>
        <v>12.094710497813002</v>
      </c>
      <c r="CB42" s="4">
        <f t="shared" si="41"/>
        <v>30.85824604122601</v>
      </c>
      <c r="CD42" s="4">
        <f t="shared" si="45"/>
        <v>2.6999223388782134</v>
      </c>
      <c r="CE42" s="4">
        <f t="shared" si="46"/>
        <v>-0.8326508079896513</v>
      </c>
      <c r="CF42" s="4">
        <f t="shared" si="47"/>
        <v>0.26555858340174243</v>
      </c>
      <c r="CG42" s="4">
        <f t="shared" si="48"/>
        <v>-3.4087032689829435</v>
      </c>
      <c r="CH42" s="4">
        <f t="shared" si="49"/>
        <v>-3.6242389640751984</v>
      </c>
      <c r="CI42" s="4">
        <f t="shared" si="50"/>
        <v>4.900112118767835</v>
      </c>
      <c r="CK42" s="4">
        <f t="shared" si="51"/>
        <v>1.2758731546926398</v>
      </c>
      <c r="CL42" s="4">
        <f t="shared" si="52"/>
        <v>0</v>
      </c>
      <c r="CM42" s="4">
        <f t="shared" si="42"/>
        <v>62.2718515346122</v>
      </c>
    </row>
    <row r="43" spans="1:91" ht="15">
      <c r="A43" s="22" t="s">
        <v>108</v>
      </c>
      <c r="B43" s="47">
        <v>1</v>
      </c>
      <c r="C43" s="24">
        <v>2616834.1703832014</v>
      </c>
      <c r="D43" s="6">
        <v>0.5171391168327122</v>
      </c>
      <c r="E43" s="24">
        <f t="shared" si="23"/>
        <v>1353267.311769632</v>
      </c>
      <c r="F43" s="25"/>
      <c r="G43" s="24">
        <f t="shared" si="24"/>
        <v>0</v>
      </c>
      <c r="H43" s="6">
        <v>0.3615694066881969</v>
      </c>
      <c r="I43" s="6">
        <f t="shared" si="44"/>
        <v>0</v>
      </c>
      <c r="J43" s="6">
        <f t="shared" si="25"/>
        <v>0</v>
      </c>
      <c r="K43" s="6">
        <f t="shared" si="26"/>
        <v>0</v>
      </c>
      <c r="L43" s="24">
        <f t="shared" si="27"/>
        <v>946167.1783868541</v>
      </c>
      <c r="M43" s="24">
        <f t="shared" si="28"/>
        <v>1263566.8586135695</v>
      </c>
      <c r="N43" s="6">
        <f t="shared" si="29"/>
        <v>0.09039235167204923</v>
      </c>
      <c r="O43" s="6">
        <f t="shared" si="30"/>
        <v>0.05</v>
      </c>
      <c r="P43" s="24">
        <f t="shared" si="31"/>
        <v>130841.70851916008</v>
      </c>
      <c r="Q43" s="24"/>
      <c r="R43" s="24">
        <f t="shared" si="32"/>
        <v>1781026.5058546225</v>
      </c>
      <c r="S43" s="24">
        <f t="shared" si="33"/>
        <v>1750757.9783606837</v>
      </c>
      <c r="T43" s="24">
        <f t="shared" si="34"/>
        <v>2030545.7287408465</v>
      </c>
      <c r="U43" s="24">
        <f t="shared" si="1"/>
        <v>2435235.048450423</v>
      </c>
      <c r="V43" s="24">
        <f t="shared" si="2"/>
        <v>2404966.520956484</v>
      </c>
      <c r="W43" s="24">
        <f t="shared" si="3"/>
        <v>2684754.2713366468</v>
      </c>
      <c r="X43" s="22"/>
      <c r="Y43" s="3">
        <v>360204</v>
      </c>
      <c r="Z43" s="4">
        <v>0</v>
      </c>
      <c r="AA43" s="4">
        <v>360204</v>
      </c>
      <c r="AB43" s="4">
        <v>0</v>
      </c>
      <c r="AC43" s="3">
        <v>3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4">
        <v>66</v>
      </c>
      <c r="AP43" s="1">
        <v>0</v>
      </c>
      <c r="AQ43" s="1">
        <v>0</v>
      </c>
      <c r="AR43" s="4">
        <v>0</v>
      </c>
      <c r="AS43" s="3">
        <v>0</v>
      </c>
      <c r="AT43" s="3">
        <v>2091</v>
      </c>
      <c r="AU43" s="3">
        <v>0</v>
      </c>
      <c r="AV43" s="3">
        <v>0</v>
      </c>
      <c r="AW43" s="3">
        <v>2091</v>
      </c>
      <c r="AX43" s="3">
        <v>22</v>
      </c>
      <c r="AY43" s="3">
        <v>1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169495</v>
      </c>
      <c r="BH43" s="4">
        <f t="shared" si="4"/>
        <v>229366.8538546222</v>
      </c>
      <c r="BI43" s="4">
        <f t="shared" si="5"/>
        <v>581009.052</v>
      </c>
      <c r="BJ43" s="4">
        <f t="shared" si="6"/>
        <v>106359</v>
      </c>
      <c r="BK43" s="4">
        <f t="shared" si="7"/>
        <v>267102</v>
      </c>
      <c r="BL43" s="4">
        <f t="shared" si="8"/>
        <v>283957.80000000005</v>
      </c>
      <c r="BM43" s="4">
        <f t="shared" si="9"/>
        <v>313231.80000000005</v>
      </c>
      <c r="BN43" s="4">
        <v>22.666945005078084</v>
      </c>
      <c r="BO43" s="8">
        <f t="shared" si="10"/>
        <v>0.03168181818181818</v>
      </c>
      <c r="BP43" s="4">
        <f t="shared" si="11"/>
        <v>1781026.5058546225</v>
      </c>
      <c r="BQ43" s="4">
        <f t="shared" si="12"/>
        <v>1750757.9783606837</v>
      </c>
      <c r="BR43" s="4">
        <f t="shared" si="13"/>
        <v>2030545.7287408465</v>
      </c>
      <c r="BS43" s="4">
        <v>2536894</v>
      </c>
      <c r="BT43" s="26"/>
      <c r="BU43" s="4">
        <f t="shared" si="35"/>
        <v>12.878351506877822</v>
      </c>
      <c r="BV43" s="4">
        <f t="shared" si="36"/>
        <v>32.62214515562214</v>
      </c>
      <c r="BW43" s="4">
        <f t="shared" si="37"/>
        <v>5.971780860665171</v>
      </c>
      <c r="BX43" s="4">
        <f t="shared" si="38"/>
        <v>14.997081689799533</v>
      </c>
      <c r="BY43" s="4">
        <f t="shared" si="39"/>
        <v>15.943490962462874</v>
      </c>
      <c r="BZ43" s="4">
        <f t="shared" si="40"/>
        <v>17.58714982457245</v>
      </c>
      <c r="CB43" s="4">
        <f t="shared" si="41"/>
        <v>33.530640787035324</v>
      </c>
      <c r="CD43" s="4">
        <f t="shared" si="45"/>
        <v>-0.5779865913566535</v>
      </c>
      <c r="CE43" s="4">
        <f t="shared" si="46"/>
        <v>-5.327090074866952</v>
      </c>
      <c r="CF43" s="4">
        <f t="shared" si="47"/>
        <v>-1.2383898948710819</v>
      </c>
      <c r="CG43" s="4">
        <f t="shared" si="48"/>
        <v>8.539988152211361</v>
      </c>
      <c r="CH43" s="4">
        <f t="shared" si="49"/>
        <v>-0.8041943831250631</v>
      </c>
      <c r="CI43" s="4">
        <f t="shared" si="50"/>
        <v>-0.5923272079916124</v>
      </c>
      <c r="CK43" s="4">
        <f t="shared" si="51"/>
        <v>-1.3965215911166737</v>
      </c>
      <c r="CL43" s="4">
        <f t="shared" si="52"/>
        <v>0</v>
      </c>
      <c r="CM43" s="4">
        <f t="shared" si="42"/>
        <v>54.49950333750003</v>
      </c>
    </row>
    <row r="44" spans="1:91" ht="15">
      <c r="A44" s="22" t="s">
        <v>123</v>
      </c>
      <c r="B44" s="47">
        <v>7</v>
      </c>
      <c r="C44" s="23">
        <v>5382068</v>
      </c>
      <c r="D44" s="6">
        <v>0.47460413862893625</v>
      </c>
      <c r="E44" s="24">
        <f t="shared" si="23"/>
        <v>2554351.747182362</v>
      </c>
      <c r="F44" s="25"/>
      <c r="G44" s="24">
        <f t="shared" si="24"/>
        <v>0</v>
      </c>
      <c r="H44" s="6">
        <v>0.32470650392392697</v>
      </c>
      <c r="I44" s="6">
        <f t="shared" si="44"/>
        <v>0</v>
      </c>
      <c r="J44" s="6">
        <f t="shared" si="25"/>
        <v>0</v>
      </c>
      <c r="K44" s="6">
        <f t="shared" si="26"/>
        <v>0</v>
      </c>
      <c r="L44" s="24">
        <f t="shared" si="27"/>
        <v>1747592.4841608417</v>
      </c>
      <c r="M44" s="24">
        <f t="shared" si="28"/>
        <v>2827716.252817638</v>
      </c>
      <c r="N44" s="6">
        <f t="shared" si="29"/>
        <v>0.08117662598098174</v>
      </c>
      <c r="O44" s="6">
        <f t="shared" si="30"/>
        <v>0.05</v>
      </c>
      <c r="P44" s="24">
        <f t="shared" si="31"/>
        <v>269103.4</v>
      </c>
      <c r="Q44" s="24"/>
      <c r="R44" s="24">
        <f t="shared" si="32"/>
        <v>3952147.7727840627</v>
      </c>
      <c r="S44" s="24">
        <f t="shared" si="33"/>
        <v>4869858.357481301</v>
      </c>
      <c r="T44" s="24">
        <f t="shared" si="34"/>
        <v>4445126.641320315</v>
      </c>
      <c r="U44" s="24">
        <f t="shared" si="1"/>
        <v>5297664.772784063</v>
      </c>
      <c r="V44" s="24">
        <f t="shared" si="2"/>
        <v>6215375.357481301</v>
      </c>
      <c r="W44" s="24">
        <f t="shared" si="3"/>
        <v>5790643.641320315</v>
      </c>
      <c r="X44" s="22"/>
      <c r="Y44" s="3">
        <v>788808</v>
      </c>
      <c r="Z44" s="4">
        <v>0</v>
      </c>
      <c r="AA44" s="4">
        <v>776898</v>
      </c>
      <c r="AB44" s="4">
        <v>0</v>
      </c>
      <c r="AC44" s="4">
        <v>3</v>
      </c>
      <c r="AD44" s="4">
        <v>120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89</v>
      </c>
      <c r="AP44" s="1">
        <v>79</v>
      </c>
      <c r="AQ44" s="1">
        <v>0</v>
      </c>
      <c r="AR44" s="4">
        <v>0</v>
      </c>
      <c r="AS44" s="4">
        <v>2099</v>
      </c>
      <c r="AT44" s="4">
        <v>2818</v>
      </c>
      <c r="AU44" s="4">
        <v>0</v>
      </c>
      <c r="AV44" s="4">
        <v>0</v>
      </c>
      <c r="AW44" s="4">
        <v>5132</v>
      </c>
      <c r="AX44" s="4">
        <v>30</v>
      </c>
      <c r="AY44" s="4">
        <v>44</v>
      </c>
      <c r="AZ44" s="4">
        <v>48</v>
      </c>
      <c r="BA44" s="4">
        <v>3</v>
      </c>
      <c r="BB44" s="4">
        <v>3</v>
      </c>
      <c r="BC44" s="4">
        <v>3</v>
      </c>
      <c r="BD44" s="4">
        <v>4</v>
      </c>
      <c r="BE44" s="4">
        <v>15</v>
      </c>
      <c r="BF44" s="4">
        <v>549566</v>
      </c>
      <c r="BH44" s="4">
        <f t="shared" si="4"/>
        <v>476254.0987840628</v>
      </c>
      <c r="BI44" s="4">
        <f t="shared" si="5"/>
        <v>1253136.474</v>
      </c>
      <c r="BJ44" s="4">
        <f t="shared" si="6"/>
        <v>106359</v>
      </c>
      <c r="BK44" s="4">
        <f t="shared" si="7"/>
        <v>679896</v>
      </c>
      <c r="BL44" s="4">
        <f t="shared" si="8"/>
        <v>667728.6000000001</v>
      </c>
      <c r="BM44" s="4">
        <f t="shared" si="9"/>
        <v>768773.6000000001</v>
      </c>
      <c r="BN44" s="4">
        <v>36.51141856498791</v>
      </c>
      <c r="BO44" s="8">
        <f t="shared" si="10"/>
        <v>0.03054761904761905</v>
      </c>
      <c r="BP44" s="4">
        <f t="shared" si="11"/>
        <v>3952147.7727840627</v>
      </c>
      <c r="BQ44" s="4">
        <f t="shared" si="12"/>
        <v>4869858.357481301</v>
      </c>
      <c r="BR44" s="4">
        <f t="shared" si="13"/>
        <v>4445126.641320315</v>
      </c>
      <c r="BS44" s="4">
        <v>5765666</v>
      </c>
      <c r="BT44" s="26"/>
      <c r="BU44" s="4">
        <f t="shared" si="35"/>
        <v>12.050513446478975</v>
      </c>
      <c r="BV44" s="4">
        <f t="shared" si="36"/>
        <v>31.707733264164784</v>
      </c>
      <c r="BW44" s="4">
        <f t="shared" si="37"/>
        <v>2.6911696149730795</v>
      </c>
      <c r="BX44" s="4">
        <f t="shared" si="38"/>
        <v>17.203202893424503</v>
      </c>
      <c r="BY44" s="4">
        <f t="shared" si="39"/>
        <v>16.89533485053934</v>
      </c>
      <c r="BZ44" s="4">
        <f t="shared" si="40"/>
        <v>19.45204593041932</v>
      </c>
      <c r="CB44" s="4">
        <f t="shared" si="41"/>
        <v>36.34738078095866</v>
      </c>
      <c r="CD44" s="4">
        <f t="shared" si="45"/>
        <v>0.24985146904219313</v>
      </c>
      <c r="CE44" s="4">
        <f t="shared" si="46"/>
        <v>-4.412678183409593</v>
      </c>
      <c r="CF44" s="4">
        <f t="shared" si="47"/>
        <v>2.0422213508210096</v>
      </c>
      <c r="CG44" s="4">
        <f t="shared" si="48"/>
        <v>6.33386694858639</v>
      </c>
      <c r="CH44" s="4">
        <f t="shared" si="49"/>
        <v>-1.7560382712015272</v>
      </c>
      <c r="CI44" s="4">
        <f t="shared" si="50"/>
        <v>-2.457223313838483</v>
      </c>
      <c r="CK44" s="4">
        <f t="shared" si="51"/>
        <v>-4.213261585040009</v>
      </c>
      <c r="CL44" s="4">
        <f t="shared" si="52"/>
        <v>0</v>
      </c>
      <c r="CM44" s="4">
        <f t="shared" si="42"/>
        <v>56.24175328935624</v>
      </c>
    </row>
    <row r="45" spans="1:91" ht="15">
      <c r="A45" s="22" t="s">
        <v>147</v>
      </c>
      <c r="B45" s="47">
        <v>7</v>
      </c>
      <c r="C45" s="23">
        <v>6110904</v>
      </c>
      <c r="D45" s="6">
        <v>0.6031050150986108</v>
      </c>
      <c r="E45" s="24">
        <f t="shared" si="23"/>
        <v>3685516.849186161</v>
      </c>
      <c r="F45" s="25"/>
      <c r="G45" s="24">
        <f t="shared" si="24"/>
        <v>0</v>
      </c>
      <c r="H45" s="6">
        <v>0.44753518605482323</v>
      </c>
      <c r="I45" s="6">
        <f t="shared" si="44"/>
        <v>-0.015952029262900798</v>
      </c>
      <c r="J45" s="6">
        <f t="shared" si="25"/>
        <v>-0.008380797373996506</v>
      </c>
      <c r="K45" s="6">
        <f t="shared" si="26"/>
        <v>0.43915438868082673</v>
      </c>
      <c r="L45" s="24">
        <f t="shared" si="27"/>
        <v>2683630.310407219</v>
      </c>
      <c r="M45" s="24">
        <f t="shared" si="28"/>
        <v>2425387.150813839</v>
      </c>
      <c r="N45" s="6">
        <f t="shared" si="29"/>
        <v>0.10978859717020668</v>
      </c>
      <c r="O45" s="6">
        <f t="shared" si="30"/>
        <v>0.05</v>
      </c>
      <c r="P45" s="24">
        <f t="shared" si="31"/>
        <v>305545.2</v>
      </c>
      <c r="Q45" s="28"/>
      <c r="R45" s="24">
        <f t="shared" si="32"/>
        <v>3401908.8990827324</v>
      </c>
      <c r="S45" s="24">
        <f t="shared" si="33"/>
        <v>4069923.063270638</v>
      </c>
      <c r="T45" s="24">
        <f t="shared" si="34"/>
        <v>3897586.174148339</v>
      </c>
      <c r="U45" s="24">
        <f aca="true" t="shared" si="53" ref="U45:U84">R45+(0.25*C45)</f>
        <v>4929634.899082732</v>
      </c>
      <c r="V45" s="24">
        <f aca="true" t="shared" si="54" ref="V45:V84">S45+(0.25*C45)</f>
        <v>5597649.063270638</v>
      </c>
      <c r="W45" s="24">
        <f aca="true" t="shared" si="55" ref="W45:W84">T45+(0.25*C45)</f>
        <v>5425312.174148339</v>
      </c>
      <c r="X45" s="22"/>
      <c r="Y45" s="3">
        <v>535295</v>
      </c>
      <c r="Z45" s="4">
        <v>0</v>
      </c>
      <c r="AA45" s="4">
        <v>535295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70</v>
      </c>
      <c r="AP45" s="1">
        <v>97</v>
      </c>
      <c r="AQ45" s="1">
        <v>0</v>
      </c>
      <c r="AR45" s="4">
        <v>0</v>
      </c>
      <c r="AS45" s="4">
        <v>1786</v>
      </c>
      <c r="AT45" s="4">
        <v>3574</v>
      </c>
      <c r="AU45" s="4">
        <v>0</v>
      </c>
      <c r="AV45" s="4">
        <v>0</v>
      </c>
      <c r="AW45" s="4">
        <v>5360</v>
      </c>
      <c r="AX45" s="4">
        <v>22</v>
      </c>
      <c r="AY45" s="4">
        <v>13</v>
      </c>
      <c r="AZ45" s="4">
        <v>11</v>
      </c>
      <c r="BA45" s="4">
        <v>3</v>
      </c>
      <c r="BB45" s="4">
        <v>3</v>
      </c>
      <c r="BC45" s="4">
        <v>0</v>
      </c>
      <c r="BD45" s="4">
        <v>0</v>
      </c>
      <c r="BE45" s="4">
        <v>5</v>
      </c>
      <c r="BF45" s="4">
        <v>421659</v>
      </c>
      <c r="BH45" s="4">
        <f t="shared" si="4"/>
        <v>331813.06408273237</v>
      </c>
      <c r="BI45" s="4">
        <f t="shared" si="5"/>
        <v>863430.835</v>
      </c>
      <c r="BJ45" s="4">
        <f t="shared" si="6"/>
        <v>0</v>
      </c>
      <c r="BK45" s="4">
        <f t="shared" si="7"/>
        <v>675849</v>
      </c>
      <c r="BL45" s="4">
        <f t="shared" si="8"/>
        <v>727888.0000000001</v>
      </c>
      <c r="BM45" s="4">
        <f t="shared" si="9"/>
        <v>802928.0000000001</v>
      </c>
      <c r="BN45" s="4">
        <v>34.52025039477795</v>
      </c>
      <c r="BO45" s="8">
        <f t="shared" si="10"/>
        <v>0.03209580838323353</v>
      </c>
      <c r="BP45" s="4">
        <f t="shared" si="11"/>
        <v>3401908.8990827324</v>
      </c>
      <c r="BQ45" s="4">
        <f t="shared" si="12"/>
        <v>4069923.063270638</v>
      </c>
      <c r="BR45" s="4">
        <f t="shared" si="13"/>
        <v>3897586.174148339</v>
      </c>
      <c r="BS45" s="4">
        <v>4326874</v>
      </c>
      <c r="BT45" s="26"/>
      <c r="BU45" s="4">
        <f t="shared" si="35"/>
        <v>9.753731623213078</v>
      </c>
      <c r="BV45" s="4">
        <f t="shared" si="36"/>
        <v>25.380774753633457</v>
      </c>
      <c r="BW45" s="4">
        <f t="shared" si="37"/>
        <v>0</v>
      </c>
      <c r="BX45" s="4">
        <f t="shared" si="38"/>
        <v>19.866757754219442</v>
      </c>
      <c r="BY45" s="4">
        <f t="shared" si="39"/>
        <v>21.396457741600987</v>
      </c>
      <c r="BZ45" s="4">
        <f t="shared" si="40"/>
        <v>23.602278127333047</v>
      </c>
      <c r="CB45" s="4">
        <f t="shared" si="41"/>
        <v>44.998735868934034</v>
      </c>
      <c r="CD45" s="4">
        <f t="shared" si="45"/>
        <v>2.5466332923080905</v>
      </c>
      <c r="CE45" s="4">
        <f t="shared" si="46"/>
        <v>1.914280327121734</v>
      </c>
      <c r="CF45" s="4">
        <f t="shared" si="47"/>
        <v>4.733390965794089</v>
      </c>
      <c r="CG45" s="4">
        <f t="shared" si="48"/>
        <v>3.6703120877914515</v>
      </c>
      <c r="CH45" s="4">
        <f t="shared" si="49"/>
        <v>-6.257161162263175</v>
      </c>
      <c r="CI45" s="4">
        <f t="shared" si="50"/>
        <v>-6.60745551075221</v>
      </c>
      <c r="CK45" s="4">
        <f t="shared" si="51"/>
        <v>-12.864616673015384</v>
      </c>
      <c r="CL45" s="4">
        <f t="shared" si="52"/>
        <v>-0.8380797373996507</v>
      </c>
      <c r="CM45" s="4">
        <f t="shared" si="42"/>
        <v>64.86549362315348</v>
      </c>
    </row>
    <row r="46" spans="1:91" ht="15">
      <c r="A46" s="22" t="s">
        <v>165</v>
      </c>
      <c r="B46" s="47">
        <v>1</v>
      </c>
      <c r="C46" s="24">
        <v>1323763.2326577595</v>
      </c>
      <c r="D46" s="6">
        <v>0.2842398531817586</v>
      </c>
      <c r="E46" s="24">
        <f aca="true" t="shared" si="56" ref="E46:E86">C46*D46</f>
        <v>376266.2668980517</v>
      </c>
      <c r="F46" s="25"/>
      <c r="G46" s="24">
        <f aca="true" t="shared" si="57" ref="G46:G86">C46*F46</f>
        <v>0</v>
      </c>
      <c r="H46" s="6">
        <v>0.12866990661706368</v>
      </c>
      <c r="I46" s="6">
        <f t="shared" si="44"/>
        <v>0</v>
      </c>
      <c r="J46" s="6">
        <f aca="true" t="shared" si="58" ref="J46:J86">CL46/100</f>
        <v>0</v>
      </c>
      <c r="K46" s="6">
        <f t="shared" si="26"/>
        <v>0</v>
      </c>
      <c r="L46" s="24">
        <f aca="true" t="shared" si="59" ref="L46:L86">IF(J46&lt;0,(H46+J46)*C46,H46*C46)</f>
        <v>170328.49152917624</v>
      </c>
      <c r="M46" s="24">
        <f aca="true" t="shared" si="60" ref="M46:M86">IF(D46&gt;0,C46-E46,"Over front")</f>
        <v>947496.9657597077</v>
      </c>
      <c r="N46" s="6">
        <f aca="true" t="shared" si="61" ref="N46:N86">IF(J46&lt;0,(H46+J46)/4,H46/4)</f>
        <v>0.03216747665426592</v>
      </c>
      <c r="O46" s="6">
        <f aca="true" t="shared" si="62" ref="O46:O86">IF(N46&gt;0.05,0.05,IF(N46&gt;0.01,N46,0))</f>
        <v>0.03216747665426592</v>
      </c>
      <c r="P46" s="24">
        <f aca="true" t="shared" si="63" ref="P46:P86">C46*O46</f>
        <v>42582.12288229406</v>
      </c>
      <c r="Q46" s="28"/>
      <c r="R46" s="24">
        <f aca="true" t="shared" si="64" ref="R46:R86">BP46</f>
        <v>1467799.7585915804</v>
      </c>
      <c r="S46" s="24">
        <f aca="true" t="shared" si="65" ref="S46:S86">BQ46</f>
        <v>1362364.7698183185</v>
      </c>
      <c r="T46" s="24">
        <f aca="true" t="shared" si="66" ref="T46:T86">BR46</f>
        <v>1522623.03319617</v>
      </c>
      <c r="U46" s="24">
        <f t="shared" si="53"/>
        <v>1798740.5667560203</v>
      </c>
      <c r="V46" s="24">
        <f t="shared" si="54"/>
        <v>1693305.5779827584</v>
      </c>
      <c r="W46" s="24">
        <f t="shared" si="55"/>
        <v>1853563.84136061</v>
      </c>
      <c r="X46" s="22"/>
      <c r="Y46" s="3">
        <v>239620</v>
      </c>
      <c r="Z46" s="4">
        <v>0</v>
      </c>
      <c r="AA46" s="4">
        <v>0</v>
      </c>
      <c r="AB46" s="3">
        <v>234443</v>
      </c>
      <c r="AC46" s="3">
        <v>1</v>
      </c>
      <c r="AD46" s="3">
        <v>25</v>
      </c>
      <c r="AE46" s="3">
        <v>1</v>
      </c>
      <c r="AF46" s="3">
        <v>55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4">
        <f>25624/1000</f>
        <v>25.624</v>
      </c>
      <c r="AP46" s="1">
        <f>49950/1000</f>
        <v>49.95</v>
      </c>
      <c r="AQ46" s="1">
        <v>0</v>
      </c>
      <c r="AR46" s="4">
        <v>0</v>
      </c>
      <c r="AS46" s="3">
        <v>81</v>
      </c>
      <c r="AT46" s="3">
        <v>1572</v>
      </c>
      <c r="AU46" s="3">
        <v>0</v>
      </c>
      <c r="AV46" s="3">
        <v>0</v>
      </c>
      <c r="AW46" s="3">
        <v>1821</v>
      </c>
      <c r="AX46" s="3">
        <v>6</v>
      </c>
      <c r="AY46" s="3">
        <v>3</v>
      </c>
      <c r="AZ46" s="3">
        <v>4</v>
      </c>
      <c r="BA46" s="3">
        <v>1</v>
      </c>
      <c r="BB46" s="3">
        <v>1</v>
      </c>
      <c r="BC46" s="3">
        <v>1</v>
      </c>
      <c r="BD46" s="3">
        <v>1</v>
      </c>
      <c r="BE46" s="3">
        <v>0</v>
      </c>
      <c r="BF46" s="3">
        <v>84530</v>
      </c>
      <c r="BH46" s="4">
        <f aca="true" t="shared" si="67" ref="BH46:BH85">1.518*(Y46)^0.9321</f>
        <v>156864.69859158027</v>
      </c>
      <c r="BI46" s="4">
        <f aca="true" t="shared" si="68" ref="BI46:BI85">0.748*Z46+1.613*AA46+1.774*AB46</f>
        <v>415901.882</v>
      </c>
      <c r="BJ46" s="4">
        <f aca="true" t="shared" si="69" ref="BJ46:BJ85">35453*AC46+56469*AE46+144773*AG46+178851*(AI46+AK46)+440*AN46</f>
        <v>91922</v>
      </c>
      <c r="BK46" s="4">
        <f aca="true" t="shared" si="70" ref="BK46:BK85">4047*(AO46+AP46)+85370*(AQ46+AR46)</f>
        <v>305847.978</v>
      </c>
      <c r="BL46" s="4">
        <f aca="true" t="shared" si="71" ref="BL46:BL85">135.8*(AS46+AT46)+430.2*AU46+1208.1*AV46</f>
        <v>224477.40000000002</v>
      </c>
      <c r="BM46" s="4">
        <f aca="true" t="shared" si="72" ref="BM46:BM85">149.8*AW46</f>
        <v>272785.80000000005</v>
      </c>
      <c r="BN46" s="4">
        <v>19.620444576383747</v>
      </c>
      <c r="BO46" s="8">
        <f aca="true" t="shared" si="73" ref="BO46:BO85">AW46/(SUM(AO46:AR46)*1000)</f>
        <v>0.024095588429883293</v>
      </c>
      <c r="BP46" s="4">
        <f aca="true" t="shared" si="74" ref="BP46:BP85">SUM(BG46:BM46)</f>
        <v>1467799.7585915804</v>
      </c>
      <c r="BQ46" s="4">
        <f aca="true" t="shared" si="75" ref="BQ46:BQ85">(0.575+0.018*BN46)*BP46</f>
        <v>1362364.7698183185</v>
      </c>
      <c r="BR46" s="4">
        <f aca="true" t="shared" si="76" ref="BR46:BR85">(0.711+13.544*BO46)*BP46</f>
        <v>1522623.03319617</v>
      </c>
      <c r="BS46" s="4">
        <v>1426639</v>
      </c>
      <c r="BT46" s="26"/>
      <c r="BU46" s="4">
        <f aca="true" t="shared" si="77" ref="BU46:BU86">(BH46/(SUM($BH46:$BM46)))*100</f>
        <v>10.687063931806268</v>
      </c>
      <c r="BV46" s="4">
        <f aca="true" t="shared" si="78" ref="BV46:BV86">(BI46/(SUM($BH46:$BM46)))*100</f>
        <v>28.33505589339219</v>
      </c>
      <c r="BW46" s="4">
        <f aca="true" t="shared" si="79" ref="BW46:BW86">(BJ46/(SUM($BH46:$BM46)))*100</f>
        <v>6.262570862404507</v>
      </c>
      <c r="BX46" s="4">
        <f aca="true" t="shared" si="80" ref="BX46:BX86">(BK46/(SUM($BH46:$BM46)))*100</f>
        <v>20.8371732049796</v>
      </c>
      <c r="BY46" s="4">
        <f aca="true" t="shared" si="81" ref="BY46:BY86">(BL46/(SUM($BH46:$BM46)))*100</f>
        <v>15.293462114709444</v>
      </c>
      <c r="BZ46" s="4">
        <f aca="true" t="shared" si="82" ref="BZ46:BZ86">(BM46/(SUM($BH46:$BM46)))*100</f>
        <v>18.584673992707987</v>
      </c>
      <c r="CB46" s="4">
        <f aca="true" t="shared" si="83" ref="CB46:CB86">BY46+BZ46</f>
        <v>33.87813610741743</v>
      </c>
      <c r="CD46" s="4">
        <f t="shared" si="45"/>
        <v>1.6133009837149004</v>
      </c>
      <c r="CE46" s="4">
        <f t="shared" si="46"/>
        <v>-1.0400008126370004</v>
      </c>
      <c r="CF46" s="4">
        <f t="shared" si="47"/>
        <v>-1.529179896610418</v>
      </c>
      <c r="CG46" s="4">
        <f t="shared" si="48"/>
        <v>2.6998966370312942</v>
      </c>
      <c r="CH46" s="4">
        <f t="shared" si="49"/>
        <v>-0.15416553537163225</v>
      </c>
      <c r="CI46" s="4">
        <f t="shared" si="50"/>
        <v>-1.5898513761271502</v>
      </c>
      <c r="CK46" s="4">
        <f t="shared" si="51"/>
        <v>-1.7440169114987825</v>
      </c>
      <c r="CL46" s="4">
        <f t="shared" si="52"/>
        <v>0</v>
      </c>
      <c r="CM46" s="4">
        <f aca="true" t="shared" si="84" ref="CM46:CM86">SUM(BW46:BZ46)</f>
        <v>60.97788017480154</v>
      </c>
    </row>
    <row r="47" spans="1:91" ht="15">
      <c r="A47" s="22" t="s">
        <v>103</v>
      </c>
      <c r="B47" s="47">
        <v>1</v>
      </c>
      <c r="C47" s="24">
        <v>1539404</v>
      </c>
      <c r="D47" s="58">
        <v>0.10045219</v>
      </c>
      <c r="E47" s="24">
        <f t="shared" si="56"/>
        <v>154636.50309476</v>
      </c>
      <c r="F47" s="25"/>
      <c r="G47" s="24">
        <f t="shared" si="57"/>
        <v>0</v>
      </c>
      <c r="H47" s="6">
        <v>0</v>
      </c>
      <c r="I47" s="6">
        <f t="shared" si="44"/>
        <v>0</v>
      </c>
      <c r="J47" s="6">
        <f t="shared" si="58"/>
        <v>0</v>
      </c>
      <c r="K47" s="6">
        <f aca="true" t="shared" si="85" ref="K47:K86">IF(J47&lt;0,H47+J47,0)</f>
        <v>0</v>
      </c>
      <c r="L47" s="24">
        <f t="shared" si="59"/>
        <v>0</v>
      </c>
      <c r="M47" s="24">
        <f t="shared" si="60"/>
        <v>1384767.49690524</v>
      </c>
      <c r="N47" s="6">
        <f t="shared" si="61"/>
        <v>0</v>
      </c>
      <c r="O47" s="6">
        <f t="shared" si="62"/>
        <v>0</v>
      </c>
      <c r="P47" s="24">
        <f t="shared" si="63"/>
        <v>0</v>
      </c>
      <c r="Q47" s="33"/>
      <c r="R47" s="24">
        <f t="shared" si="64"/>
        <v>1643253.8855393713</v>
      </c>
      <c r="S47" s="24">
        <f t="shared" si="65"/>
        <v>1732041.0694165723</v>
      </c>
      <c r="T47" s="24">
        <f t="shared" si="66"/>
        <v>2225314.502901526</v>
      </c>
      <c r="U47" s="24">
        <f t="shared" si="53"/>
        <v>2028104.8855393713</v>
      </c>
      <c r="V47" s="24">
        <f t="shared" si="54"/>
        <v>2116892.0694165723</v>
      </c>
      <c r="W47" s="24">
        <f t="shared" si="55"/>
        <v>2610165.502901526</v>
      </c>
      <c r="X47" s="22"/>
      <c r="Y47" s="3">
        <v>360536</v>
      </c>
      <c r="Z47" s="4">
        <v>0</v>
      </c>
      <c r="AA47" s="4">
        <v>331045</v>
      </c>
      <c r="AB47" s="4">
        <v>0</v>
      </c>
      <c r="AC47" s="3">
        <v>1</v>
      </c>
      <c r="AD47" s="3">
        <v>5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4">
        <v>0</v>
      </c>
      <c r="AP47" s="1">
        <v>53</v>
      </c>
      <c r="AQ47" s="1">
        <v>0</v>
      </c>
      <c r="AR47" s="4">
        <v>0</v>
      </c>
      <c r="AS47" s="3">
        <v>0</v>
      </c>
      <c r="AT47" s="3">
        <v>1861</v>
      </c>
      <c r="AU47" s="3">
        <v>0</v>
      </c>
      <c r="AV47" s="3">
        <v>0</v>
      </c>
      <c r="AW47" s="3">
        <v>2517</v>
      </c>
      <c r="AX47" s="3">
        <v>11</v>
      </c>
      <c r="AY47" s="3">
        <v>2</v>
      </c>
      <c r="AZ47" s="3">
        <v>6</v>
      </c>
      <c r="BA47" s="3">
        <v>4</v>
      </c>
      <c r="BB47" s="3">
        <v>1</v>
      </c>
      <c r="BC47" s="3">
        <v>1</v>
      </c>
      <c r="BD47" s="3">
        <v>1</v>
      </c>
      <c r="BE47" s="3">
        <v>4</v>
      </c>
      <c r="BF47" s="3">
        <v>174368</v>
      </c>
      <c r="BH47" s="4">
        <f t="shared" si="67"/>
        <v>229563.9005393713</v>
      </c>
      <c r="BI47" s="4">
        <f t="shared" si="68"/>
        <v>533975.585</v>
      </c>
      <c r="BJ47" s="4">
        <f t="shared" si="69"/>
        <v>35453</v>
      </c>
      <c r="BK47" s="4">
        <f t="shared" si="70"/>
        <v>214491</v>
      </c>
      <c r="BL47" s="4">
        <f t="shared" si="71"/>
        <v>252723.80000000002</v>
      </c>
      <c r="BM47" s="4">
        <f t="shared" si="72"/>
        <v>377046.60000000003</v>
      </c>
      <c r="BN47" s="4">
        <v>26.61285135947944</v>
      </c>
      <c r="BO47" s="8">
        <f t="shared" si="73"/>
        <v>0.04749056603773585</v>
      </c>
      <c r="BP47" s="4">
        <f t="shared" si="74"/>
        <v>1643253.8855393713</v>
      </c>
      <c r="BQ47" s="4">
        <f t="shared" si="75"/>
        <v>1732041.0694165723</v>
      </c>
      <c r="BR47" s="4">
        <f t="shared" si="76"/>
        <v>2225314.502901526</v>
      </c>
      <c r="BS47" s="4">
        <v>1963577</v>
      </c>
      <c r="BT47" s="26"/>
      <c r="BU47" s="4">
        <f t="shared" si="77"/>
        <v>13.97008110308047</v>
      </c>
      <c r="BV47" s="4">
        <f t="shared" si="78"/>
        <v>32.49501429444246</v>
      </c>
      <c r="BW47" s="4">
        <f t="shared" si="79"/>
        <v>2.1574876719894767</v>
      </c>
      <c r="BX47" s="4">
        <f t="shared" si="80"/>
        <v>13.052821714740498</v>
      </c>
      <c r="BY47" s="4">
        <f t="shared" si="81"/>
        <v>15.37947375168065</v>
      </c>
      <c r="BZ47" s="4">
        <f t="shared" si="82"/>
        <v>22.94512146406644</v>
      </c>
      <c r="CB47" s="4">
        <f t="shared" si="83"/>
        <v>38.32459521574709</v>
      </c>
      <c r="CD47" s="4">
        <f t="shared" si="45"/>
        <v>-1.6697161875593025</v>
      </c>
      <c r="CE47" s="4">
        <f t="shared" si="46"/>
        <v>-5.199959213687272</v>
      </c>
      <c r="CF47" s="4">
        <f t="shared" si="47"/>
        <v>2.5759032938046125</v>
      </c>
      <c r="CG47" s="4">
        <f t="shared" si="48"/>
        <v>10.484248127270396</v>
      </c>
      <c r="CH47" s="4">
        <f t="shared" si="49"/>
        <v>-0.24017717234283786</v>
      </c>
      <c r="CI47" s="4">
        <f t="shared" si="50"/>
        <v>-5.950298847485602</v>
      </c>
      <c r="CK47" s="4">
        <f t="shared" si="51"/>
        <v>-6.190476019828438</v>
      </c>
      <c r="CL47" s="4">
        <f t="shared" si="52"/>
        <v>0</v>
      </c>
      <c r="CM47" s="4">
        <f t="shared" si="84"/>
        <v>53.53490460247706</v>
      </c>
    </row>
    <row r="48" spans="1:91" ht="15">
      <c r="A48" s="22" t="s">
        <v>169</v>
      </c>
      <c r="B48" s="47">
        <v>3</v>
      </c>
      <c r="C48" s="24">
        <v>1053406.7145189126</v>
      </c>
      <c r="D48" s="6">
        <v>0</v>
      </c>
      <c r="E48" s="24">
        <f t="shared" si="56"/>
        <v>0</v>
      </c>
      <c r="F48" s="25"/>
      <c r="G48" s="24">
        <f t="shared" si="57"/>
        <v>0</v>
      </c>
      <c r="H48" s="6">
        <v>0</v>
      </c>
      <c r="I48" s="6">
        <f t="shared" si="44"/>
        <v>0</v>
      </c>
      <c r="J48" s="6">
        <f t="shared" si="58"/>
        <v>0</v>
      </c>
      <c r="K48" s="6">
        <f t="shared" si="85"/>
        <v>0</v>
      </c>
      <c r="L48" s="24">
        <f t="shared" si="59"/>
        <v>0</v>
      </c>
      <c r="M48" s="4">
        <v>1428397</v>
      </c>
      <c r="N48" s="6">
        <f t="shared" si="61"/>
        <v>0</v>
      </c>
      <c r="O48" s="6">
        <f t="shared" si="62"/>
        <v>0</v>
      </c>
      <c r="P48" s="24">
        <f t="shared" si="63"/>
        <v>0</v>
      </c>
      <c r="Q48" s="24"/>
      <c r="R48" s="24">
        <f t="shared" si="64"/>
        <v>2231891.3492623214</v>
      </c>
      <c r="S48" s="24">
        <f t="shared" si="65"/>
        <v>2500513.2516996274</v>
      </c>
      <c r="T48" s="24">
        <f t="shared" si="66"/>
        <v>1853576.385968333</v>
      </c>
      <c r="U48" s="24">
        <f t="shared" si="53"/>
        <v>2495243.0278920494</v>
      </c>
      <c r="V48" s="24">
        <f t="shared" si="54"/>
        <v>2763864.9303293554</v>
      </c>
      <c r="W48" s="24">
        <f t="shared" si="55"/>
        <v>2116928.064598061</v>
      </c>
      <c r="X48" s="22"/>
      <c r="Y48" s="3">
        <v>548958</v>
      </c>
      <c r="Z48" s="4">
        <v>0</v>
      </c>
      <c r="AA48" s="3">
        <v>510727</v>
      </c>
      <c r="AB48" s="4">
        <v>0</v>
      </c>
      <c r="AC48" s="4">
        <v>1</v>
      </c>
      <c r="AD48" s="4">
        <v>30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143</v>
      </c>
      <c r="AP48" s="1">
        <v>15</v>
      </c>
      <c r="AQ48" s="1">
        <v>0</v>
      </c>
      <c r="AR48" s="4">
        <v>0</v>
      </c>
      <c r="AS48" s="4">
        <v>300</v>
      </c>
      <c r="AT48" s="4">
        <v>1060</v>
      </c>
      <c r="AU48" s="4">
        <v>0</v>
      </c>
      <c r="AV48" s="4">
        <v>0</v>
      </c>
      <c r="AW48" s="4">
        <v>1394</v>
      </c>
      <c r="AX48" s="4">
        <v>7</v>
      </c>
      <c r="AY48" s="4">
        <v>6</v>
      </c>
      <c r="AZ48" s="4">
        <v>3</v>
      </c>
      <c r="BA48" s="4">
        <v>2</v>
      </c>
      <c r="BB48" s="4">
        <v>1</v>
      </c>
      <c r="BC48" s="4">
        <v>2</v>
      </c>
      <c r="BD48" s="4">
        <v>2</v>
      </c>
      <c r="BE48" s="4">
        <v>1</v>
      </c>
      <c r="BF48" s="4">
        <v>190302</v>
      </c>
      <c r="BH48" s="4">
        <f t="shared" si="67"/>
        <v>339700.4982623211</v>
      </c>
      <c r="BI48" s="4">
        <f t="shared" si="68"/>
        <v>823802.651</v>
      </c>
      <c r="BJ48" s="4">
        <f t="shared" si="69"/>
        <v>35453</v>
      </c>
      <c r="BK48" s="4">
        <f t="shared" si="70"/>
        <v>639426</v>
      </c>
      <c r="BL48" s="4">
        <f t="shared" si="71"/>
        <v>184688.00000000003</v>
      </c>
      <c r="BM48" s="4">
        <f t="shared" si="72"/>
        <v>208821.2</v>
      </c>
      <c r="BN48" s="4">
        <v>30.29756519375597</v>
      </c>
      <c r="BO48" s="8">
        <f t="shared" si="73"/>
        <v>0.008822784810126582</v>
      </c>
      <c r="BP48" s="4">
        <f t="shared" si="74"/>
        <v>2231891.3492623214</v>
      </c>
      <c r="BQ48" s="4">
        <f t="shared" si="75"/>
        <v>2500513.2516996274</v>
      </c>
      <c r="BR48" s="4">
        <f t="shared" si="76"/>
        <v>1853576.385968333</v>
      </c>
      <c r="BS48" s="4">
        <v>850268</v>
      </c>
      <c r="BT48" s="26"/>
      <c r="BU48" s="4">
        <f t="shared" si="77"/>
        <v>15.22029727722176</v>
      </c>
      <c r="BV48" s="4">
        <f t="shared" si="78"/>
        <v>36.91051767695954</v>
      </c>
      <c r="BW48" s="4">
        <f t="shared" si="79"/>
        <v>1.5884733820809793</v>
      </c>
      <c r="BX48" s="4">
        <f t="shared" si="80"/>
        <v>28.649512899063893</v>
      </c>
      <c r="BY48" s="4">
        <f t="shared" si="81"/>
        <v>8.27495478492009</v>
      </c>
      <c r="BZ48" s="4">
        <f t="shared" si="82"/>
        <v>9.356243979753721</v>
      </c>
      <c r="CB48" s="4">
        <f t="shared" si="83"/>
        <v>17.63119876467381</v>
      </c>
      <c r="CD48" s="4">
        <f t="shared" si="45"/>
        <v>-2.9199323617005923</v>
      </c>
      <c r="CE48" s="4">
        <f t="shared" si="46"/>
        <v>-9.615462596204353</v>
      </c>
      <c r="CF48" s="4">
        <f t="shared" si="47"/>
        <v>3.14491758371311</v>
      </c>
      <c r="CG48" s="4">
        <f t="shared" si="48"/>
        <v>-5.1124430570529995</v>
      </c>
      <c r="CH48" s="4">
        <f t="shared" si="49"/>
        <v>6.8643417944177205</v>
      </c>
      <c r="CI48" s="4">
        <f t="shared" si="50"/>
        <v>7.638578636827116</v>
      </c>
      <c r="CK48" s="4">
        <f t="shared" si="51"/>
        <v>14.502920431244839</v>
      </c>
      <c r="CL48" s="4">
        <f t="shared" si="52"/>
        <v>0</v>
      </c>
      <c r="CM48" s="4">
        <f t="shared" si="84"/>
        <v>47.86918504581869</v>
      </c>
    </row>
    <row r="49" spans="1:91" ht="15">
      <c r="A49" s="22" t="s">
        <v>86</v>
      </c>
      <c r="B49" s="47">
        <v>3</v>
      </c>
      <c r="C49" s="24">
        <v>9116383.35</v>
      </c>
      <c r="D49" s="6">
        <v>0.5845135155547597</v>
      </c>
      <c r="E49" s="24">
        <f t="shared" si="56"/>
        <v>5328649.281053377</v>
      </c>
      <c r="F49" s="25"/>
      <c r="G49" s="24">
        <f t="shared" si="57"/>
        <v>0</v>
      </c>
      <c r="H49" s="6">
        <v>0.42894366944610884</v>
      </c>
      <c r="I49" s="6">
        <f t="shared" si="44"/>
        <v>0</v>
      </c>
      <c r="J49" s="6">
        <f t="shared" si="58"/>
        <v>0</v>
      </c>
      <c r="K49" s="6">
        <f t="shared" si="85"/>
        <v>0</v>
      </c>
      <c r="L49" s="24">
        <f t="shared" si="59"/>
        <v>3910414.92622641</v>
      </c>
      <c r="M49" s="24">
        <f t="shared" si="60"/>
        <v>3787734.0689466223</v>
      </c>
      <c r="N49" s="6">
        <f t="shared" si="61"/>
        <v>0.10723591736152721</v>
      </c>
      <c r="O49" s="6">
        <f t="shared" si="62"/>
        <v>0.05</v>
      </c>
      <c r="P49" s="24">
        <f t="shared" si="63"/>
        <v>455819.1675</v>
      </c>
      <c r="Q49" s="24"/>
      <c r="R49" s="24">
        <f t="shared" si="64"/>
        <v>4311827.6</v>
      </c>
      <c r="S49" s="24">
        <f t="shared" si="65"/>
        <v>5558871.718320725</v>
      </c>
      <c r="T49" s="24">
        <f t="shared" si="66"/>
        <v>6086871.126008744</v>
      </c>
      <c r="U49" s="24">
        <f t="shared" si="53"/>
        <v>6590923.4375</v>
      </c>
      <c r="V49" s="24">
        <f t="shared" si="54"/>
        <v>7837967.555820724</v>
      </c>
      <c r="W49" s="24">
        <f t="shared" si="55"/>
        <v>8365966.963508744</v>
      </c>
      <c r="X49" s="22"/>
      <c r="Z49" s="4">
        <v>0</v>
      </c>
      <c r="AA49" s="4">
        <v>0</v>
      </c>
      <c r="AB49" s="4">
        <v>0</v>
      </c>
      <c r="AC49" s="3">
        <v>0</v>
      </c>
      <c r="AD49" s="3">
        <v>0</v>
      </c>
      <c r="AE49" s="3">
        <v>1</v>
      </c>
      <c r="AF49" s="3">
        <v>100</v>
      </c>
      <c r="AG49" s="3">
        <v>1</v>
      </c>
      <c r="AH49" s="3">
        <v>200</v>
      </c>
      <c r="AI49" s="3">
        <v>0</v>
      </c>
      <c r="AJ49" s="3">
        <v>0</v>
      </c>
      <c r="AK49" s="3">
        <v>1</v>
      </c>
      <c r="AL49" s="3">
        <v>600</v>
      </c>
      <c r="AM49" s="3">
        <v>0</v>
      </c>
      <c r="AN49" s="3">
        <v>0</v>
      </c>
      <c r="AO49" s="4">
        <v>7</v>
      </c>
      <c r="AP49" s="1">
        <v>88</v>
      </c>
      <c r="AQ49" s="1">
        <v>21</v>
      </c>
      <c r="AR49" s="4">
        <v>0</v>
      </c>
      <c r="AS49" s="3">
        <v>138</v>
      </c>
      <c r="AT49" s="3">
        <v>4255</v>
      </c>
      <c r="AU49" s="3">
        <v>602</v>
      </c>
      <c r="AV49" s="3">
        <v>0</v>
      </c>
      <c r="AW49" s="3">
        <v>6001</v>
      </c>
      <c r="AX49" s="3">
        <v>17</v>
      </c>
      <c r="AY49" s="3">
        <v>9</v>
      </c>
      <c r="AZ49" s="3">
        <v>20</v>
      </c>
      <c r="BA49" s="3">
        <v>0</v>
      </c>
      <c r="BB49" s="3">
        <v>6</v>
      </c>
      <c r="BC49" s="3">
        <v>1</v>
      </c>
      <c r="BD49" s="3">
        <v>0</v>
      </c>
      <c r="BE49" s="3">
        <v>0</v>
      </c>
      <c r="BF49" s="3">
        <v>155000</v>
      </c>
      <c r="BH49" s="4">
        <f t="shared" si="67"/>
        <v>0</v>
      </c>
      <c r="BI49" s="4">
        <f t="shared" si="68"/>
        <v>0</v>
      </c>
      <c r="BJ49" s="4">
        <f t="shared" si="69"/>
        <v>380093</v>
      </c>
      <c r="BK49" s="4">
        <f t="shared" si="70"/>
        <v>2177235</v>
      </c>
      <c r="BL49" s="4">
        <f t="shared" si="71"/>
        <v>855549.8</v>
      </c>
      <c r="BM49" s="4">
        <f t="shared" si="72"/>
        <v>898949.8</v>
      </c>
      <c r="BN49" s="4">
        <v>39.678596925153364</v>
      </c>
      <c r="BO49" s="8">
        <f t="shared" si="73"/>
        <v>0.051732758620689656</v>
      </c>
      <c r="BP49" s="4">
        <f t="shared" si="74"/>
        <v>4311827.6</v>
      </c>
      <c r="BQ49" s="4">
        <f t="shared" si="75"/>
        <v>5558871.718320725</v>
      </c>
      <c r="BR49" s="4">
        <f t="shared" si="76"/>
        <v>6086871.126008744</v>
      </c>
      <c r="BS49" s="4">
        <v>8462751</v>
      </c>
      <c r="BT49" s="26"/>
      <c r="BU49" s="4">
        <f t="shared" si="77"/>
        <v>0</v>
      </c>
      <c r="BV49" s="4">
        <f t="shared" si="78"/>
        <v>0</v>
      </c>
      <c r="BW49" s="4">
        <f t="shared" si="79"/>
        <v>8.815125168733557</v>
      </c>
      <c r="BX49" s="4">
        <f t="shared" si="80"/>
        <v>50.49448173670024</v>
      </c>
      <c r="BY49" s="4">
        <f t="shared" si="81"/>
        <v>19.84192967269842</v>
      </c>
      <c r="BZ49" s="4">
        <f t="shared" si="82"/>
        <v>20.848463421867798</v>
      </c>
      <c r="CB49" s="4">
        <f t="shared" si="83"/>
        <v>40.69039309456622</v>
      </c>
      <c r="CD49" s="4">
        <f t="shared" si="45"/>
        <v>12.300364915521168</v>
      </c>
      <c r="CE49" s="4">
        <f t="shared" si="46"/>
        <v>27.29505508075519</v>
      </c>
      <c r="CF49" s="4">
        <f t="shared" si="47"/>
        <v>-4.081734202939468</v>
      </c>
      <c r="CG49" s="4">
        <f t="shared" si="48"/>
        <v>-26.957411894689344</v>
      </c>
      <c r="CH49" s="4">
        <f t="shared" si="49"/>
        <v>-4.702633093360609</v>
      </c>
      <c r="CI49" s="4">
        <f t="shared" si="50"/>
        <v>-3.853640805286961</v>
      </c>
      <c r="CK49" s="4">
        <f t="shared" si="51"/>
        <v>-8.556273898647568</v>
      </c>
      <c r="CL49" s="4">
        <f t="shared" si="52"/>
        <v>0</v>
      </c>
      <c r="CM49" s="4">
        <f t="shared" si="84"/>
        <v>100</v>
      </c>
    </row>
    <row r="50" spans="1:91" ht="15">
      <c r="A50" s="22" t="s">
        <v>91</v>
      </c>
      <c r="B50" s="47">
        <v>7</v>
      </c>
      <c r="C50" s="23">
        <v>9908954</v>
      </c>
      <c r="D50" s="6">
        <v>0.5124475757855095</v>
      </c>
      <c r="E50" s="24">
        <f t="shared" si="56"/>
        <v>5077819.455870127</v>
      </c>
      <c r="F50" s="25"/>
      <c r="G50" s="24">
        <f t="shared" si="57"/>
        <v>0</v>
      </c>
      <c r="H50" s="6">
        <v>0.3568777781415706</v>
      </c>
      <c r="I50" s="6">
        <f t="shared" si="44"/>
        <v>0</v>
      </c>
      <c r="J50" s="6">
        <f t="shared" si="58"/>
        <v>0</v>
      </c>
      <c r="K50" s="6">
        <f t="shared" si="85"/>
        <v>0</v>
      </c>
      <c r="L50" s="24">
        <f t="shared" si="59"/>
        <v>3536285.4872270287</v>
      </c>
      <c r="M50" s="24">
        <f t="shared" si="60"/>
        <v>4831134.544129873</v>
      </c>
      <c r="N50" s="6">
        <f t="shared" si="61"/>
        <v>0.08921944453539266</v>
      </c>
      <c r="O50" s="6">
        <f t="shared" si="62"/>
        <v>0.05</v>
      </c>
      <c r="P50" s="24">
        <f t="shared" si="63"/>
        <v>495447.7</v>
      </c>
      <c r="Q50" s="24"/>
      <c r="R50" s="24">
        <f t="shared" si="64"/>
        <v>6423687.109963579</v>
      </c>
      <c r="S50" s="24">
        <f t="shared" si="65"/>
        <v>7581183.743232789</v>
      </c>
      <c r="T50" s="24">
        <f t="shared" si="66"/>
        <v>7763610.632494015</v>
      </c>
      <c r="U50" s="24">
        <f t="shared" si="53"/>
        <v>8900925.60996358</v>
      </c>
      <c r="V50" s="24">
        <f t="shared" si="54"/>
        <v>10058422.24323279</v>
      </c>
      <c r="W50" s="24">
        <f t="shared" si="55"/>
        <v>10240849.132494014</v>
      </c>
      <c r="X50" s="22"/>
      <c r="Y50" s="3">
        <v>1627729</v>
      </c>
      <c r="Z50" s="4">
        <v>0</v>
      </c>
      <c r="AA50" s="4">
        <v>1595959</v>
      </c>
      <c r="AB50" s="4">
        <v>0</v>
      </c>
      <c r="AC50" s="3">
        <v>0</v>
      </c>
      <c r="AD50" s="3">
        <v>0</v>
      </c>
      <c r="AE50" s="3">
        <v>4</v>
      </c>
      <c r="AF50" s="3">
        <v>260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4">
        <v>33</v>
      </c>
      <c r="AP50" s="1">
        <v>118</v>
      </c>
      <c r="AQ50" s="1">
        <v>6</v>
      </c>
      <c r="AR50" s="4">
        <v>0</v>
      </c>
      <c r="AS50" s="3">
        <v>208</v>
      </c>
      <c r="AT50" s="3">
        <v>4048</v>
      </c>
      <c r="AU50" s="3">
        <v>285</v>
      </c>
      <c r="AV50" s="3">
        <v>0</v>
      </c>
      <c r="AW50" s="3">
        <v>5768</v>
      </c>
      <c r="AX50" s="3">
        <v>38</v>
      </c>
      <c r="AY50" s="3">
        <v>38</v>
      </c>
      <c r="AZ50" s="3">
        <v>24</v>
      </c>
      <c r="BA50" s="3">
        <v>4</v>
      </c>
      <c r="BB50" s="3">
        <v>3</v>
      </c>
      <c r="BC50" s="3">
        <v>3</v>
      </c>
      <c r="BD50" s="3">
        <v>5</v>
      </c>
      <c r="BE50" s="3">
        <v>3</v>
      </c>
      <c r="BF50" s="3">
        <v>940237</v>
      </c>
      <c r="BH50" s="4">
        <f t="shared" si="67"/>
        <v>935594.042963579</v>
      </c>
      <c r="BI50" s="4">
        <f t="shared" si="68"/>
        <v>2574281.867</v>
      </c>
      <c r="BJ50" s="4">
        <f t="shared" si="69"/>
        <v>225876</v>
      </c>
      <c r="BK50" s="4">
        <f t="shared" si="70"/>
        <v>1123317</v>
      </c>
      <c r="BL50" s="4">
        <f t="shared" si="71"/>
        <v>700571.8</v>
      </c>
      <c r="BM50" s="4">
        <f t="shared" si="72"/>
        <v>864046.4</v>
      </c>
      <c r="BN50" s="54">
        <v>33.62177436636433</v>
      </c>
      <c r="BO50" s="8">
        <f t="shared" si="73"/>
        <v>0.03673885350318471</v>
      </c>
      <c r="BP50" s="4">
        <f t="shared" si="74"/>
        <v>6423687.109963579</v>
      </c>
      <c r="BQ50" s="4">
        <f t="shared" si="75"/>
        <v>7581183.743232789</v>
      </c>
      <c r="BR50" s="4">
        <f t="shared" si="76"/>
        <v>7763610.632494015</v>
      </c>
      <c r="BS50" s="4">
        <v>8600768</v>
      </c>
      <c r="BT50" s="26"/>
      <c r="BU50" s="4">
        <f t="shared" si="77"/>
        <v>14.56475116156278</v>
      </c>
      <c r="BV50" s="4">
        <f t="shared" si="78"/>
        <v>40.07483277021871</v>
      </c>
      <c r="BW50" s="4">
        <f t="shared" si="79"/>
        <v>3.5162982899595288</v>
      </c>
      <c r="BX50" s="4">
        <f t="shared" si="80"/>
        <v>17.487106404321256</v>
      </c>
      <c r="BY50" s="4">
        <f t="shared" si="81"/>
        <v>10.906069800837049</v>
      </c>
      <c r="BZ50" s="4">
        <f t="shared" si="82"/>
        <v>13.45094157310067</v>
      </c>
      <c r="CB50" s="4">
        <f t="shared" si="83"/>
        <v>24.357011373937716</v>
      </c>
      <c r="CD50" s="4">
        <f t="shared" si="45"/>
        <v>-2.264386246041612</v>
      </c>
      <c r="CE50" s="4">
        <f t="shared" si="46"/>
        <v>-12.779777689463522</v>
      </c>
      <c r="CF50" s="4">
        <f t="shared" si="47"/>
        <v>1.2170926758345604</v>
      </c>
      <c r="CG50" s="4">
        <f t="shared" si="48"/>
        <v>6.049963437689637</v>
      </c>
      <c r="CH50" s="4">
        <f t="shared" si="49"/>
        <v>4.233226778500763</v>
      </c>
      <c r="CI50" s="4">
        <f t="shared" si="50"/>
        <v>3.5438810434801677</v>
      </c>
      <c r="CK50" s="4">
        <f t="shared" si="51"/>
        <v>7.777107821980934</v>
      </c>
      <c r="CL50" s="4">
        <f t="shared" si="52"/>
        <v>0</v>
      </c>
      <c r="CM50" s="4">
        <f t="shared" si="84"/>
        <v>45.360416068218505</v>
      </c>
    </row>
    <row r="51" spans="1:91" ht="15">
      <c r="A51" s="22" t="s">
        <v>120</v>
      </c>
      <c r="B51" s="47">
        <v>1</v>
      </c>
      <c r="C51" s="24">
        <v>1568504.1167388803</v>
      </c>
      <c r="D51" s="6">
        <v>0</v>
      </c>
      <c r="E51" s="24">
        <f t="shared" si="56"/>
        <v>0</v>
      </c>
      <c r="F51" s="25"/>
      <c r="G51" s="24">
        <f t="shared" si="57"/>
        <v>0</v>
      </c>
      <c r="H51" s="6">
        <v>0</v>
      </c>
      <c r="I51" s="6">
        <f t="shared" si="44"/>
        <v>0</v>
      </c>
      <c r="J51" s="6">
        <f t="shared" si="58"/>
        <v>0</v>
      </c>
      <c r="K51" s="6">
        <f t="shared" si="85"/>
        <v>0</v>
      </c>
      <c r="L51" s="24">
        <f t="shared" si="59"/>
        <v>0</v>
      </c>
      <c r="M51" s="4">
        <v>1607149</v>
      </c>
      <c r="N51" s="6">
        <f t="shared" si="61"/>
        <v>0</v>
      </c>
      <c r="O51" s="6">
        <f t="shared" si="62"/>
        <v>0</v>
      </c>
      <c r="P51" s="24">
        <f t="shared" si="63"/>
        <v>0</v>
      </c>
      <c r="Q51" s="24"/>
      <c r="R51" s="24">
        <f t="shared" si="64"/>
        <v>2161601.836550748</v>
      </c>
      <c r="S51" s="24">
        <f t="shared" si="65"/>
        <v>2268572.4929735186</v>
      </c>
      <c r="T51" s="24">
        <f t="shared" si="66"/>
        <v>2582681.1113925385</v>
      </c>
      <c r="U51" s="24">
        <f t="shared" si="53"/>
        <v>2553727.865735468</v>
      </c>
      <c r="V51" s="24">
        <f t="shared" si="54"/>
        <v>2660698.5221582386</v>
      </c>
      <c r="W51" s="24">
        <f t="shared" si="55"/>
        <v>2974807.1405772585</v>
      </c>
      <c r="X51" s="22"/>
      <c r="Y51" s="3">
        <v>368462</v>
      </c>
      <c r="Z51" s="4">
        <v>0</v>
      </c>
      <c r="AA51" s="3">
        <v>330598</v>
      </c>
      <c r="AB51" s="4">
        <v>0</v>
      </c>
      <c r="AC51" s="4">
        <v>12</v>
      </c>
      <c r="AD51" s="4">
        <v>336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6</v>
      </c>
      <c r="AP51" s="1">
        <v>62</v>
      </c>
      <c r="AQ51" s="1">
        <v>0</v>
      </c>
      <c r="AR51" s="4">
        <v>0</v>
      </c>
      <c r="AS51" s="4">
        <v>26</v>
      </c>
      <c r="AT51" s="4">
        <v>2401</v>
      </c>
      <c r="AU51" s="4">
        <v>0</v>
      </c>
      <c r="AV51" s="4">
        <v>0</v>
      </c>
      <c r="AW51" s="4">
        <v>2429</v>
      </c>
      <c r="AX51" s="4">
        <v>12</v>
      </c>
      <c r="AY51" s="4">
        <v>1</v>
      </c>
      <c r="AZ51" s="4">
        <v>5</v>
      </c>
      <c r="BA51" s="4">
        <v>1</v>
      </c>
      <c r="BB51" s="4">
        <v>1</v>
      </c>
      <c r="BC51" s="4">
        <v>5</v>
      </c>
      <c r="BD51" s="4">
        <v>0</v>
      </c>
      <c r="BE51" s="4">
        <v>1</v>
      </c>
      <c r="BF51" s="4">
        <v>185414</v>
      </c>
      <c r="BH51" s="4">
        <f t="shared" si="67"/>
        <v>234264.46255074773</v>
      </c>
      <c r="BI51" s="4">
        <f t="shared" si="68"/>
        <v>533254.574</v>
      </c>
      <c r="BJ51" s="4">
        <f t="shared" si="69"/>
        <v>425436</v>
      </c>
      <c r="BK51" s="4">
        <f t="shared" si="70"/>
        <v>275196</v>
      </c>
      <c r="BL51" s="4">
        <f t="shared" si="71"/>
        <v>329586.60000000003</v>
      </c>
      <c r="BM51" s="4">
        <f t="shared" si="72"/>
        <v>363864.2</v>
      </c>
      <c r="BN51" s="4">
        <v>26.360375173170016</v>
      </c>
      <c r="BO51" s="8">
        <f t="shared" si="73"/>
        <v>0.035720588235294115</v>
      </c>
      <c r="BP51" s="4">
        <f t="shared" si="74"/>
        <v>2161601.836550748</v>
      </c>
      <c r="BQ51" s="4">
        <f t="shared" si="75"/>
        <v>2268572.4929735186</v>
      </c>
      <c r="BR51" s="4">
        <f t="shared" si="76"/>
        <v>2582681.1113925385</v>
      </c>
      <c r="BS51" s="4">
        <v>2025407</v>
      </c>
      <c r="BT51" s="26"/>
      <c r="BU51" s="4">
        <f t="shared" si="77"/>
        <v>10.837539947900941</v>
      </c>
      <c r="BV51" s="4">
        <f t="shared" si="78"/>
        <v>24.669417141637442</v>
      </c>
      <c r="BW51" s="4">
        <f t="shared" si="79"/>
        <v>19.681515476451715</v>
      </c>
      <c r="BX51" s="4">
        <f t="shared" si="80"/>
        <v>12.73111427584315</v>
      </c>
      <c r="BY51" s="4">
        <f t="shared" si="81"/>
        <v>15.24733160506187</v>
      </c>
      <c r="BZ51" s="4">
        <f t="shared" si="82"/>
        <v>16.83308155310487</v>
      </c>
      <c r="CB51" s="4">
        <f t="shared" si="83"/>
        <v>32.080413158166735</v>
      </c>
      <c r="CD51" s="4">
        <f t="shared" si="45"/>
        <v>1.462824967620227</v>
      </c>
      <c r="CE51" s="4">
        <f t="shared" si="46"/>
        <v>2.6256379391177482</v>
      </c>
      <c r="CF51" s="4">
        <f t="shared" si="47"/>
        <v>-14.948124510657625</v>
      </c>
      <c r="CG51" s="4">
        <f t="shared" si="48"/>
        <v>10.805955566167743</v>
      </c>
      <c r="CH51" s="4">
        <f t="shared" si="49"/>
        <v>-0.10803502572405854</v>
      </c>
      <c r="CI51" s="4">
        <f t="shared" si="50"/>
        <v>0.16174106347596862</v>
      </c>
      <c r="CK51" s="4">
        <f t="shared" si="51"/>
        <v>0.0537060377519154</v>
      </c>
      <c r="CL51" s="4">
        <f t="shared" si="52"/>
        <v>0</v>
      </c>
      <c r="CM51" s="4">
        <f t="shared" si="84"/>
        <v>64.49304291046161</v>
      </c>
    </row>
    <row r="52" spans="1:91" ht="15">
      <c r="A52" s="22" t="s">
        <v>71</v>
      </c>
      <c r="B52" s="47">
        <v>8</v>
      </c>
      <c r="C52" s="23">
        <v>900473</v>
      </c>
      <c r="D52" s="6">
        <v>0</v>
      </c>
      <c r="E52" s="24">
        <f t="shared" si="56"/>
        <v>0</v>
      </c>
      <c r="F52" s="25"/>
      <c r="G52" s="24">
        <f t="shared" si="57"/>
        <v>0</v>
      </c>
      <c r="H52" s="6">
        <v>0</v>
      </c>
      <c r="I52" s="6">
        <f t="shared" si="44"/>
        <v>0</v>
      </c>
      <c r="J52" s="6">
        <f t="shared" si="58"/>
        <v>0</v>
      </c>
      <c r="K52" s="6">
        <f t="shared" si="85"/>
        <v>0</v>
      </c>
      <c r="L52" s="24">
        <f t="shared" si="59"/>
        <v>0</v>
      </c>
      <c r="M52" s="24">
        <v>923807</v>
      </c>
      <c r="N52" s="6">
        <f t="shared" si="61"/>
        <v>0</v>
      </c>
      <c r="O52" s="6">
        <f t="shared" si="62"/>
        <v>0</v>
      </c>
      <c r="P52" s="24">
        <f t="shared" si="63"/>
        <v>0</v>
      </c>
      <c r="Q52" s="24"/>
      <c r="R52" s="24">
        <f t="shared" si="64"/>
        <v>1579800.2936057753</v>
      </c>
      <c r="S52" s="24">
        <f t="shared" si="65"/>
        <v>1578829.0161393587</v>
      </c>
      <c r="T52" s="24">
        <f t="shared" si="66"/>
        <v>1457563.2458880285</v>
      </c>
      <c r="U52" s="24">
        <f t="shared" si="53"/>
        <v>1804918.5436057753</v>
      </c>
      <c r="V52" s="24">
        <f t="shared" si="54"/>
        <v>1803947.2661393587</v>
      </c>
      <c r="W52" s="24">
        <f t="shared" si="55"/>
        <v>1682681.4958880285</v>
      </c>
      <c r="X52" s="22"/>
      <c r="Y52" s="3">
        <v>276791</v>
      </c>
      <c r="Z52" s="4">
        <v>0</v>
      </c>
      <c r="AA52" s="3">
        <v>275291</v>
      </c>
      <c r="AB52" s="4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4">
        <v>63</v>
      </c>
      <c r="AP52" s="1">
        <v>49</v>
      </c>
      <c r="AQ52" s="1">
        <v>0</v>
      </c>
      <c r="AR52" s="4">
        <v>0</v>
      </c>
      <c r="AS52" s="3">
        <v>379</v>
      </c>
      <c r="AT52" s="3">
        <v>1395</v>
      </c>
      <c r="AU52" s="3">
        <v>0</v>
      </c>
      <c r="AV52" s="3">
        <v>0</v>
      </c>
      <c r="AW52" s="3">
        <v>1750</v>
      </c>
      <c r="AX52" s="3">
        <v>6</v>
      </c>
      <c r="AY52" s="3">
        <v>35</v>
      </c>
      <c r="AZ52" s="3">
        <v>10</v>
      </c>
      <c r="BA52" s="3">
        <v>4</v>
      </c>
      <c r="BB52" s="3">
        <v>1</v>
      </c>
      <c r="BC52" s="3">
        <v>1</v>
      </c>
      <c r="BD52" s="3">
        <v>0</v>
      </c>
      <c r="BE52" s="3">
        <v>1</v>
      </c>
      <c r="BF52" s="3">
        <v>122465</v>
      </c>
      <c r="BH52" s="4">
        <f t="shared" si="67"/>
        <v>179432.71060577553</v>
      </c>
      <c r="BI52" s="4">
        <f t="shared" si="68"/>
        <v>444044.383</v>
      </c>
      <c r="BJ52" s="4">
        <f t="shared" si="69"/>
        <v>0</v>
      </c>
      <c r="BK52" s="4">
        <f t="shared" si="70"/>
        <v>453264</v>
      </c>
      <c r="BL52" s="4">
        <f t="shared" si="71"/>
        <v>240909.2</v>
      </c>
      <c r="BM52" s="4">
        <f t="shared" si="72"/>
        <v>262150</v>
      </c>
      <c r="BN52" s="4">
        <v>23.576954984248903</v>
      </c>
      <c r="BO52" s="8">
        <f t="shared" si="73"/>
        <v>0.015625</v>
      </c>
      <c r="BP52" s="4">
        <f t="shared" si="74"/>
        <v>1579800.2936057753</v>
      </c>
      <c r="BQ52" s="4">
        <f t="shared" si="75"/>
        <v>1578829.0161393587</v>
      </c>
      <c r="BR52" s="4">
        <f t="shared" si="76"/>
        <v>1457563.2458880285</v>
      </c>
      <c r="BS52" s="4">
        <v>1046920</v>
      </c>
      <c r="BT52" s="26"/>
      <c r="BU52" s="4">
        <f t="shared" si="77"/>
        <v>11.357936274099169</v>
      </c>
      <c r="BV52" s="4">
        <f t="shared" si="78"/>
        <v>28.107627577818846</v>
      </c>
      <c r="BW52" s="4">
        <f t="shared" si="79"/>
        <v>0</v>
      </c>
      <c r="BX52" s="4">
        <f t="shared" si="80"/>
        <v>28.69122140529921</v>
      </c>
      <c r="BY52" s="4">
        <f t="shared" si="81"/>
        <v>15.249345184646273</v>
      </c>
      <c r="BZ52" s="4">
        <f t="shared" si="82"/>
        <v>16.59386955813651</v>
      </c>
      <c r="CB52" s="4">
        <f t="shared" si="83"/>
        <v>31.843214742782784</v>
      </c>
      <c r="CD52" s="4">
        <f t="shared" si="45"/>
        <v>0.9424286414219996</v>
      </c>
      <c r="CE52" s="4">
        <f t="shared" si="46"/>
        <v>-0.8125724970636554</v>
      </c>
      <c r="CF52" s="4">
        <f t="shared" si="47"/>
        <v>4.733390965794089</v>
      </c>
      <c r="CG52" s="4">
        <f t="shared" si="48"/>
        <v>-5.154151563288316</v>
      </c>
      <c r="CH52" s="4">
        <f t="shared" si="49"/>
        <v>-0.11004860530846194</v>
      </c>
      <c r="CI52" s="4">
        <f t="shared" si="50"/>
        <v>0.40095305844432616</v>
      </c>
      <c r="CK52" s="4">
        <f t="shared" si="51"/>
        <v>0.290904453135866</v>
      </c>
      <c r="CL52" s="4">
        <f t="shared" si="52"/>
        <v>0</v>
      </c>
      <c r="CM52" s="4">
        <f t="shared" si="84"/>
        <v>60.534436148081994</v>
      </c>
    </row>
    <row r="53" spans="1:91" ht="15">
      <c r="A53" s="22" t="s">
        <v>65</v>
      </c>
      <c r="B53" s="47">
        <v>8</v>
      </c>
      <c r="C53" s="23">
        <v>1711582</v>
      </c>
      <c r="D53" s="6">
        <v>0</v>
      </c>
      <c r="E53" s="24">
        <f t="shared" si="56"/>
        <v>0</v>
      </c>
      <c r="F53" s="25"/>
      <c r="G53" s="24">
        <f t="shared" si="57"/>
        <v>0</v>
      </c>
      <c r="H53" s="6">
        <v>0</v>
      </c>
      <c r="I53" s="6">
        <f t="shared" si="44"/>
        <v>0</v>
      </c>
      <c r="J53" s="6">
        <f t="shared" si="58"/>
        <v>0</v>
      </c>
      <c r="K53" s="6">
        <f t="shared" si="85"/>
        <v>0</v>
      </c>
      <c r="L53" s="24">
        <f t="shared" si="59"/>
        <v>0</v>
      </c>
      <c r="M53" s="24">
        <v>3735332</v>
      </c>
      <c r="N53" s="6">
        <f t="shared" si="61"/>
        <v>0</v>
      </c>
      <c r="O53" s="6">
        <f t="shared" si="62"/>
        <v>0</v>
      </c>
      <c r="P53" s="24">
        <f t="shared" si="63"/>
        <v>0</v>
      </c>
      <c r="Q53" s="24"/>
      <c r="R53" s="24">
        <f t="shared" si="64"/>
        <v>4595951.171004339</v>
      </c>
      <c r="S53" s="24">
        <f t="shared" si="65"/>
        <v>3949018.7881800905</v>
      </c>
      <c r="T53" s="24">
        <f t="shared" si="66"/>
        <v>6002661.813427086</v>
      </c>
      <c r="U53" s="24">
        <f t="shared" si="53"/>
        <v>5023846.671004339</v>
      </c>
      <c r="V53" s="24">
        <f t="shared" si="54"/>
        <v>4376914.2881800905</v>
      </c>
      <c r="W53" s="24">
        <f t="shared" si="55"/>
        <v>6430557.313427086</v>
      </c>
      <c r="X53" s="22"/>
      <c r="Y53" s="3">
        <v>343850</v>
      </c>
      <c r="Z53" s="4">
        <v>0</v>
      </c>
      <c r="AA53" s="3">
        <v>0</v>
      </c>
      <c r="AB53" s="3">
        <v>347040</v>
      </c>
      <c r="AC53" s="3">
        <v>2</v>
      </c>
      <c r="AD53" s="3">
        <v>30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4">
        <v>8</v>
      </c>
      <c r="AP53" s="1">
        <v>30</v>
      </c>
      <c r="AQ53" s="1">
        <v>25</v>
      </c>
      <c r="AR53" s="4">
        <v>0</v>
      </c>
      <c r="AS53" s="3">
        <v>138</v>
      </c>
      <c r="AT53" s="3">
        <v>554</v>
      </c>
      <c r="AU53" s="3">
        <v>2076</v>
      </c>
      <c r="AV53" s="3">
        <v>0</v>
      </c>
      <c r="AW53" s="3">
        <v>2768</v>
      </c>
      <c r="AX53" s="3">
        <v>10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178380</v>
      </c>
      <c r="BH53" s="4">
        <f t="shared" si="67"/>
        <v>219645.01100433886</v>
      </c>
      <c r="BI53" s="4">
        <f t="shared" si="68"/>
        <v>615648.96</v>
      </c>
      <c r="BJ53" s="4">
        <f t="shared" si="69"/>
        <v>70906</v>
      </c>
      <c r="BK53" s="4">
        <f t="shared" si="70"/>
        <v>2288036</v>
      </c>
      <c r="BL53" s="4">
        <f t="shared" si="71"/>
        <v>987068.7999999999</v>
      </c>
      <c r="BM53" s="4">
        <f t="shared" si="72"/>
        <v>414646.4</v>
      </c>
      <c r="BN53" s="4">
        <v>15.791035005553521</v>
      </c>
      <c r="BO53" s="8">
        <f t="shared" si="73"/>
        <v>0.04393650793650793</v>
      </c>
      <c r="BP53" s="4">
        <f t="shared" si="74"/>
        <v>4595951.171004339</v>
      </c>
      <c r="BQ53" s="4">
        <f t="shared" si="75"/>
        <v>3949018.7881800905</v>
      </c>
      <c r="BR53" s="4">
        <f t="shared" si="76"/>
        <v>6002661.813427086</v>
      </c>
      <c r="BS53" s="4">
        <v>1840236</v>
      </c>
      <c r="BT53" s="26"/>
      <c r="BU53" s="4">
        <f t="shared" si="77"/>
        <v>4.7790980110944155</v>
      </c>
      <c r="BV53" s="4">
        <f t="shared" si="78"/>
        <v>13.395463465410668</v>
      </c>
      <c r="BW53" s="4">
        <f t="shared" si="79"/>
        <v>1.5427927182373684</v>
      </c>
      <c r="BX53" s="4">
        <f t="shared" si="80"/>
        <v>49.78373169922087</v>
      </c>
      <c r="BY53" s="4">
        <f t="shared" si="81"/>
        <v>21.47692095223672</v>
      </c>
      <c r="BZ53" s="4">
        <f t="shared" si="82"/>
        <v>9.021993153799949</v>
      </c>
      <c r="CB53" s="4">
        <f t="shared" si="83"/>
        <v>30.498914106036672</v>
      </c>
      <c r="CD53" s="4">
        <f t="shared" si="45"/>
        <v>7.521266904426753</v>
      </c>
      <c r="CE53" s="4">
        <f t="shared" si="46"/>
        <v>13.899591615344523</v>
      </c>
      <c r="CF53" s="4">
        <f t="shared" si="47"/>
        <v>3.1905982475567205</v>
      </c>
      <c r="CG53" s="4">
        <f t="shared" si="48"/>
        <v>-26.24666185720998</v>
      </c>
      <c r="CH53" s="4">
        <f t="shared" si="49"/>
        <v>-6.33762437289891</v>
      </c>
      <c r="CI53" s="4">
        <f t="shared" si="50"/>
        <v>7.972829462780888</v>
      </c>
      <c r="CK53" s="4">
        <f t="shared" si="51"/>
        <v>1.6352050898819783</v>
      </c>
      <c r="CL53" s="4">
        <f t="shared" si="52"/>
        <v>0</v>
      </c>
      <c r="CM53" s="4">
        <f t="shared" si="84"/>
        <v>81.82543852349491</v>
      </c>
    </row>
    <row r="54" spans="1:91" ht="15">
      <c r="A54" s="22" t="s">
        <v>79</v>
      </c>
      <c r="B54" s="47">
        <v>7</v>
      </c>
      <c r="C54" s="23">
        <v>16441071</v>
      </c>
      <c r="D54" s="6">
        <v>0.2432841002750471</v>
      </c>
      <c r="E54" s="24">
        <f t="shared" si="56"/>
        <v>3999851.165793169</v>
      </c>
      <c r="F54" s="25"/>
      <c r="G54" s="24">
        <f t="shared" si="57"/>
        <v>0</v>
      </c>
      <c r="H54" s="6">
        <v>0.09344697708006688</v>
      </c>
      <c r="I54" s="6">
        <f t="shared" si="44"/>
        <v>0</v>
      </c>
      <c r="J54" s="6">
        <f t="shared" si="58"/>
        <v>0</v>
      </c>
      <c r="K54" s="6">
        <f t="shared" si="85"/>
        <v>0</v>
      </c>
      <c r="L54" s="24">
        <f t="shared" si="59"/>
        <v>1536368.3849087523</v>
      </c>
      <c r="M54" s="24">
        <f t="shared" si="60"/>
        <v>12441219.83420683</v>
      </c>
      <c r="N54" s="6">
        <f t="shared" si="61"/>
        <v>0.02336174427001672</v>
      </c>
      <c r="O54" s="6">
        <f t="shared" si="62"/>
        <v>0.02336174427001672</v>
      </c>
      <c r="P54" s="24">
        <f t="shared" si="63"/>
        <v>384092.09622718807</v>
      </c>
      <c r="Q54" s="24"/>
      <c r="R54" s="24">
        <f t="shared" si="64"/>
        <v>19261176.67252053</v>
      </c>
      <c r="S54" s="24">
        <f t="shared" si="65"/>
        <v>21355995.115532737</v>
      </c>
      <c r="T54" s="24">
        <f t="shared" si="66"/>
        <v>19666170.399130367</v>
      </c>
      <c r="U54" s="24">
        <f t="shared" si="53"/>
        <v>23371444.42252053</v>
      </c>
      <c r="V54" s="24">
        <f t="shared" si="54"/>
        <v>25466262.865532737</v>
      </c>
      <c r="W54" s="24">
        <f t="shared" si="55"/>
        <v>23776438.149130367</v>
      </c>
      <c r="X54" s="22"/>
      <c r="Y54" s="3">
        <v>3995034</v>
      </c>
      <c r="Z54" s="4">
        <v>0</v>
      </c>
      <c r="AA54" s="4">
        <v>2583733</v>
      </c>
      <c r="AB54" s="3">
        <v>1272865</v>
      </c>
      <c r="AC54" s="3">
        <v>8</v>
      </c>
      <c r="AD54" s="3">
        <v>227</v>
      </c>
      <c r="AE54" s="3">
        <v>1</v>
      </c>
      <c r="AF54" s="3">
        <v>60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4">
        <v>567</v>
      </c>
      <c r="AP54" s="1">
        <v>277</v>
      </c>
      <c r="AQ54" s="1">
        <v>13</v>
      </c>
      <c r="AR54" s="4">
        <v>0</v>
      </c>
      <c r="AS54" s="3">
        <v>7183</v>
      </c>
      <c r="AT54" s="3">
        <v>11778</v>
      </c>
      <c r="AU54" s="3">
        <v>688</v>
      </c>
      <c r="AV54" s="3">
        <v>0</v>
      </c>
      <c r="AW54" s="3">
        <v>19617</v>
      </c>
      <c r="AX54" s="3">
        <v>63</v>
      </c>
      <c r="AY54" s="3">
        <v>5</v>
      </c>
      <c r="AZ54" s="3">
        <v>22</v>
      </c>
      <c r="BA54" s="3">
        <v>9</v>
      </c>
      <c r="BB54" s="3">
        <v>5</v>
      </c>
      <c r="BC54" s="3">
        <v>0</v>
      </c>
      <c r="BD54" s="3">
        <v>13</v>
      </c>
      <c r="BE54" s="3">
        <v>19</v>
      </c>
      <c r="BF54" s="3">
        <v>2374164</v>
      </c>
      <c r="BH54" s="4">
        <f t="shared" si="67"/>
        <v>2160473.83352053</v>
      </c>
      <c r="BI54" s="4">
        <f t="shared" si="68"/>
        <v>6425623.839</v>
      </c>
      <c r="BJ54" s="4">
        <f t="shared" si="69"/>
        <v>340093</v>
      </c>
      <c r="BK54" s="4">
        <f t="shared" si="70"/>
        <v>4525478</v>
      </c>
      <c r="BL54" s="4">
        <f t="shared" si="71"/>
        <v>2870881.4000000004</v>
      </c>
      <c r="BM54" s="4">
        <f t="shared" si="72"/>
        <v>2938626.6</v>
      </c>
      <c r="BN54" s="4">
        <v>29.653255076053924</v>
      </c>
      <c r="BO54" s="8">
        <f t="shared" si="73"/>
        <v>0.022890315052508752</v>
      </c>
      <c r="BP54" s="4">
        <f t="shared" si="74"/>
        <v>19261176.67252053</v>
      </c>
      <c r="BQ54" s="4">
        <f t="shared" si="75"/>
        <v>21355995.115532737</v>
      </c>
      <c r="BR54" s="4">
        <f t="shared" si="76"/>
        <v>19666170.399130367</v>
      </c>
      <c r="BS54" s="4">
        <v>12244764</v>
      </c>
      <c r="BT54" s="26"/>
      <c r="BU54" s="4">
        <f t="shared" si="77"/>
        <v>11.216728189834981</v>
      </c>
      <c r="BV54" s="4">
        <f t="shared" si="78"/>
        <v>33.36049478310059</v>
      </c>
      <c r="BW54" s="4">
        <f t="shared" si="79"/>
        <v>1.765691711271216</v>
      </c>
      <c r="BX54" s="4">
        <f t="shared" si="80"/>
        <v>23.49533508228702</v>
      </c>
      <c r="BY54" s="4">
        <f t="shared" si="81"/>
        <v>14.90501566342943</v>
      </c>
      <c r="BZ54" s="4">
        <f t="shared" si="82"/>
        <v>15.25673457007676</v>
      </c>
      <c r="CB54" s="4">
        <f t="shared" si="83"/>
        <v>30.16175023350619</v>
      </c>
      <c r="CD54" s="4">
        <f t="shared" si="45"/>
        <v>1.083636725686187</v>
      </c>
      <c r="CE54" s="4">
        <f t="shared" si="46"/>
        <v>-6.065439702345401</v>
      </c>
      <c r="CF54" s="4">
        <f t="shared" si="47"/>
        <v>2.967699254522873</v>
      </c>
      <c r="CG54" s="4">
        <f t="shared" si="48"/>
        <v>0.04173475972387308</v>
      </c>
      <c r="CH54" s="4">
        <f t="shared" si="49"/>
        <v>0.23428091590838207</v>
      </c>
      <c r="CI54" s="4">
        <f t="shared" si="50"/>
        <v>1.7380880465040764</v>
      </c>
      <c r="CK54" s="4">
        <f t="shared" si="51"/>
        <v>1.9723689624124603</v>
      </c>
      <c r="CL54" s="4">
        <f t="shared" si="52"/>
        <v>0</v>
      </c>
      <c r="CM54" s="4">
        <f t="shared" si="84"/>
        <v>55.42277702706443</v>
      </c>
    </row>
    <row r="55" spans="1:91" ht="15">
      <c r="A55" s="22" t="s">
        <v>122</v>
      </c>
      <c r="B55" s="47">
        <v>3</v>
      </c>
      <c r="C55" s="9">
        <v>10067099.26174609</v>
      </c>
      <c r="D55" s="6">
        <v>0.24512636245186792</v>
      </c>
      <c r="E55" s="24">
        <f t="shared" si="56"/>
        <v>2467711.422473704</v>
      </c>
      <c r="F55" s="25">
        <v>0.2491162</v>
      </c>
      <c r="G55" s="24">
        <f t="shared" si="57"/>
        <v>2507877.5131089916</v>
      </c>
      <c r="H55" s="6">
        <v>0.08955651795478792</v>
      </c>
      <c r="I55" s="6">
        <f t="shared" si="44"/>
        <v>0</v>
      </c>
      <c r="J55" s="6">
        <f t="shared" si="58"/>
        <v>0</v>
      </c>
      <c r="K55" s="6">
        <f t="shared" si="85"/>
        <v>0</v>
      </c>
      <c r="L55" s="24">
        <f t="shared" si="59"/>
        <v>901574.3557871958</v>
      </c>
      <c r="M55" s="24">
        <f t="shared" si="60"/>
        <v>7599387.839272385</v>
      </c>
      <c r="N55" s="6">
        <f t="shared" si="61"/>
        <v>0.02238912948869698</v>
      </c>
      <c r="O55" s="6">
        <f t="shared" si="62"/>
        <v>0.02238912948869698</v>
      </c>
      <c r="P55" s="24">
        <f t="shared" si="63"/>
        <v>225393.58894679896</v>
      </c>
      <c r="Q55" s="24"/>
      <c r="R55" s="24">
        <f t="shared" si="64"/>
        <v>9459991.326239748</v>
      </c>
      <c r="S55" s="24">
        <f t="shared" si="65"/>
        <v>10410013.453521106</v>
      </c>
      <c r="T55" s="24">
        <f t="shared" si="66"/>
        <v>12212181.442787407</v>
      </c>
      <c r="U55" s="24">
        <f t="shared" si="53"/>
        <v>11976766.14167627</v>
      </c>
      <c r="V55" s="24">
        <f t="shared" si="54"/>
        <v>12926788.26895763</v>
      </c>
      <c r="W55" s="24">
        <f t="shared" si="55"/>
        <v>14728956.258223929</v>
      </c>
      <c r="X55" s="22"/>
      <c r="Y55" s="3">
        <v>2474036</v>
      </c>
      <c r="Z55" s="4">
        <v>0</v>
      </c>
      <c r="AA55" s="4">
        <v>2436263</v>
      </c>
      <c r="AB55" s="4">
        <v>0</v>
      </c>
      <c r="AC55" s="4">
        <v>1</v>
      </c>
      <c r="AD55" s="4">
        <v>33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70</v>
      </c>
      <c r="AP55" s="1">
        <v>92</v>
      </c>
      <c r="AQ55" s="1">
        <v>14</v>
      </c>
      <c r="AR55" s="4">
        <v>0</v>
      </c>
      <c r="AS55" s="4">
        <v>560</v>
      </c>
      <c r="AT55" s="4">
        <v>4947</v>
      </c>
      <c r="AU55" s="4">
        <v>779</v>
      </c>
      <c r="AV55" s="4">
        <v>0</v>
      </c>
      <c r="AW55" s="4">
        <v>7536</v>
      </c>
      <c r="AX55" s="4">
        <v>22</v>
      </c>
      <c r="AY55" s="4">
        <v>6</v>
      </c>
      <c r="AZ55" s="4">
        <v>13</v>
      </c>
      <c r="BA55" s="4">
        <v>4</v>
      </c>
      <c r="BB55" s="4">
        <v>2</v>
      </c>
      <c r="BC55" s="4">
        <v>0</v>
      </c>
      <c r="BD55" s="4">
        <v>4</v>
      </c>
      <c r="BE55" s="4">
        <v>5</v>
      </c>
      <c r="BF55" s="4">
        <v>1083218</v>
      </c>
      <c r="BG55" s="4">
        <v>50000</v>
      </c>
      <c r="BH55" s="4">
        <f t="shared" si="67"/>
        <v>1382182.907239748</v>
      </c>
      <c r="BI55" s="4">
        <f t="shared" si="68"/>
        <v>3929692.219</v>
      </c>
      <c r="BJ55" s="4">
        <f t="shared" si="69"/>
        <v>35453</v>
      </c>
      <c r="BK55" s="4">
        <f t="shared" si="70"/>
        <v>1850794</v>
      </c>
      <c r="BL55" s="4">
        <f t="shared" si="71"/>
        <v>1082976.4000000001</v>
      </c>
      <c r="BM55" s="4">
        <f t="shared" si="72"/>
        <v>1128892.8</v>
      </c>
      <c r="BN55" s="4">
        <v>29.19029244976523</v>
      </c>
      <c r="BO55" s="8">
        <f t="shared" si="73"/>
        <v>0.04281818181818182</v>
      </c>
      <c r="BP55" s="4">
        <f t="shared" si="74"/>
        <v>9459991.326239748</v>
      </c>
      <c r="BQ55" s="4">
        <f t="shared" si="75"/>
        <v>10410013.453521106</v>
      </c>
      <c r="BR55" s="4">
        <f t="shared" si="76"/>
        <v>12212181.442787407</v>
      </c>
      <c r="BS55" s="4">
        <v>11091843</v>
      </c>
      <c r="BT55" s="26"/>
      <c r="BU55" s="4">
        <f t="shared" si="77"/>
        <v>14.688461012557289</v>
      </c>
      <c r="BV55" s="4">
        <f t="shared" si="78"/>
        <v>41.76084847221972</v>
      </c>
      <c r="BW55" s="4">
        <f t="shared" si="79"/>
        <v>0.3767591145502904</v>
      </c>
      <c r="BX55" s="4">
        <f t="shared" si="80"/>
        <v>19.668392199672528</v>
      </c>
      <c r="BY55" s="4">
        <f t="shared" si="81"/>
        <v>11.50879275499566</v>
      </c>
      <c r="BZ55" s="4">
        <f t="shared" si="82"/>
        <v>11.996746446004515</v>
      </c>
      <c r="CB55" s="4">
        <f t="shared" si="83"/>
        <v>23.505539201000175</v>
      </c>
      <c r="CD55" s="4">
        <f t="shared" si="45"/>
        <v>-2.3880960970361205</v>
      </c>
      <c r="CE55" s="4">
        <f t="shared" si="46"/>
        <v>-14.46579339146453</v>
      </c>
      <c r="CF55" s="4">
        <f t="shared" si="47"/>
        <v>4.356631851243799</v>
      </c>
      <c r="CG55" s="4">
        <f t="shared" si="48"/>
        <v>3.8686776423383655</v>
      </c>
      <c r="CH55" s="4">
        <f t="shared" si="49"/>
        <v>3.630503824342151</v>
      </c>
      <c r="CI55" s="4">
        <f t="shared" si="50"/>
        <v>4.998076170576322</v>
      </c>
      <c r="CK55" s="4">
        <f t="shared" si="51"/>
        <v>8.628579994918475</v>
      </c>
      <c r="CL55" s="4">
        <f t="shared" si="52"/>
        <v>0</v>
      </c>
      <c r="CM55" s="4">
        <f t="shared" si="84"/>
        <v>43.550690515222996</v>
      </c>
    </row>
    <row r="56" spans="1:91" ht="15">
      <c r="A56" s="22" t="s">
        <v>107</v>
      </c>
      <c r="B56" s="47">
        <v>7</v>
      </c>
      <c r="C56" s="23">
        <v>2187527.2681503766</v>
      </c>
      <c r="D56" s="6">
        <v>0.3232489449999435</v>
      </c>
      <c r="E56" s="24">
        <f t="shared" si="56"/>
        <v>707115.8815882178</v>
      </c>
      <c r="F56" s="25"/>
      <c r="G56" s="24">
        <f t="shared" si="57"/>
        <v>0</v>
      </c>
      <c r="H56" s="6">
        <v>0.16767904483939755</v>
      </c>
      <c r="I56" s="6">
        <f t="shared" si="44"/>
        <v>-0.05244676126736886</v>
      </c>
      <c r="J56" s="6">
        <f t="shared" si="58"/>
        <v>-0.027554217200843917</v>
      </c>
      <c r="K56" s="6">
        <f t="shared" si="85"/>
        <v>0.14012482763855363</v>
      </c>
      <c r="L56" s="24">
        <f t="shared" si="59"/>
        <v>306526.8814042076</v>
      </c>
      <c r="M56" s="24">
        <f t="shared" si="60"/>
        <v>1480411.3865621588</v>
      </c>
      <c r="N56" s="6">
        <f t="shared" si="61"/>
        <v>0.03503120690963841</v>
      </c>
      <c r="O56" s="6">
        <f t="shared" si="62"/>
        <v>0.03503120690963841</v>
      </c>
      <c r="P56" s="24">
        <f t="shared" si="63"/>
        <v>76631.7203510519</v>
      </c>
      <c r="Q56" s="24"/>
      <c r="R56" s="24">
        <f t="shared" si="64"/>
        <v>1385170.4161173892</v>
      </c>
      <c r="S56" s="24">
        <f t="shared" si="65"/>
        <v>1427408.0818039533</v>
      </c>
      <c r="T56" s="24">
        <f t="shared" si="66"/>
        <v>2379014.2602218306</v>
      </c>
      <c r="U56" s="24">
        <f t="shared" si="53"/>
        <v>1932052.2331549833</v>
      </c>
      <c r="V56" s="24">
        <f t="shared" si="54"/>
        <v>1974289.8988415473</v>
      </c>
      <c r="W56" s="24">
        <f t="shared" si="55"/>
        <v>2925896.0772594246</v>
      </c>
      <c r="X56" s="22"/>
      <c r="Y56" s="3">
        <v>293389</v>
      </c>
      <c r="Z56" s="4">
        <v>0</v>
      </c>
      <c r="AA56" s="3">
        <v>243251</v>
      </c>
      <c r="AB56" s="4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4">
        <v>17</v>
      </c>
      <c r="AP56" s="1">
        <v>15</v>
      </c>
      <c r="AQ56" s="1">
        <v>0</v>
      </c>
      <c r="AR56" s="4">
        <v>0</v>
      </c>
      <c r="AS56" s="3">
        <v>1187</v>
      </c>
      <c r="AT56" s="3">
        <v>1152</v>
      </c>
      <c r="AU56" s="3">
        <v>0</v>
      </c>
      <c r="AV56" s="3">
        <v>0</v>
      </c>
      <c r="AW56" s="3">
        <v>2378</v>
      </c>
      <c r="AX56" s="3">
        <v>3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131646</v>
      </c>
      <c r="BH56" s="4">
        <f t="shared" si="67"/>
        <v>189441.95311738897</v>
      </c>
      <c r="BI56" s="4">
        <f t="shared" si="68"/>
        <v>392363.863</v>
      </c>
      <c r="BJ56" s="4">
        <f t="shared" si="69"/>
        <v>0</v>
      </c>
      <c r="BK56" s="4">
        <f t="shared" si="70"/>
        <v>129504</v>
      </c>
      <c r="BL56" s="4">
        <f t="shared" si="71"/>
        <v>317636.2</v>
      </c>
      <c r="BM56" s="4">
        <f t="shared" si="72"/>
        <v>356224.4</v>
      </c>
      <c r="BN56" s="4">
        <v>25.305153198123197</v>
      </c>
      <c r="BO56" s="8">
        <f t="shared" si="73"/>
        <v>0.0743125</v>
      </c>
      <c r="BP56" s="4">
        <f t="shared" si="74"/>
        <v>1385170.4161173892</v>
      </c>
      <c r="BQ56" s="4">
        <f t="shared" si="75"/>
        <v>1427408.0818039533</v>
      </c>
      <c r="BR56" s="4">
        <f t="shared" si="76"/>
        <v>2379014.2602218306</v>
      </c>
      <c r="BS56" s="4">
        <v>3168273</v>
      </c>
      <c r="BT56" s="26"/>
      <c r="BU56" s="4">
        <f t="shared" si="77"/>
        <v>13.676436553445297</v>
      </c>
      <c r="BV56" s="4">
        <f t="shared" si="78"/>
        <v>28.32603544189095</v>
      </c>
      <c r="BW56" s="4">
        <f t="shared" si="79"/>
        <v>0</v>
      </c>
      <c r="BX56" s="4">
        <f t="shared" si="80"/>
        <v>9.349318935282898</v>
      </c>
      <c r="BY56" s="4">
        <f t="shared" si="81"/>
        <v>22.931200111126344</v>
      </c>
      <c r="BZ56" s="4">
        <f t="shared" si="82"/>
        <v>25.717008958254496</v>
      </c>
      <c r="CB56" s="4">
        <f t="shared" si="83"/>
        <v>48.64820906938084</v>
      </c>
      <c r="CD56" s="4">
        <f t="shared" si="45"/>
        <v>-1.3760716379241291</v>
      </c>
      <c r="CE56" s="4">
        <f t="shared" si="46"/>
        <v>-1.0309803611357609</v>
      </c>
      <c r="CF56" s="4">
        <f t="shared" si="47"/>
        <v>4.733390965794089</v>
      </c>
      <c r="CG56" s="4">
        <f t="shared" si="48"/>
        <v>14.187750906727995</v>
      </c>
      <c r="CH56" s="4">
        <f t="shared" si="49"/>
        <v>-7.791903531788533</v>
      </c>
      <c r="CI56" s="4">
        <f t="shared" si="50"/>
        <v>-8.722186341673659</v>
      </c>
      <c r="CK56" s="4">
        <f t="shared" si="51"/>
        <v>-16.51408987346219</v>
      </c>
      <c r="CL56" s="4">
        <f t="shared" si="52"/>
        <v>-2.755421720084392</v>
      </c>
      <c r="CM56" s="4">
        <f t="shared" si="84"/>
        <v>57.997528004663735</v>
      </c>
    </row>
    <row r="57" spans="1:91" ht="15">
      <c r="A57" s="22" t="s">
        <v>131</v>
      </c>
      <c r="B57" s="47">
        <v>8</v>
      </c>
      <c r="C57" s="23">
        <v>1166467</v>
      </c>
      <c r="D57" s="6">
        <v>0.14218357</v>
      </c>
      <c r="E57" s="24">
        <f t="shared" si="56"/>
        <v>165852.44234719002</v>
      </c>
      <c r="F57" s="25"/>
      <c r="G57" s="24">
        <f t="shared" si="57"/>
        <v>0</v>
      </c>
      <c r="H57" s="6">
        <v>0</v>
      </c>
      <c r="I57" s="6">
        <f t="shared" si="44"/>
        <v>0</v>
      </c>
      <c r="J57" s="6">
        <f t="shared" si="58"/>
        <v>0</v>
      </c>
      <c r="K57" s="6">
        <f t="shared" si="85"/>
        <v>0</v>
      </c>
      <c r="L57" s="24">
        <f t="shared" si="59"/>
        <v>0</v>
      </c>
      <c r="M57" s="24">
        <f t="shared" si="60"/>
        <v>1000614.55765281</v>
      </c>
      <c r="N57" s="6">
        <f t="shared" si="61"/>
        <v>0</v>
      </c>
      <c r="O57" s="6">
        <f t="shared" si="62"/>
        <v>0</v>
      </c>
      <c r="P57" s="24">
        <f t="shared" si="63"/>
        <v>0</v>
      </c>
      <c r="Q57" s="24"/>
      <c r="R57" s="24">
        <f t="shared" si="64"/>
        <v>1285326.3698835722</v>
      </c>
      <c r="S57" s="24">
        <f t="shared" si="65"/>
        <v>1552711.8852917347</v>
      </c>
      <c r="T57" s="24">
        <f t="shared" si="66"/>
        <v>1607983.1064944456</v>
      </c>
      <c r="U57" s="24">
        <f t="shared" si="53"/>
        <v>1576943.1198835722</v>
      </c>
      <c r="V57" s="24">
        <f t="shared" si="54"/>
        <v>1844328.6352917347</v>
      </c>
      <c r="W57" s="24">
        <f t="shared" si="55"/>
        <v>1899599.8564944456</v>
      </c>
      <c r="X57" s="22"/>
      <c r="Y57" s="3">
        <v>219874</v>
      </c>
      <c r="Z57" s="4">
        <v>0</v>
      </c>
      <c r="AA57" s="3">
        <v>213401</v>
      </c>
      <c r="AB57" s="4">
        <v>0</v>
      </c>
      <c r="AC57" s="4">
        <v>2</v>
      </c>
      <c r="AD57" s="4">
        <v>8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9</v>
      </c>
      <c r="AP57" s="1">
        <v>38</v>
      </c>
      <c r="AQ57" s="1">
        <v>0</v>
      </c>
      <c r="AR57" s="4">
        <v>0</v>
      </c>
      <c r="AS57" s="4">
        <v>82</v>
      </c>
      <c r="AT57" s="4">
        <v>1792</v>
      </c>
      <c r="AU57" s="4">
        <v>0</v>
      </c>
      <c r="AV57" s="4">
        <v>0</v>
      </c>
      <c r="AW57" s="4">
        <v>1874</v>
      </c>
      <c r="AX57" s="4">
        <v>6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93479</v>
      </c>
      <c r="BH57" s="4">
        <f t="shared" si="67"/>
        <v>144781.15688357217</v>
      </c>
      <c r="BI57" s="4">
        <f t="shared" si="68"/>
        <v>344215.813</v>
      </c>
      <c r="BJ57" s="4">
        <f t="shared" si="69"/>
        <v>70906</v>
      </c>
      <c r="BK57" s="4">
        <f t="shared" si="70"/>
        <v>190209</v>
      </c>
      <c r="BL57" s="4">
        <f t="shared" si="71"/>
        <v>254489.2</v>
      </c>
      <c r="BM57" s="4">
        <f t="shared" si="72"/>
        <v>280725.2</v>
      </c>
      <c r="BN57" s="4">
        <v>35.16829316546716</v>
      </c>
      <c r="BO57" s="8">
        <f t="shared" si="73"/>
        <v>0.039872340425531914</v>
      </c>
      <c r="BP57" s="4">
        <f t="shared" si="74"/>
        <v>1285326.3698835722</v>
      </c>
      <c r="BQ57" s="4">
        <f t="shared" si="75"/>
        <v>1552711.8852917347</v>
      </c>
      <c r="BR57" s="4">
        <f t="shared" si="76"/>
        <v>1607983.1064944456</v>
      </c>
      <c r="BS57" s="4">
        <v>1086678</v>
      </c>
      <c r="BT57" s="26"/>
      <c r="BU57" s="4">
        <f t="shared" si="77"/>
        <v>11.26415518081114</v>
      </c>
      <c r="BV57" s="4">
        <f t="shared" si="78"/>
        <v>26.780420993866315</v>
      </c>
      <c r="BW57" s="4">
        <f t="shared" si="79"/>
        <v>5.5165755298728385</v>
      </c>
      <c r="BX57" s="4">
        <f t="shared" si="80"/>
        <v>14.79849822245766</v>
      </c>
      <c r="BY57" s="4">
        <f t="shared" si="81"/>
        <v>19.79957822098151</v>
      </c>
      <c r="BZ57" s="4">
        <f t="shared" si="82"/>
        <v>21.840771852010533</v>
      </c>
      <c r="CB57" s="4">
        <f t="shared" si="83"/>
        <v>41.64035007299204</v>
      </c>
      <c r="CD57" s="4">
        <f t="shared" si="45"/>
        <v>1.0362097347100274</v>
      </c>
      <c r="CE57" s="4">
        <f t="shared" si="46"/>
        <v>0.5146340868888757</v>
      </c>
      <c r="CF57" s="4">
        <f t="shared" si="47"/>
        <v>-0.7831845640787494</v>
      </c>
      <c r="CG57" s="4">
        <f t="shared" si="48"/>
        <v>8.738571619553234</v>
      </c>
      <c r="CH57" s="4">
        <f t="shared" si="49"/>
        <v>-4.660281641643698</v>
      </c>
      <c r="CI57" s="4">
        <f t="shared" si="50"/>
        <v>-4.845949235429696</v>
      </c>
      <c r="CK57" s="4">
        <f t="shared" si="51"/>
        <v>-9.506230877073392</v>
      </c>
      <c r="CL57" s="4">
        <f t="shared" si="52"/>
        <v>0</v>
      </c>
      <c r="CM57" s="4">
        <f t="shared" si="84"/>
        <v>61.95542382532254</v>
      </c>
    </row>
    <row r="58" spans="1:91" ht="15">
      <c r="A58" s="22" t="s">
        <v>85</v>
      </c>
      <c r="B58" s="47">
        <v>1</v>
      </c>
      <c r="C58" s="24">
        <v>10778050.399307055</v>
      </c>
      <c r="D58" s="6">
        <v>0.37029072173344524</v>
      </c>
      <c r="E58" s="24">
        <f t="shared" si="56"/>
        <v>3991012.061238857</v>
      </c>
      <c r="F58" s="25"/>
      <c r="G58" s="24">
        <f t="shared" si="57"/>
        <v>0</v>
      </c>
      <c r="H58" s="6">
        <v>0.2147209215575565</v>
      </c>
      <c r="I58" s="6">
        <f t="shared" si="44"/>
        <v>0</v>
      </c>
      <c r="J58" s="6">
        <f t="shared" si="58"/>
        <v>0</v>
      </c>
      <c r="K58" s="6">
        <f t="shared" si="85"/>
        <v>0</v>
      </c>
      <c r="L58" s="24">
        <f t="shared" si="59"/>
        <v>2314272.914333001</v>
      </c>
      <c r="M58" s="24">
        <f t="shared" si="60"/>
        <v>6787038.338068198</v>
      </c>
      <c r="N58" s="6">
        <f t="shared" si="61"/>
        <v>0.05368023038938913</v>
      </c>
      <c r="O58" s="6">
        <f t="shared" si="62"/>
        <v>0.05</v>
      </c>
      <c r="P58" s="24">
        <f t="shared" si="63"/>
        <v>538902.5199653528</v>
      </c>
      <c r="Q58" s="24"/>
      <c r="R58" s="24">
        <f t="shared" si="64"/>
        <v>8438302.968778122</v>
      </c>
      <c r="S58" s="24">
        <f t="shared" si="65"/>
        <v>9743668.741108464</v>
      </c>
      <c r="T58" s="24">
        <f t="shared" si="66"/>
        <v>10906738.550708182</v>
      </c>
      <c r="U58" s="24">
        <f t="shared" si="53"/>
        <v>11132815.568604887</v>
      </c>
      <c r="V58" s="24">
        <f t="shared" si="54"/>
        <v>12438181.340935228</v>
      </c>
      <c r="W58" s="24">
        <f t="shared" si="55"/>
        <v>13601251.150534946</v>
      </c>
      <c r="X58" s="22"/>
      <c r="Y58" s="3">
        <v>893897</v>
      </c>
      <c r="Z58" s="4">
        <v>0</v>
      </c>
      <c r="AA58" s="3">
        <v>875899</v>
      </c>
      <c r="AB58" s="4">
        <v>0</v>
      </c>
      <c r="AC58" s="3">
        <v>1</v>
      </c>
      <c r="AD58" s="3">
        <v>2</v>
      </c>
      <c r="AE58" s="3">
        <v>0</v>
      </c>
      <c r="AF58" s="3">
        <v>0</v>
      </c>
      <c r="AG58" s="3">
        <v>0</v>
      </c>
      <c r="AH58" s="3">
        <v>0</v>
      </c>
      <c r="AI58" s="3">
        <v>1</v>
      </c>
      <c r="AJ58" s="3">
        <v>376</v>
      </c>
      <c r="AK58" s="3">
        <v>3</v>
      </c>
      <c r="AL58" s="3">
        <v>1540</v>
      </c>
      <c r="AM58" s="3">
        <v>1</v>
      </c>
      <c r="AN58" s="3">
        <v>675</v>
      </c>
      <c r="AO58" s="4">
        <v>20</v>
      </c>
      <c r="AP58" s="1">
        <v>140</v>
      </c>
      <c r="AQ58" s="1">
        <v>28</v>
      </c>
      <c r="AR58" s="4">
        <v>0</v>
      </c>
      <c r="AS58" s="3">
        <v>143</v>
      </c>
      <c r="AT58" s="3">
        <v>5815</v>
      </c>
      <c r="AU58" s="3">
        <v>898</v>
      </c>
      <c r="AV58" s="3">
        <v>0</v>
      </c>
      <c r="AW58" s="3">
        <v>8072</v>
      </c>
      <c r="AX58" s="3">
        <v>30</v>
      </c>
      <c r="AY58" s="3">
        <v>10</v>
      </c>
      <c r="AZ58" s="3">
        <v>25</v>
      </c>
      <c r="BA58" s="3">
        <v>1</v>
      </c>
      <c r="BB58" s="3">
        <v>1</v>
      </c>
      <c r="BC58" s="3">
        <v>1</v>
      </c>
      <c r="BD58" s="3">
        <v>1</v>
      </c>
      <c r="BE58" s="3">
        <v>1</v>
      </c>
      <c r="BF58" s="3">
        <v>604444</v>
      </c>
      <c r="BH58" s="4">
        <f t="shared" si="67"/>
        <v>535139.2817781222</v>
      </c>
      <c r="BI58" s="4">
        <f t="shared" si="68"/>
        <v>1412825.087</v>
      </c>
      <c r="BJ58" s="4">
        <f t="shared" si="69"/>
        <v>1047857</v>
      </c>
      <c r="BK58" s="4">
        <f t="shared" si="70"/>
        <v>3037880</v>
      </c>
      <c r="BL58" s="4">
        <f t="shared" si="71"/>
        <v>1195416</v>
      </c>
      <c r="BM58" s="4">
        <f t="shared" si="72"/>
        <v>1209185.6</v>
      </c>
      <c r="BN58" s="4">
        <v>32.205294201401365</v>
      </c>
      <c r="BO58" s="8">
        <f t="shared" si="73"/>
        <v>0.04293617021276596</v>
      </c>
      <c r="BP58" s="4">
        <f t="shared" si="74"/>
        <v>8438302.968778122</v>
      </c>
      <c r="BQ58" s="4">
        <f t="shared" si="75"/>
        <v>9743668.741108464</v>
      </c>
      <c r="BR58" s="4">
        <f t="shared" si="76"/>
        <v>10906738.550708182</v>
      </c>
      <c r="BS58" s="4">
        <v>7609252</v>
      </c>
      <c r="BT58" s="26"/>
      <c r="BU58" s="4">
        <f t="shared" si="77"/>
        <v>6.341787960898625</v>
      </c>
      <c r="BV58" s="4">
        <f t="shared" si="78"/>
        <v>16.743000248124286</v>
      </c>
      <c r="BW58" s="4">
        <f t="shared" si="79"/>
        <v>12.417864159145392</v>
      </c>
      <c r="BX58" s="4">
        <f t="shared" si="80"/>
        <v>36.00107760103201</v>
      </c>
      <c r="BY58" s="4">
        <f t="shared" si="81"/>
        <v>14.166545150405968</v>
      </c>
      <c r="BZ58" s="4">
        <f t="shared" si="82"/>
        <v>14.329724880393716</v>
      </c>
      <c r="CB58" s="4">
        <f t="shared" si="83"/>
        <v>28.496270030799685</v>
      </c>
      <c r="CD58" s="4">
        <f t="shared" si="45"/>
        <v>5.9585769546225436</v>
      </c>
      <c r="CE58" s="4">
        <f t="shared" si="46"/>
        <v>10.552054832630905</v>
      </c>
      <c r="CF58" s="4">
        <f t="shared" si="47"/>
        <v>-7.684473193351303</v>
      </c>
      <c r="CG58" s="4">
        <f t="shared" si="48"/>
        <v>-12.464007759021115</v>
      </c>
      <c r="CH58" s="4">
        <f t="shared" si="49"/>
        <v>0.9727514289318435</v>
      </c>
      <c r="CI58" s="4">
        <f t="shared" si="50"/>
        <v>2.6650977361871213</v>
      </c>
      <c r="CK58" s="4">
        <f t="shared" si="51"/>
        <v>3.637849165118965</v>
      </c>
      <c r="CL58" s="4">
        <f t="shared" si="52"/>
        <v>0</v>
      </c>
      <c r="CM58" s="4">
        <f t="shared" si="84"/>
        <v>76.91521179097708</v>
      </c>
    </row>
    <row r="59" spans="1:91" ht="15">
      <c r="A59" s="22" t="s">
        <v>139</v>
      </c>
      <c r="B59" s="47">
        <v>3</v>
      </c>
      <c r="C59" s="24">
        <v>1773680.614861386</v>
      </c>
      <c r="D59" s="6">
        <v>0.1771676046160422</v>
      </c>
      <c r="E59" s="24">
        <f t="shared" si="56"/>
        <v>314238.74588890065</v>
      </c>
      <c r="F59" s="25"/>
      <c r="G59" s="24">
        <f t="shared" si="57"/>
        <v>0</v>
      </c>
      <c r="H59" s="14">
        <v>0.03499106307355648</v>
      </c>
      <c r="I59" s="6">
        <f t="shared" si="44"/>
        <v>0</v>
      </c>
      <c r="J59" s="6">
        <f t="shared" si="58"/>
        <v>0</v>
      </c>
      <c r="K59" s="6">
        <f t="shared" si="85"/>
        <v>0</v>
      </c>
      <c r="L59" s="24">
        <f t="shared" si="59"/>
        <v>62062.9702669592</v>
      </c>
      <c r="M59" s="24">
        <f t="shared" si="60"/>
        <v>1459441.8689724852</v>
      </c>
      <c r="N59" s="6">
        <f t="shared" si="61"/>
        <v>0.00874776576838912</v>
      </c>
      <c r="O59" s="6">
        <f t="shared" si="62"/>
        <v>0</v>
      </c>
      <c r="P59" s="24">
        <f t="shared" si="63"/>
        <v>0</v>
      </c>
      <c r="Q59" s="28"/>
      <c r="R59" s="24">
        <f t="shared" si="64"/>
        <v>2293712.0423341384</v>
      </c>
      <c r="S59" s="24">
        <f t="shared" si="65"/>
        <v>2551114.440297981</v>
      </c>
      <c r="T59" s="24">
        <f t="shared" si="66"/>
        <v>2158714.727110699</v>
      </c>
      <c r="U59" s="24">
        <f t="shared" si="53"/>
        <v>2737132.196049485</v>
      </c>
      <c r="V59" s="24">
        <f t="shared" si="54"/>
        <v>2994534.5940133273</v>
      </c>
      <c r="W59" s="24">
        <f t="shared" si="55"/>
        <v>2602134.8808260453</v>
      </c>
      <c r="X59" s="22"/>
      <c r="Y59" s="3">
        <v>381754</v>
      </c>
      <c r="Z59" s="4">
        <v>0</v>
      </c>
      <c r="AA59" s="3">
        <v>381754</v>
      </c>
      <c r="AB59" s="4">
        <v>0</v>
      </c>
      <c r="AC59" s="4">
        <v>8</v>
      </c>
      <c r="AD59" s="4">
        <v>141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80</v>
      </c>
      <c r="AP59" s="1">
        <v>51</v>
      </c>
      <c r="AQ59" s="1">
        <v>0</v>
      </c>
      <c r="AR59" s="4">
        <v>0</v>
      </c>
      <c r="AS59" s="4">
        <v>284</v>
      </c>
      <c r="AT59" s="4">
        <v>1841</v>
      </c>
      <c r="AU59" s="4">
        <v>0</v>
      </c>
      <c r="AV59" s="4">
        <v>0</v>
      </c>
      <c r="AW59" s="4">
        <v>2226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197010</v>
      </c>
      <c r="BH59" s="4">
        <f t="shared" si="67"/>
        <v>242132.0403341381</v>
      </c>
      <c r="BI59" s="4">
        <f t="shared" si="68"/>
        <v>615769.202</v>
      </c>
      <c r="BJ59" s="4">
        <f t="shared" si="69"/>
        <v>283624</v>
      </c>
      <c r="BK59" s="4">
        <f t="shared" si="70"/>
        <v>530157</v>
      </c>
      <c r="BL59" s="4">
        <f t="shared" si="71"/>
        <v>288575</v>
      </c>
      <c r="BM59" s="4">
        <f t="shared" si="72"/>
        <v>333454.80000000005</v>
      </c>
      <c r="BN59" s="4">
        <v>29.84560478611545</v>
      </c>
      <c r="BO59" s="8">
        <f t="shared" si="73"/>
        <v>0.01699236641221374</v>
      </c>
      <c r="BP59" s="4">
        <f t="shared" si="74"/>
        <v>2293712.0423341384</v>
      </c>
      <c r="BQ59" s="4">
        <f t="shared" si="75"/>
        <v>2551114.440297981</v>
      </c>
      <c r="BR59" s="4">
        <f t="shared" si="76"/>
        <v>2158714.727110699</v>
      </c>
      <c r="BS59" s="4">
        <v>1863230</v>
      </c>
      <c r="BT59" s="26"/>
      <c r="BU59" s="4">
        <f t="shared" si="77"/>
        <v>10.55633993566771</v>
      </c>
      <c r="BV59" s="4">
        <f t="shared" si="78"/>
        <v>26.845968048080614</v>
      </c>
      <c r="BW59" s="4">
        <f t="shared" si="79"/>
        <v>12.36528364351164</v>
      </c>
      <c r="BX59" s="4">
        <f t="shared" si="80"/>
        <v>23.113494205684994</v>
      </c>
      <c r="BY59" s="4">
        <f t="shared" si="81"/>
        <v>12.581134626922868</v>
      </c>
      <c r="BZ59" s="4">
        <f t="shared" si="82"/>
        <v>14.537779540132167</v>
      </c>
      <c r="CB59" s="4">
        <f t="shared" si="83"/>
        <v>27.118914167055035</v>
      </c>
      <c r="CD59" s="4">
        <f t="shared" si="45"/>
        <v>1.7440249798534584</v>
      </c>
      <c r="CE59" s="4">
        <f t="shared" si="46"/>
        <v>0.4490870326745764</v>
      </c>
      <c r="CF59" s="4">
        <f t="shared" si="47"/>
        <v>-7.631892677717551</v>
      </c>
      <c r="CG59" s="4">
        <f t="shared" si="48"/>
        <v>0.4235756363259</v>
      </c>
      <c r="CH59" s="4">
        <f t="shared" si="49"/>
        <v>2.5581619524149435</v>
      </c>
      <c r="CI59" s="4">
        <f t="shared" si="50"/>
        <v>2.45704307644867</v>
      </c>
      <c r="CK59" s="4">
        <f t="shared" si="51"/>
        <v>5.015205028863615</v>
      </c>
      <c r="CL59" s="4">
        <f t="shared" si="52"/>
        <v>0</v>
      </c>
      <c r="CM59" s="4">
        <f t="shared" si="84"/>
        <v>62.59769201625167</v>
      </c>
    </row>
    <row r="60" spans="1:91" ht="15">
      <c r="A60" s="22" t="s">
        <v>66</v>
      </c>
      <c r="B60" s="47">
        <v>8</v>
      </c>
      <c r="C60" s="23">
        <v>559568</v>
      </c>
      <c r="D60" s="6">
        <v>0</v>
      </c>
      <c r="E60" s="24">
        <f t="shared" si="56"/>
        <v>0</v>
      </c>
      <c r="F60" s="25"/>
      <c r="G60" s="24">
        <f t="shared" si="57"/>
        <v>0</v>
      </c>
      <c r="H60" s="6">
        <v>0</v>
      </c>
      <c r="I60" s="6">
        <f t="shared" si="44"/>
        <v>0</v>
      </c>
      <c r="J60" s="6">
        <f t="shared" si="58"/>
        <v>0</v>
      </c>
      <c r="K60" s="6">
        <f t="shared" si="85"/>
        <v>0</v>
      </c>
      <c r="L60" s="24">
        <f t="shared" si="59"/>
        <v>0</v>
      </c>
      <c r="M60" s="24">
        <v>849684</v>
      </c>
      <c r="N60" s="6">
        <f t="shared" si="61"/>
        <v>0</v>
      </c>
      <c r="O60" s="6">
        <f t="shared" si="62"/>
        <v>0</v>
      </c>
      <c r="P60" s="24">
        <f t="shared" si="63"/>
        <v>0</v>
      </c>
      <c r="Q60" s="24"/>
      <c r="R60" s="24">
        <f t="shared" si="64"/>
        <v>1139944.9781631392</v>
      </c>
      <c r="S60" s="24">
        <f t="shared" si="65"/>
        <v>1530979.5783831528</v>
      </c>
      <c r="T60" s="24">
        <f t="shared" si="66"/>
        <v>935670.4207605217</v>
      </c>
      <c r="U60" s="24">
        <f t="shared" si="53"/>
        <v>1279836.9781631392</v>
      </c>
      <c r="V60" s="24">
        <f t="shared" si="54"/>
        <v>1670871.5783831528</v>
      </c>
      <c r="W60" s="24">
        <f t="shared" si="55"/>
        <v>1075562.4207605217</v>
      </c>
      <c r="X60" s="22"/>
      <c r="Y60" s="3">
        <v>258054</v>
      </c>
      <c r="Z60" s="4">
        <v>0</v>
      </c>
      <c r="AA60" s="3">
        <v>249204</v>
      </c>
      <c r="AB60" s="4">
        <v>0</v>
      </c>
      <c r="AC60" s="3">
        <v>1</v>
      </c>
      <c r="AD60" s="3">
        <v>20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4">
        <v>84</v>
      </c>
      <c r="AP60" s="1">
        <v>0</v>
      </c>
      <c r="AQ60" s="1">
        <v>0</v>
      </c>
      <c r="AR60" s="4">
        <v>0</v>
      </c>
      <c r="AS60" s="3">
        <v>681</v>
      </c>
      <c r="AT60" s="3">
        <v>0</v>
      </c>
      <c r="AU60" s="3">
        <v>0</v>
      </c>
      <c r="AV60" s="3">
        <v>0</v>
      </c>
      <c r="AW60" s="3">
        <v>681</v>
      </c>
      <c r="AX60" s="3">
        <v>7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163145</v>
      </c>
      <c r="BH60" s="4">
        <f t="shared" si="67"/>
        <v>168084.32616313905</v>
      </c>
      <c r="BI60" s="4">
        <f t="shared" si="68"/>
        <v>401966.052</v>
      </c>
      <c r="BJ60" s="4">
        <f t="shared" si="69"/>
        <v>35453</v>
      </c>
      <c r="BK60" s="4">
        <f t="shared" si="70"/>
        <v>339948</v>
      </c>
      <c r="BL60" s="4">
        <f t="shared" si="71"/>
        <v>92479.8</v>
      </c>
      <c r="BM60" s="4">
        <f t="shared" si="72"/>
        <v>102013.8</v>
      </c>
      <c r="BN60" s="4">
        <v>42.66829796908808</v>
      </c>
      <c r="BO60" s="8">
        <f t="shared" si="73"/>
        <v>0.008107142857142858</v>
      </c>
      <c r="BP60" s="4">
        <f t="shared" si="74"/>
        <v>1139944.9781631392</v>
      </c>
      <c r="BQ60" s="4">
        <f t="shared" si="75"/>
        <v>1530979.5783831528</v>
      </c>
      <c r="BR60" s="4">
        <f t="shared" si="76"/>
        <v>935670.4207605217</v>
      </c>
      <c r="BS60" s="4">
        <v>735003</v>
      </c>
      <c r="BT60" s="26"/>
      <c r="BU60" s="4">
        <f t="shared" si="77"/>
        <v>14.744950798764275</v>
      </c>
      <c r="BV60" s="4">
        <f t="shared" si="78"/>
        <v>35.26188190659094</v>
      </c>
      <c r="BW60" s="4">
        <f t="shared" si="79"/>
        <v>3.1100623871449935</v>
      </c>
      <c r="BX60" s="4">
        <f t="shared" si="80"/>
        <v>29.821439324885517</v>
      </c>
      <c r="BY60" s="4">
        <f t="shared" si="81"/>
        <v>8.112654713301879</v>
      </c>
      <c r="BZ60" s="4">
        <f t="shared" si="82"/>
        <v>8.949010869312383</v>
      </c>
      <c r="CB60" s="4">
        <f t="shared" si="83"/>
        <v>17.06166558261426</v>
      </c>
      <c r="CD60" s="4">
        <f t="shared" si="45"/>
        <v>-2.444585883243107</v>
      </c>
      <c r="CE60" s="4">
        <f t="shared" si="46"/>
        <v>-7.966826825835753</v>
      </c>
      <c r="CF60" s="4">
        <f t="shared" si="47"/>
        <v>1.6233285786490956</v>
      </c>
      <c r="CG60" s="4">
        <f t="shared" si="48"/>
        <v>-6.284369482874624</v>
      </c>
      <c r="CH60" s="4">
        <f t="shared" si="49"/>
        <v>7.026641866035932</v>
      </c>
      <c r="CI60" s="4">
        <f t="shared" si="50"/>
        <v>8.045811747268454</v>
      </c>
      <c r="CK60" s="4">
        <f t="shared" si="51"/>
        <v>15.07245361330439</v>
      </c>
      <c r="CL60" s="4">
        <f t="shared" si="52"/>
        <v>0</v>
      </c>
      <c r="CM60" s="4">
        <f t="shared" si="84"/>
        <v>49.99316729464477</v>
      </c>
    </row>
    <row r="61" spans="1:91" ht="15">
      <c r="A61" s="22" t="s">
        <v>90</v>
      </c>
      <c r="B61" s="47">
        <v>8</v>
      </c>
      <c r="C61" s="23">
        <v>1554489</v>
      </c>
      <c r="D61" s="6">
        <v>0.29349909678972963</v>
      </c>
      <c r="E61" s="24">
        <f t="shared" si="56"/>
        <v>456241.11746957</v>
      </c>
      <c r="F61" s="25"/>
      <c r="G61" s="24">
        <f t="shared" si="57"/>
        <v>0</v>
      </c>
      <c r="H61" s="6">
        <v>0.1499455785245345</v>
      </c>
      <c r="I61" s="6">
        <f t="shared" si="44"/>
        <v>0</v>
      </c>
      <c r="J61" s="6">
        <f t="shared" si="58"/>
        <v>0</v>
      </c>
      <c r="K61" s="6">
        <f t="shared" si="85"/>
        <v>0</v>
      </c>
      <c r="L61" s="24">
        <f t="shared" si="59"/>
        <v>233088.7524150251</v>
      </c>
      <c r="M61" s="24">
        <f t="shared" si="60"/>
        <v>1098247.8825304299</v>
      </c>
      <c r="N61" s="6">
        <f t="shared" si="61"/>
        <v>0.037486394631133624</v>
      </c>
      <c r="O61" s="6">
        <f t="shared" si="62"/>
        <v>0.037486394631133624</v>
      </c>
      <c r="P61" s="24">
        <f t="shared" si="63"/>
        <v>58272.18810375628</v>
      </c>
      <c r="Q61" s="24"/>
      <c r="R61" s="24">
        <f t="shared" si="64"/>
        <v>1652919.067333621</v>
      </c>
      <c r="S61" s="24">
        <f t="shared" si="65"/>
        <v>1940319.6217760607</v>
      </c>
      <c r="T61" s="24">
        <f t="shared" si="66"/>
        <v>1612408.2040939287</v>
      </c>
      <c r="U61" s="24">
        <f t="shared" si="53"/>
        <v>2041541.317333621</v>
      </c>
      <c r="V61" s="24">
        <f t="shared" si="54"/>
        <v>2328941.8717760607</v>
      </c>
      <c r="W61" s="24">
        <f t="shared" si="55"/>
        <v>2001030.4540939287</v>
      </c>
      <c r="X61" s="22"/>
      <c r="Y61" s="3">
        <v>282411</v>
      </c>
      <c r="Z61" s="4">
        <v>0</v>
      </c>
      <c r="AA61" s="3">
        <v>272787</v>
      </c>
      <c r="AB61" s="4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4">
        <v>40</v>
      </c>
      <c r="AP61" s="1">
        <v>66</v>
      </c>
      <c r="AQ61" s="1">
        <v>0</v>
      </c>
      <c r="AR61" s="4">
        <v>0</v>
      </c>
      <c r="AS61" s="3">
        <v>281</v>
      </c>
      <c r="AT61" s="3">
        <v>1862</v>
      </c>
      <c r="AU61" s="3">
        <v>0</v>
      </c>
      <c r="AV61" s="3">
        <v>0</v>
      </c>
      <c r="AW61" s="3">
        <v>2070</v>
      </c>
      <c r="AX61" s="3">
        <v>4</v>
      </c>
      <c r="AY61" s="3">
        <v>9</v>
      </c>
      <c r="AZ61" s="3">
        <v>2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79958</v>
      </c>
      <c r="BH61" s="4">
        <f t="shared" si="67"/>
        <v>182826.23633362082</v>
      </c>
      <c r="BI61" s="4">
        <f t="shared" si="68"/>
        <v>440005.431</v>
      </c>
      <c r="BJ61" s="4">
        <f t="shared" si="69"/>
        <v>0</v>
      </c>
      <c r="BK61" s="4">
        <f t="shared" si="70"/>
        <v>428982</v>
      </c>
      <c r="BL61" s="4">
        <f t="shared" si="71"/>
        <v>291019.4</v>
      </c>
      <c r="BM61" s="4">
        <f t="shared" si="72"/>
        <v>310086</v>
      </c>
      <c r="BN61" s="4">
        <v>33.27080817951075</v>
      </c>
      <c r="BO61" s="8">
        <f t="shared" si="73"/>
        <v>0.019528301886792453</v>
      </c>
      <c r="BP61" s="4">
        <f t="shared" si="74"/>
        <v>1652919.067333621</v>
      </c>
      <c r="BQ61" s="4">
        <f t="shared" si="75"/>
        <v>1940319.6217760607</v>
      </c>
      <c r="BR61" s="4">
        <f t="shared" si="76"/>
        <v>1612408.2040939287</v>
      </c>
      <c r="BS61" s="4">
        <v>1648567</v>
      </c>
      <c r="BT61" s="26"/>
      <c r="BU61" s="4">
        <f t="shared" si="77"/>
        <v>11.060809929946778</v>
      </c>
      <c r="BV61" s="4">
        <f t="shared" si="78"/>
        <v>26.619901705761524</v>
      </c>
      <c r="BW61" s="4">
        <f t="shared" si="79"/>
        <v>0</v>
      </c>
      <c r="BX61" s="4">
        <f t="shared" si="80"/>
        <v>25.952994824604765</v>
      </c>
      <c r="BY61" s="4">
        <f t="shared" si="81"/>
        <v>17.606391368541303</v>
      </c>
      <c r="BZ61" s="4">
        <f t="shared" si="82"/>
        <v>18.759902171145626</v>
      </c>
      <c r="CB61" s="4">
        <f t="shared" si="83"/>
        <v>36.36629353968693</v>
      </c>
      <c r="CD61" s="4">
        <f t="shared" si="45"/>
        <v>1.2395549855743901</v>
      </c>
      <c r="CE61" s="4">
        <f t="shared" si="46"/>
        <v>0.6751533749936662</v>
      </c>
      <c r="CF61" s="4">
        <f t="shared" si="47"/>
        <v>4.733390965794089</v>
      </c>
      <c r="CG61" s="4">
        <f t="shared" si="48"/>
        <v>-2.4159249825938716</v>
      </c>
      <c r="CH61" s="4">
        <f t="shared" si="49"/>
        <v>-2.4670947892034913</v>
      </c>
      <c r="CI61" s="4">
        <f t="shared" si="50"/>
        <v>-1.7650795545647888</v>
      </c>
      <c r="CK61" s="4">
        <f t="shared" si="51"/>
        <v>-4.232174343768278</v>
      </c>
      <c r="CL61" s="4">
        <f t="shared" si="52"/>
        <v>0</v>
      </c>
      <c r="CM61" s="4">
        <f t="shared" si="84"/>
        <v>62.319288364291694</v>
      </c>
    </row>
    <row r="62" spans="1:91" ht="15">
      <c r="A62" s="22" t="s">
        <v>73</v>
      </c>
      <c r="B62" s="47">
        <v>8</v>
      </c>
      <c r="C62" s="23">
        <v>1621260</v>
      </c>
      <c r="D62" s="6">
        <v>0.0249</v>
      </c>
      <c r="E62" s="24">
        <f t="shared" si="56"/>
        <v>40369.373999999996</v>
      </c>
      <c r="F62" s="25"/>
      <c r="G62" s="24">
        <f t="shared" si="57"/>
        <v>0</v>
      </c>
      <c r="H62" s="6">
        <v>0</v>
      </c>
      <c r="I62" s="6">
        <f t="shared" si="44"/>
        <v>0</v>
      </c>
      <c r="J62" s="6">
        <f t="shared" si="58"/>
        <v>0</v>
      </c>
      <c r="K62" s="6">
        <f t="shared" si="85"/>
        <v>0</v>
      </c>
      <c r="L62" s="24">
        <f t="shared" si="59"/>
        <v>0</v>
      </c>
      <c r="M62" s="4">
        <v>1650003</v>
      </c>
      <c r="N62" s="6">
        <f t="shared" si="61"/>
        <v>0</v>
      </c>
      <c r="O62" s="6">
        <f t="shared" si="62"/>
        <v>0</v>
      </c>
      <c r="P62" s="24">
        <f t="shared" si="63"/>
        <v>0</v>
      </c>
      <c r="Q62" s="24"/>
      <c r="R62" s="24">
        <f t="shared" si="64"/>
        <v>2351977.8578715436</v>
      </c>
      <c r="S62" s="24">
        <f t="shared" si="65"/>
        <v>2743941.7090652823</v>
      </c>
      <c r="T62" s="24">
        <f t="shared" si="66"/>
        <v>2280514.7700136327</v>
      </c>
      <c r="U62" s="24">
        <f t="shared" si="53"/>
        <v>2757292.8578715436</v>
      </c>
      <c r="V62" s="24">
        <f t="shared" si="54"/>
        <v>3149256.7090652823</v>
      </c>
      <c r="W62" s="24">
        <f t="shared" si="55"/>
        <v>2685829.7700136327</v>
      </c>
      <c r="X62" s="22"/>
      <c r="Y62" s="3">
        <v>389829</v>
      </c>
      <c r="Z62" s="4">
        <v>0</v>
      </c>
      <c r="AA62" s="4">
        <v>382732</v>
      </c>
      <c r="AB62" s="4">
        <v>0</v>
      </c>
      <c r="AC62" s="3">
        <v>8</v>
      </c>
      <c r="AD62" s="3">
        <v>238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4">
        <v>101</v>
      </c>
      <c r="AP62" s="1">
        <v>26</v>
      </c>
      <c r="AQ62" s="1">
        <v>0</v>
      </c>
      <c r="AR62" s="4">
        <v>0</v>
      </c>
      <c r="AS62" s="3">
        <v>1144</v>
      </c>
      <c r="AT62" s="3">
        <v>1263</v>
      </c>
      <c r="AU62" s="3">
        <v>0</v>
      </c>
      <c r="AV62" s="3">
        <v>0</v>
      </c>
      <c r="AW62" s="3">
        <v>2425</v>
      </c>
      <c r="AX62" s="3">
        <v>7</v>
      </c>
      <c r="AY62" s="3">
        <v>10</v>
      </c>
      <c r="AZ62" s="3">
        <v>4</v>
      </c>
      <c r="BA62" s="3">
        <v>1</v>
      </c>
      <c r="BB62" s="3">
        <v>0</v>
      </c>
      <c r="BC62" s="3">
        <v>0</v>
      </c>
      <c r="BD62" s="3">
        <v>1</v>
      </c>
      <c r="BE62" s="3">
        <v>1</v>
      </c>
      <c r="BF62" s="3">
        <v>207934</v>
      </c>
      <c r="BH62" s="4">
        <f t="shared" si="67"/>
        <v>246902.54187154354</v>
      </c>
      <c r="BI62" s="4">
        <f t="shared" si="68"/>
        <v>617346.716</v>
      </c>
      <c r="BJ62" s="4">
        <f t="shared" si="69"/>
        <v>283624</v>
      </c>
      <c r="BK62" s="4">
        <f t="shared" si="70"/>
        <v>513969</v>
      </c>
      <c r="BL62" s="4">
        <f t="shared" si="71"/>
        <v>326870.60000000003</v>
      </c>
      <c r="BM62" s="4">
        <f t="shared" si="72"/>
        <v>363265</v>
      </c>
      <c r="BN62" s="4">
        <v>32.86960367637258</v>
      </c>
      <c r="BO62" s="8">
        <f t="shared" si="73"/>
        <v>0.01909448818897638</v>
      </c>
      <c r="BP62" s="4">
        <f t="shared" si="74"/>
        <v>2351977.8578715436</v>
      </c>
      <c r="BQ62" s="4">
        <f t="shared" si="75"/>
        <v>2743941.7090652823</v>
      </c>
      <c r="BR62" s="4">
        <f t="shared" si="76"/>
        <v>2280514.7700136327</v>
      </c>
      <c r="BS62" s="4">
        <v>1354504</v>
      </c>
      <c r="BT62" s="26"/>
      <c r="BU62" s="4">
        <f t="shared" si="77"/>
        <v>10.497655879081343</v>
      </c>
      <c r="BV62" s="4">
        <f t="shared" si="78"/>
        <v>26.247981626777594</v>
      </c>
      <c r="BW62" s="4">
        <f t="shared" si="79"/>
        <v>12.058957062489934</v>
      </c>
      <c r="BX62" s="4">
        <f t="shared" si="80"/>
        <v>21.85262919375966</v>
      </c>
      <c r="BY62" s="4">
        <f t="shared" si="81"/>
        <v>13.897690359032817</v>
      </c>
      <c r="BZ62" s="4">
        <f t="shared" si="82"/>
        <v>15.445085878858652</v>
      </c>
      <c r="CB62" s="4">
        <f t="shared" si="83"/>
        <v>29.34277623789147</v>
      </c>
      <c r="CD62" s="4">
        <f t="shared" si="45"/>
        <v>1.8027090364398255</v>
      </c>
      <c r="CE62" s="4">
        <f t="shared" si="46"/>
        <v>1.047073453977596</v>
      </c>
      <c r="CF62" s="4">
        <f t="shared" si="47"/>
        <v>-7.325566096695845</v>
      </c>
      <c r="CG62" s="4">
        <f t="shared" si="48"/>
        <v>1.6844406482512326</v>
      </c>
      <c r="CH62" s="4">
        <f t="shared" si="49"/>
        <v>1.2416062203049947</v>
      </c>
      <c r="CI62" s="4">
        <f t="shared" si="50"/>
        <v>1.549736737722185</v>
      </c>
      <c r="CK62" s="4">
        <f t="shared" si="51"/>
        <v>2.7913429580271796</v>
      </c>
      <c r="CL62" s="4">
        <f t="shared" si="52"/>
        <v>0</v>
      </c>
      <c r="CM62" s="4">
        <f t="shared" si="84"/>
        <v>63.25436249414106</v>
      </c>
    </row>
    <row r="63" spans="1:91" ht="15">
      <c r="A63" s="22" t="s">
        <v>166</v>
      </c>
      <c r="B63" s="47">
        <v>3</v>
      </c>
      <c r="C63" s="24">
        <v>1518558.8540872843</v>
      </c>
      <c r="D63" s="6">
        <v>0.41956198417122026</v>
      </c>
      <c r="E63" s="24">
        <f t="shared" si="56"/>
        <v>637129.5659016356</v>
      </c>
      <c r="F63" s="25"/>
      <c r="G63" s="24">
        <f t="shared" si="57"/>
        <v>0</v>
      </c>
      <c r="H63" s="6">
        <v>0.2760881876019481</v>
      </c>
      <c r="I63" s="6">
        <f t="shared" si="44"/>
        <v>0</v>
      </c>
      <c r="J63" s="6">
        <f t="shared" si="58"/>
        <v>0</v>
      </c>
      <c r="K63" s="6">
        <f t="shared" si="85"/>
        <v>0</v>
      </c>
      <c r="L63" s="24">
        <f t="shared" si="59"/>
        <v>419256.1617918495</v>
      </c>
      <c r="M63" s="24">
        <f t="shared" si="60"/>
        <v>881429.2881856487</v>
      </c>
      <c r="N63" s="6">
        <f t="shared" si="61"/>
        <v>0.06902204690048702</v>
      </c>
      <c r="O63" s="6">
        <f t="shared" si="62"/>
        <v>0.05</v>
      </c>
      <c r="P63" s="24">
        <f t="shared" si="63"/>
        <v>75927.94270436422</v>
      </c>
      <c r="Q63" s="28"/>
      <c r="R63" s="24">
        <f t="shared" si="64"/>
        <v>1443301.8548298618</v>
      </c>
      <c r="S63" s="24">
        <f t="shared" si="65"/>
        <v>1524419.7370952242</v>
      </c>
      <c r="T63" s="24">
        <f t="shared" si="66"/>
        <v>1340260.10928787</v>
      </c>
      <c r="U63" s="24">
        <f t="shared" si="53"/>
        <v>1822941.5683516827</v>
      </c>
      <c r="V63" s="24">
        <f t="shared" si="54"/>
        <v>1904059.4506170452</v>
      </c>
      <c r="W63" s="24">
        <f t="shared" si="55"/>
        <v>1719899.822809691</v>
      </c>
      <c r="X63" s="22"/>
      <c r="Y63" s="3">
        <v>237476</v>
      </c>
      <c r="Z63" s="4">
        <v>0</v>
      </c>
      <c r="AA63" s="3">
        <v>15533</v>
      </c>
      <c r="AB63" s="3">
        <v>215728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4">
        <v>70</v>
      </c>
      <c r="AP63" s="1">
        <v>35</v>
      </c>
      <c r="AQ63" s="1">
        <v>0</v>
      </c>
      <c r="AR63" s="4">
        <v>0</v>
      </c>
      <c r="AS63" s="3">
        <v>278</v>
      </c>
      <c r="AT63" s="3">
        <v>1212</v>
      </c>
      <c r="AU63" s="3">
        <v>0</v>
      </c>
      <c r="AV63" s="3">
        <v>0</v>
      </c>
      <c r="AW63" s="3">
        <v>1687</v>
      </c>
      <c r="AX63" s="3">
        <v>37</v>
      </c>
      <c r="AY63" s="3">
        <v>48</v>
      </c>
      <c r="AZ63" s="3">
        <v>5</v>
      </c>
      <c r="BA63" s="3">
        <v>1</v>
      </c>
      <c r="BB63" s="3">
        <v>78</v>
      </c>
      <c r="BC63" s="3">
        <v>0</v>
      </c>
      <c r="BD63" s="3">
        <v>0</v>
      </c>
      <c r="BE63" s="3">
        <v>1</v>
      </c>
      <c r="BF63" s="3">
        <v>136825</v>
      </c>
      <c r="BH63" s="4">
        <f t="shared" si="67"/>
        <v>155556.05382986163</v>
      </c>
      <c r="BI63" s="4">
        <f t="shared" si="68"/>
        <v>407756.201</v>
      </c>
      <c r="BJ63" s="4">
        <f t="shared" si="69"/>
        <v>0</v>
      </c>
      <c r="BK63" s="4">
        <f t="shared" si="70"/>
        <v>424935</v>
      </c>
      <c r="BL63" s="4">
        <f t="shared" si="71"/>
        <v>202342.00000000003</v>
      </c>
      <c r="BM63" s="4">
        <f t="shared" si="72"/>
        <v>252712.6</v>
      </c>
      <c r="BN63" s="4">
        <v>26.733499542652066</v>
      </c>
      <c r="BO63" s="8">
        <f t="shared" si="73"/>
        <v>0.016066666666666667</v>
      </c>
      <c r="BP63" s="4">
        <f t="shared" si="74"/>
        <v>1443301.8548298618</v>
      </c>
      <c r="BQ63" s="4">
        <f t="shared" si="75"/>
        <v>1524419.7370952242</v>
      </c>
      <c r="BR63" s="4">
        <f t="shared" si="76"/>
        <v>1340260.10928787</v>
      </c>
      <c r="BS63" s="4">
        <v>1538241</v>
      </c>
      <c r="BT63" s="26"/>
      <c r="BU63" s="4">
        <f t="shared" si="77"/>
        <v>10.777790751761957</v>
      </c>
      <c r="BV63" s="4">
        <f t="shared" si="78"/>
        <v>28.251623153915144</v>
      </c>
      <c r="BW63" s="4">
        <f t="shared" si="79"/>
        <v>0</v>
      </c>
      <c r="BX63" s="4">
        <f t="shared" si="80"/>
        <v>29.441866133407824</v>
      </c>
      <c r="BY63" s="4">
        <f t="shared" si="81"/>
        <v>14.019381969397687</v>
      </c>
      <c r="BZ63" s="4">
        <f t="shared" si="82"/>
        <v>17.50933799151738</v>
      </c>
      <c r="CB63" s="4">
        <f t="shared" si="83"/>
        <v>31.52871996091507</v>
      </c>
      <c r="CD63" s="4">
        <f t="shared" si="45"/>
        <v>1.5225741637592112</v>
      </c>
      <c r="CE63" s="4">
        <f t="shared" si="46"/>
        <v>-0.9565680731599535</v>
      </c>
      <c r="CF63" s="4">
        <f t="shared" si="47"/>
        <v>4.733390965794089</v>
      </c>
      <c r="CG63" s="4">
        <f t="shared" si="48"/>
        <v>-5.904796291396931</v>
      </c>
      <c r="CH63" s="4">
        <f t="shared" si="49"/>
        <v>1.1199146099401247</v>
      </c>
      <c r="CI63" s="4">
        <f t="shared" si="50"/>
        <v>-0.5145153749365434</v>
      </c>
      <c r="CK63" s="4">
        <f t="shared" si="51"/>
        <v>0.6053992350035813</v>
      </c>
      <c r="CL63" s="4">
        <f t="shared" si="52"/>
        <v>0</v>
      </c>
      <c r="CM63" s="4">
        <f t="shared" si="84"/>
        <v>60.9705860943229</v>
      </c>
    </row>
    <row r="64" spans="1:91" ht="15">
      <c r="A64" s="22" t="s">
        <v>140</v>
      </c>
      <c r="B64" s="47">
        <v>9</v>
      </c>
      <c r="C64" s="23">
        <v>934825</v>
      </c>
      <c r="D64" s="6">
        <v>0.14768628</v>
      </c>
      <c r="E64" s="24">
        <f t="shared" si="56"/>
        <v>138060.826701</v>
      </c>
      <c r="F64" s="25"/>
      <c r="G64" s="24">
        <f t="shared" si="57"/>
        <v>0</v>
      </c>
      <c r="H64" s="6">
        <v>0.0003318401</v>
      </c>
      <c r="I64" s="6">
        <f t="shared" si="44"/>
        <v>0</v>
      </c>
      <c r="J64" s="6">
        <f t="shared" si="58"/>
        <v>0</v>
      </c>
      <c r="K64" s="6">
        <f t="shared" si="85"/>
        <v>0</v>
      </c>
      <c r="L64" s="24">
        <f t="shared" si="59"/>
        <v>310.2124214825</v>
      </c>
      <c r="M64" s="24">
        <f t="shared" si="60"/>
        <v>796764.173299</v>
      </c>
      <c r="N64" s="6">
        <f t="shared" si="61"/>
        <v>8.2960025E-05</v>
      </c>
      <c r="O64" s="6">
        <f t="shared" si="62"/>
        <v>0</v>
      </c>
      <c r="P64" s="24">
        <f t="shared" si="63"/>
        <v>0</v>
      </c>
      <c r="Q64" s="28"/>
      <c r="R64" s="24">
        <f t="shared" si="64"/>
        <v>1223744.098482728</v>
      </c>
      <c r="S64" s="24">
        <f t="shared" si="65"/>
        <v>1400762.1642612964</v>
      </c>
      <c r="T64" s="24">
        <f t="shared" si="66"/>
        <v>1196470.0430890364</v>
      </c>
      <c r="U64" s="24">
        <f t="shared" si="53"/>
        <v>1457450.348482728</v>
      </c>
      <c r="V64" s="24">
        <f t="shared" si="54"/>
        <v>1634468.4142612964</v>
      </c>
      <c r="W64" s="24">
        <f t="shared" si="55"/>
        <v>1430176.2930890364</v>
      </c>
      <c r="X64" s="22"/>
      <c r="Y64" s="3">
        <v>347893</v>
      </c>
      <c r="Z64" s="4">
        <v>0</v>
      </c>
      <c r="AA64" s="3">
        <v>343893</v>
      </c>
      <c r="AB64" s="4">
        <v>0</v>
      </c>
      <c r="AC64" s="4">
        <v>2</v>
      </c>
      <c r="AD64" s="4">
        <v>23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18</v>
      </c>
      <c r="AP64" s="1">
        <v>21</v>
      </c>
      <c r="AQ64" s="1">
        <v>0</v>
      </c>
      <c r="AR64" s="4">
        <v>0</v>
      </c>
      <c r="AS64" s="4">
        <v>85</v>
      </c>
      <c r="AT64" s="4">
        <v>675</v>
      </c>
      <c r="AU64" s="4">
        <v>0</v>
      </c>
      <c r="AV64" s="4">
        <v>0</v>
      </c>
      <c r="AW64" s="4">
        <v>768</v>
      </c>
      <c r="AX64" s="4">
        <v>8</v>
      </c>
      <c r="AY64" s="4">
        <v>3</v>
      </c>
      <c r="AZ64" s="4">
        <v>3</v>
      </c>
      <c r="BA64" s="4">
        <v>1</v>
      </c>
      <c r="BB64" s="4">
        <v>1</v>
      </c>
      <c r="BC64" s="4">
        <v>1</v>
      </c>
      <c r="BD64" s="4">
        <v>2</v>
      </c>
      <c r="BE64" s="4">
        <v>0</v>
      </c>
      <c r="BF64" s="4">
        <v>261890</v>
      </c>
      <c r="BH64" s="4">
        <f t="shared" si="67"/>
        <v>222051.28948272803</v>
      </c>
      <c r="BI64" s="4">
        <f t="shared" si="68"/>
        <v>554699.409</v>
      </c>
      <c r="BJ64" s="4">
        <f t="shared" si="69"/>
        <v>70906</v>
      </c>
      <c r="BK64" s="4">
        <f t="shared" si="70"/>
        <v>157833</v>
      </c>
      <c r="BL64" s="4">
        <f t="shared" si="71"/>
        <v>103208.00000000001</v>
      </c>
      <c r="BM64" s="4">
        <f t="shared" si="72"/>
        <v>115046.40000000001</v>
      </c>
      <c r="BN64" s="4">
        <v>31.64738029507813</v>
      </c>
      <c r="BO64" s="8">
        <f t="shared" si="73"/>
        <v>0.019692307692307693</v>
      </c>
      <c r="BP64" s="4">
        <f t="shared" si="74"/>
        <v>1223744.098482728</v>
      </c>
      <c r="BQ64" s="4">
        <f t="shared" si="75"/>
        <v>1400762.1642612964</v>
      </c>
      <c r="BR64" s="4">
        <f t="shared" si="76"/>
        <v>1196470.0430890364</v>
      </c>
      <c r="BS64" s="4">
        <v>969010</v>
      </c>
      <c r="BT64" s="26"/>
      <c r="BU64" s="4">
        <f t="shared" si="77"/>
        <v>18.145238841849423</v>
      </c>
      <c r="BV64" s="4">
        <f t="shared" si="78"/>
        <v>45.32805589728685</v>
      </c>
      <c r="BW64" s="4">
        <f t="shared" si="79"/>
        <v>5.794185245748156</v>
      </c>
      <c r="BX64" s="4">
        <f t="shared" si="80"/>
        <v>12.897549430121128</v>
      </c>
      <c r="BY64" s="4">
        <f t="shared" si="81"/>
        <v>8.433789395018414</v>
      </c>
      <c r="BZ64" s="4">
        <f t="shared" si="82"/>
        <v>9.401181189976034</v>
      </c>
      <c r="CB64" s="4">
        <f t="shared" si="83"/>
        <v>17.834970584994448</v>
      </c>
      <c r="CD64" s="4">
        <f t="shared" si="45"/>
        <v>-5.844873926328255</v>
      </c>
      <c r="CE64" s="4">
        <f t="shared" si="46"/>
        <v>-18.03300081653166</v>
      </c>
      <c r="CF64" s="4">
        <f t="shared" si="47"/>
        <v>-1.0607942799540666</v>
      </c>
      <c r="CG64" s="4">
        <f t="shared" si="48"/>
        <v>10.639520411889766</v>
      </c>
      <c r="CH64" s="4">
        <f t="shared" si="49"/>
        <v>6.705507184319398</v>
      </c>
      <c r="CI64" s="4">
        <f t="shared" si="50"/>
        <v>7.593641426604803</v>
      </c>
      <c r="CK64" s="4">
        <f t="shared" si="51"/>
        <v>14.299148610924203</v>
      </c>
      <c r="CL64" s="4">
        <f t="shared" si="52"/>
        <v>0</v>
      </c>
      <c r="CM64" s="4">
        <f t="shared" si="84"/>
        <v>36.526705260863736</v>
      </c>
    </row>
    <row r="65" spans="1:91" ht="15">
      <c r="A65" s="22" t="s">
        <v>113</v>
      </c>
      <c r="B65" s="47" t="s">
        <v>193</v>
      </c>
      <c r="C65" s="24">
        <v>884219.010426444</v>
      </c>
      <c r="D65" s="58">
        <v>0.04730829</v>
      </c>
      <c r="E65" s="24">
        <f t="shared" si="56"/>
        <v>41830.88936876724</v>
      </c>
      <c r="F65" s="25"/>
      <c r="G65" s="24">
        <f t="shared" si="57"/>
        <v>0</v>
      </c>
      <c r="H65" s="6">
        <v>0</v>
      </c>
      <c r="I65" s="6">
        <f t="shared" si="44"/>
        <v>0</v>
      </c>
      <c r="J65" s="6">
        <f t="shared" si="58"/>
        <v>0</v>
      </c>
      <c r="K65" s="6">
        <f t="shared" si="85"/>
        <v>0</v>
      </c>
      <c r="L65" s="24">
        <f t="shared" si="59"/>
        <v>0</v>
      </c>
      <c r="M65" s="24">
        <f t="shared" si="60"/>
        <v>842388.1210576767</v>
      </c>
      <c r="N65" s="6">
        <f t="shared" si="61"/>
        <v>0</v>
      </c>
      <c r="O65" s="6">
        <f t="shared" si="62"/>
        <v>0</v>
      </c>
      <c r="P65" s="24">
        <f t="shared" si="63"/>
        <v>0</v>
      </c>
      <c r="Q65" s="24"/>
      <c r="R65" s="24">
        <f t="shared" si="64"/>
        <v>1272058.7500024391</v>
      </c>
      <c r="S65" s="24">
        <f t="shared" si="65"/>
        <v>1487094.2420322706</v>
      </c>
      <c r="T65" s="24">
        <f t="shared" si="66"/>
        <v>1034080.2181697327</v>
      </c>
      <c r="U65" s="24">
        <f t="shared" si="53"/>
        <v>1493113.5026090501</v>
      </c>
      <c r="V65" s="24">
        <f t="shared" si="54"/>
        <v>1708148.9946388816</v>
      </c>
      <c r="W65" s="24">
        <f t="shared" si="55"/>
        <v>1255134.9707763437</v>
      </c>
      <c r="X65" s="22"/>
      <c r="Y65" s="3">
        <v>157175</v>
      </c>
      <c r="Z65" s="4">
        <v>0</v>
      </c>
      <c r="AA65" s="3">
        <v>157175</v>
      </c>
      <c r="AB65" s="4">
        <v>0</v>
      </c>
      <c r="AC65" s="3">
        <v>5</v>
      </c>
      <c r="AD65" s="3">
        <v>43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4">
        <v>120</v>
      </c>
      <c r="AP65" s="1">
        <v>0</v>
      </c>
      <c r="AQ65" s="1">
        <v>0</v>
      </c>
      <c r="AR65" s="4">
        <v>0</v>
      </c>
      <c r="AS65" s="3">
        <v>843</v>
      </c>
      <c r="AT65" s="3">
        <v>0</v>
      </c>
      <c r="AU65" s="3">
        <v>0</v>
      </c>
      <c r="AV65" s="3">
        <v>0</v>
      </c>
      <c r="AW65" s="3">
        <v>903</v>
      </c>
      <c r="AX65" s="3">
        <v>6</v>
      </c>
      <c r="AY65" s="3">
        <v>0</v>
      </c>
      <c r="AZ65" s="3">
        <v>0</v>
      </c>
      <c r="BA65" s="3">
        <v>6</v>
      </c>
      <c r="BB65" s="3">
        <v>0</v>
      </c>
      <c r="BC65" s="3">
        <v>0</v>
      </c>
      <c r="BD65" s="3">
        <v>0</v>
      </c>
      <c r="BE65" s="3">
        <v>2</v>
      </c>
      <c r="BF65" s="3">
        <v>19869</v>
      </c>
      <c r="BH65" s="4">
        <f t="shared" si="67"/>
        <v>105881.67500243928</v>
      </c>
      <c r="BI65" s="4">
        <f t="shared" si="68"/>
        <v>253523.275</v>
      </c>
      <c r="BJ65" s="4">
        <f t="shared" si="69"/>
        <v>177265</v>
      </c>
      <c r="BK65" s="4">
        <f t="shared" si="70"/>
        <v>485640</v>
      </c>
      <c r="BL65" s="4">
        <f t="shared" si="71"/>
        <v>114479.40000000001</v>
      </c>
      <c r="BM65" s="4">
        <f t="shared" si="72"/>
        <v>135269.40000000002</v>
      </c>
      <c r="BN65" s="4">
        <v>33.00251400335696</v>
      </c>
      <c r="BO65" s="8">
        <f t="shared" si="73"/>
        <v>0.007525</v>
      </c>
      <c r="BP65" s="4">
        <f t="shared" si="74"/>
        <v>1272058.7500024391</v>
      </c>
      <c r="BQ65" s="4">
        <f t="shared" si="75"/>
        <v>1487094.2420322706</v>
      </c>
      <c r="BR65" s="4">
        <f t="shared" si="76"/>
        <v>1034080.2181697327</v>
      </c>
      <c r="BS65" s="4">
        <v>605622</v>
      </c>
      <c r="BT65" s="26"/>
      <c r="BU65" s="4">
        <f t="shared" si="77"/>
        <v>8.323646608479072</v>
      </c>
      <c r="BV65" s="4">
        <f t="shared" si="78"/>
        <v>19.930154562398464</v>
      </c>
      <c r="BW65" s="4">
        <f t="shared" si="79"/>
        <v>13.935284042475246</v>
      </c>
      <c r="BX65" s="4">
        <f t="shared" si="80"/>
        <v>38.17748197550379</v>
      </c>
      <c r="BY65" s="4">
        <f t="shared" si="81"/>
        <v>8.999537167586048</v>
      </c>
      <c r="BZ65" s="4">
        <f t="shared" si="82"/>
        <v>10.633895643557395</v>
      </c>
      <c r="CB65" s="4">
        <f t="shared" si="83"/>
        <v>19.633432811143443</v>
      </c>
      <c r="CD65" s="4">
        <f t="shared" si="45"/>
        <v>3.9767183070420966</v>
      </c>
      <c r="CE65" s="4">
        <f t="shared" si="46"/>
        <v>7.364900518356727</v>
      </c>
      <c r="CF65" s="4">
        <f t="shared" si="47"/>
        <v>-9.201893076681156</v>
      </c>
      <c r="CG65" s="4">
        <f t="shared" si="48"/>
        <v>-14.640412133492894</v>
      </c>
      <c r="CH65" s="4">
        <f t="shared" si="49"/>
        <v>6.139759411751763</v>
      </c>
      <c r="CI65" s="4">
        <f t="shared" si="50"/>
        <v>6.360926973023442</v>
      </c>
      <c r="CK65" s="4">
        <f t="shared" si="51"/>
        <v>12.500686384775207</v>
      </c>
      <c r="CL65" s="4">
        <f t="shared" si="52"/>
        <v>0</v>
      </c>
      <c r="CM65" s="4">
        <f t="shared" si="84"/>
        <v>71.74619882912248</v>
      </c>
    </row>
    <row r="66" spans="1:91" ht="15">
      <c r="A66" s="22" t="s">
        <v>92</v>
      </c>
      <c r="B66" s="47">
        <v>5</v>
      </c>
      <c r="C66" s="23">
        <v>5463628.6</v>
      </c>
      <c r="D66" s="6">
        <v>0.47599293642716844</v>
      </c>
      <c r="E66" s="24">
        <f t="shared" si="56"/>
        <v>2600648.620861459</v>
      </c>
      <c r="F66" s="25">
        <v>0.8612225</v>
      </c>
      <c r="G66" s="24">
        <f t="shared" si="57"/>
        <v>4705399.8819635</v>
      </c>
      <c r="H66" s="6">
        <v>0.3204231358570985</v>
      </c>
      <c r="I66" s="6">
        <f t="shared" si="44"/>
        <v>0</v>
      </c>
      <c r="J66" s="6">
        <f t="shared" si="58"/>
        <v>0</v>
      </c>
      <c r="K66" s="6">
        <f t="shared" si="85"/>
        <v>0</v>
      </c>
      <c r="L66" s="24">
        <f t="shared" si="59"/>
        <v>1750673.0091705285</v>
      </c>
      <c r="M66" s="24">
        <f t="shared" si="60"/>
        <v>2862979.9791385406</v>
      </c>
      <c r="N66" s="6">
        <f t="shared" si="61"/>
        <v>0.08010578396427462</v>
      </c>
      <c r="O66" s="6">
        <f t="shared" si="62"/>
        <v>0.05</v>
      </c>
      <c r="P66" s="24">
        <f t="shared" si="63"/>
        <v>273181.43</v>
      </c>
      <c r="Q66" s="24"/>
      <c r="R66" s="24">
        <f t="shared" si="64"/>
        <v>4600796.153</v>
      </c>
      <c r="S66" s="24">
        <f t="shared" si="65"/>
        <v>3659590.9311945783</v>
      </c>
      <c r="T66" s="24">
        <f t="shared" si="66"/>
        <v>4600796.153</v>
      </c>
      <c r="U66" s="24">
        <f t="shared" si="53"/>
        <v>5966703.302999999</v>
      </c>
      <c r="V66" s="24">
        <f t="shared" si="54"/>
        <v>5025498.081194578</v>
      </c>
      <c r="W66" s="24">
        <f t="shared" si="55"/>
        <v>5966703.302999999</v>
      </c>
      <c r="X66" s="22"/>
      <c r="Y66" s="3">
        <v>0</v>
      </c>
      <c r="Z66" s="3">
        <f>3620003-3620003</f>
        <v>0</v>
      </c>
      <c r="AA66" s="3">
        <v>753981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4">
        <v>0</v>
      </c>
      <c r="AP66" s="1">
        <v>0</v>
      </c>
      <c r="AQ66" s="1">
        <v>0</v>
      </c>
      <c r="AR66" s="4">
        <v>0</v>
      </c>
      <c r="AS66" s="3">
        <v>0</v>
      </c>
      <c r="AT66" s="3">
        <v>7</v>
      </c>
      <c r="AU66" s="3">
        <v>0</v>
      </c>
      <c r="AV66" s="3">
        <v>0</v>
      </c>
      <c r="AW66" s="3">
        <v>9</v>
      </c>
      <c r="AX66" s="3">
        <v>13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1533478</v>
      </c>
      <c r="BG66" s="4">
        <f>2024710-184320+1541936</f>
        <v>3382326</v>
      </c>
      <c r="BH66" s="4">
        <f t="shared" si="67"/>
        <v>0</v>
      </c>
      <c r="BI66" s="4">
        <f t="shared" si="68"/>
        <v>1216171.353</v>
      </c>
      <c r="BJ66" s="4">
        <f>35453*AC66+56469*AE66+144773*AG66+178851*(AI66+AK66)+440*AN66</f>
        <v>0</v>
      </c>
      <c r="BK66" s="4">
        <f t="shared" si="70"/>
        <v>0</v>
      </c>
      <c r="BL66" s="4">
        <f t="shared" si="71"/>
        <v>950.6000000000001</v>
      </c>
      <c r="BM66" s="4">
        <f t="shared" si="72"/>
        <v>1348.2</v>
      </c>
      <c r="BN66" s="4">
        <v>12.245865347050398</v>
      </c>
      <c r="BO66" s="8" t="e">
        <f t="shared" si="73"/>
        <v>#DIV/0!</v>
      </c>
      <c r="BP66" s="4">
        <f t="shared" si="74"/>
        <v>4600796.153</v>
      </c>
      <c r="BQ66" s="4">
        <f t="shared" si="75"/>
        <v>3659590.9311945783</v>
      </c>
      <c r="BR66" s="4">
        <f>BP66</f>
        <v>4600796.153</v>
      </c>
      <c r="BS66" s="4">
        <f>5213867-327121</f>
        <v>4886746</v>
      </c>
      <c r="BT66" s="4"/>
      <c r="BU66" s="4">
        <f t="shared" si="77"/>
        <v>0</v>
      </c>
      <c r="BV66" s="4">
        <f t="shared" si="78"/>
        <v>99.8113371924343</v>
      </c>
      <c r="BW66" s="4">
        <f t="shared" si="79"/>
        <v>0</v>
      </c>
      <c r="BX66" s="4">
        <f t="shared" si="80"/>
        <v>0</v>
      </c>
      <c r="BY66" s="4">
        <f t="shared" si="81"/>
        <v>0.07801586256828075</v>
      </c>
      <c r="BZ66" s="4">
        <f t="shared" si="82"/>
        <v>0.11064694499742911</v>
      </c>
      <c r="CB66" s="4">
        <f t="shared" si="83"/>
        <v>0.18866280756570986</v>
      </c>
      <c r="CD66" s="4">
        <f t="shared" si="45"/>
        <v>12.300364915521168</v>
      </c>
      <c r="CE66" s="4">
        <f t="shared" si="46"/>
        <v>-72.5162821116791</v>
      </c>
      <c r="CF66" s="4">
        <f t="shared" si="47"/>
        <v>4.733390965794089</v>
      </c>
      <c r="CG66" s="4">
        <f t="shared" si="48"/>
        <v>23.537069842010894</v>
      </c>
      <c r="CH66" s="4">
        <f t="shared" si="49"/>
        <v>15.06128071676953</v>
      </c>
      <c r="CI66" s="4">
        <f t="shared" si="50"/>
        <v>16.884175671583407</v>
      </c>
      <c r="CK66" s="4">
        <f t="shared" si="51"/>
        <v>31.94545638835294</v>
      </c>
      <c r="CL66" s="4">
        <f t="shared" si="52"/>
        <v>0</v>
      </c>
      <c r="CM66" s="4">
        <f t="shared" si="84"/>
        <v>0.18866280756570986</v>
      </c>
    </row>
    <row r="67" spans="1:91" ht="15">
      <c r="A67" s="22" t="s">
        <v>167</v>
      </c>
      <c r="B67" s="47">
        <v>9</v>
      </c>
      <c r="C67" s="23">
        <v>2194933</v>
      </c>
      <c r="D67" s="6">
        <v>0.48614282866116265</v>
      </c>
      <c r="E67" s="24">
        <f t="shared" si="56"/>
        <v>1067050.9373417317</v>
      </c>
      <c r="F67" s="25"/>
      <c r="G67" s="24">
        <f t="shared" si="57"/>
        <v>0</v>
      </c>
      <c r="H67" s="6">
        <v>0.3369311858780386</v>
      </c>
      <c r="I67" s="6">
        <f aca="true" t="shared" si="86" ref="I67:I98">IF(CK67&lt;$CB$131,CK67-$CB$131,0)/100</f>
        <v>-0.21693491636916198</v>
      </c>
      <c r="J67" s="6">
        <f t="shared" si="58"/>
        <v>-0.11397218168744848</v>
      </c>
      <c r="K67" s="6">
        <f t="shared" si="85"/>
        <v>0.22295900419059012</v>
      </c>
      <c r="L67" s="24">
        <f t="shared" si="59"/>
        <v>489380.07594506454</v>
      </c>
      <c r="M67" s="24">
        <f t="shared" si="60"/>
        <v>1127882.0626582683</v>
      </c>
      <c r="N67" s="6">
        <f t="shared" si="61"/>
        <v>0.05573975104764753</v>
      </c>
      <c r="O67" s="6">
        <f t="shared" si="62"/>
        <v>0.05</v>
      </c>
      <c r="P67" s="24">
        <f t="shared" si="63"/>
        <v>109746.65000000001</v>
      </c>
      <c r="Q67" s="24"/>
      <c r="R67" s="24">
        <f t="shared" si="64"/>
        <v>1623300</v>
      </c>
      <c r="S67" s="24">
        <f t="shared" si="65"/>
        <v>1966787.5371069289</v>
      </c>
      <c r="T67" s="24">
        <f t="shared" si="66"/>
        <v>1735224.2159999998</v>
      </c>
      <c r="U67" s="24">
        <f t="shared" si="53"/>
        <v>2172033.25</v>
      </c>
      <c r="V67" s="24">
        <f t="shared" si="54"/>
        <v>2515520.787106929</v>
      </c>
      <c r="W67" s="24">
        <f t="shared" si="55"/>
        <v>2283957.466</v>
      </c>
      <c r="X67" s="22"/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140</v>
      </c>
      <c r="AP67" s="4">
        <v>0</v>
      </c>
      <c r="AQ67" s="4">
        <v>0</v>
      </c>
      <c r="AR67" s="4">
        <v>0</v>
      </c>
      <c r="AS67" s="4">
        <v>3365</v>
      </c>
      <c r="AT67" s="4">
        <v>335</v>
      </c>
      <c r="AU67" s="4">
        <v>0</v>
      </c>
      <c r="AV67" s="4">
        <v>0</v>
      </c>
      <c r="AW67" s="4">
        <v>3700</v>
      </c>
      <c r="AX67" s="4">
        <v>4</v>
      </c>
      <c r="AY67" s="4">
        <v>6</v>
      </c>
      <c r="AZ67" s="4">
        <v>2</v>
      </c>
      <c r="BA67" s="4">
        <v>2</v>
      </c>
      <c r="BB67" s="4">
        <v>1</v>
      </c>
      <c r="BC67" s="4">
        <v>1</v>
      </c>
      <c r="BD67" s="4">
        <v>1</v>
      </c>
      <c r="BE67" s="4">
        <v>11</v>
      </c>
      <c r="BF67" s="4">
        <v>331750</v>
      </c>
      <c r="BH67" s="4">
        <f t="shared" si="67"/>
        <v>0</v>
      </c>
      <c r="BI67" s="4">
        <f t="shared" si="68"/>
        <v>0</v>
      </c>
      <c r="BJ67" s="4">
        <f t="shared" si="69"/>
        <v>0</v>
      </c>
      <c r="BK67" s="4">
        <f t="shared" si="70"/>
        <v>566580</v>
      </c>
      <c r="BL67" s="4">
        <f t="shared" si="71"/>
        <v>502460.00000000006</v>
      </c>
      <c r="BM67" s="4">
        <f t="shared" si="72"/>
        <v>554260</v>
      </c>
      <c r="BN67" s="4">
        <v>35.36657279433969</v>
      </c>
      <c r="BO67" s="8">
        <f t="shared" si="73"/>
        <v>0.02642857142857143</v>
      </c>
      <c r="BP67" s="4">
        <f t="shared" si="74"/>
        <v>1623300</v>
      </c>
      <c r="BQ67" s="4">
        <f t="shared" si="75"/>
        <v>1966787.5371069289</v>
      </c>
      <c r="BR67" s="4">
        <f t="shared" si="76"/>
        <v>1735224.2159999998</v>
      </c>
      <c r="BS67" s="4">
        <v>1956770</v>
      </c>
      <c r="BT67" s="26"/>
      <c r="BU67" s="4">
        <f t="shared" si="77"/>
        <v>0</v>
      </c>
      <c r="BV67" s="4">
        <f t="shared" si="78"/>
        <v>0</v>
      </c>
      <c r="BW67" s="4">
        <f t="shared" si="79"/>
        <v>0</v>
      </c>
      <c r="BX67" s="4">
        <f t="shared" si="80"/>
        <v>34.902975420439844</v>
      </c>
      <c r="BY67" s="4">
        <f t="shared" si="81"/>
        <v>30.952996981457524</v>
      </c>
      <c r="BZ67" s="4">
        <f t="shared" si="82"/>
        <v>34.14402759810263</v>
      </c>
      <c r="CB67" s="4">
        <f t="shared" si="83"/>
        <v>65.09702457956016</v>
      </c>
      <c r="CD67" s="4">
        <f aca="true" t="shared" si="87" ref="CD67:CD98">BU$128-BU67</f>
        <v>12.300364915521168</v>
      </c>
      <c r="CE67" s="4">
        <f aca="true" t="shared" si="88" ref="CE67:CE98">BV$128-BV67</f>
        <v>27.29505508075519</v>
      </c>
      <c r="CF67" s="4">
        <f aca="true" t="shared" si="89" ref="CF67:CF98">BW$128-BW67</f>
        <v>4.733390965794089</v>
      </c>
      <c r="CG67" s="4">
        <f aca="true" t="shared" si="90" ref="CG67:CG98">BX$128-BX67</f>
        <v>-11.36590557842895</v>
      </c>
      <c r="CH67" s="4">
        <f aca="true" t="shared" si="91" ref="CH67:CH98">BY$128-BY67</f>
        <v>-15.813700402119713</v>
      </c>
      <c r="CI67" s="4">
        <f aca="true" t="shared" si="92" ref="CI67:CI98">BZ$128-BZ67</f>
        <v>-17.149204981521795</v>
      </c>
      <c r="CK67" s="4">
        <f aca="true" t="shared" si="93" ref="CK67:CK98">$CB$128-CB67</f>
        <v>-32.962905383641505</v>
      </c>
      <c r="CL67" s="4">
        <f aca="true" t="shared" si="94" ref="CL67:CL98">IF(CK67&lt;$CB$131,(CK67-$CB$131)*0.7005*0.75,0)</f>
        <v>-11.397218168744848</v>
      </c>
      <c r="CM67" s="4">
        <f t="shared" si="84"/>
        <v>100</v>
      </c>
    </row>
    <row r="68" spans="1:91" ht="15">
      <c r="A68" s="29" t="s">
        <v>46</v>
      </c>
      <c r="B68" s="48">
        <v>10</v>
      </c>
      <c r="C68" s="23">
        <v>1206696</v>
      </c>
      <c r="D68" s="30">
        <v>0.2002728332135103</v>
      </c>
      <c r="E68" s="24">
        <f t="shared" si="56"/>
        <v>241668.42674741003</v>
      </c>
      <c r="F68" s="31"/>
      <c r="G68" s="24">
        <f t="shared" si="57"/>
        <v>0</v>
      </c>
      <c r="H68" s="30">
        <v>0.05033017767493708</v>
      </c>
      <c r="I68" s="6">
        <f t="shared" si="86"/>
        <v>0</v>
      </c>
      <c r="J68" s="6">
        <f t="shared" si="58"/>
        <v>0</v>
      </c>
      <c r="K68" s="6">
        <f t="shared" si="85"/>
        <v>0</v>
      </c>
      <c r="L68" s="24">
        <f t="shared" si="59"/>
        <v>60733.224079635875</v>
      </c>
      <c r="M68" s="24">
        <f t="shared" si="60"/>
        <v>965027.5732525899</v>
      </c>
      <c r="N68" s="6">
        <f t="shared" si="61"/>
        <v>0.01258254441873427</v>
      </c>
      <c r="O68" s="6">
        <f t="shared" si="62"/>
        <v>0.01258254441873427</v>
      </c>
      <c r="P68" s="24">
        <f t="shared" si="63"/>
        <v>15183.306019908969</v>
      </c>
      <c r="Q68" s="32"/>
      <c r="R68" s="24">
        <f t="shared" si="64"/>
        <v>1561714.9446336362</v>
      </c>
      <c r="S68" s="24">
        <f t="shared" si="65"/>
        <v>1653628.4540705157</v>
      </c>
      <c r="T68" s="24">
        <f t="shared" si="66"/>
        <v>1529930.0983187233</v>
      </c>
      <c r="U68" s="24">
        <f t="shared" si="53"/>
        <v>1863388.9446336362</v>
      </c>
      <c r="V68" s="24">
        <f t="shared" si="54"/>
        <v>1955302.4540705157</v>
      </c>
      <c r="W68" s="24">
        <f t="shared" si="55"/>
        <v>1831604.0983187233</v>
      </c>
      <c r="X68" s="29"/>
      <c r="Y68" s="1">
        <v>232244</v>
      </c>
      <c r="Z68" s="4">
        <v>0</v>
      </c>
      <c r="AA68" s="3">
        <v>231843</v>
      </c>
      <c r="AB68" s="4">
        <v>0</v>
      </c>
      <c r="AC68" s="3">
        <v>6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1">
        <v>51</v>
      </c>
      <c r="AP68" s="1">
        <v>40</v>
      </c>
      <c r="AQ68" s="1">
        <v>0</v>
      </c>
      <c r="AR68" s="1">
        <v>0</v>
      </c>
      <c r="AS68" s="3">
        <v>205</v>
      </c>
      <c r="AT68" s="3">
        <v>1150</v>
      </c>
      <c r="AU68" s="1">
        <v>0</v>
      </c>
      <c r="AV68" s="1">
        <v>0</v>
      </c>
      <c r="AW68" s="3">
        <v>1805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128099</v>
      </c>
      <c r="BH68" s="4">
        <f t="shared" si="67"/>
        <v>152359.18563363614</v>
      </c>
      <c r="BI68" s="4">
        <f t="shared" si="68"/>
        <v>373962.759</v>
      </c>
      <c r="BJ68" s="4">
        <f t="shared" si="69"/>
        <v>212718</v>
      </c>
      <c r="BK68" s="4">
        <f t="shared" si="70"/>
        <v>368277</v>
      </c>
      <c r="BL68" s="4">
        <f t="shared" si="71"/>
        <v>184009.00000000003</v>
      </c>
      <c r="BM68" s="4">
        <f t="shared" si="72"/>
        <v>270389</v>
      </c>
      <c r="BN68" s="4">
        <v>26.880789804635125</v>
      </c>
      <c r="BO68" s="8">
        <f t="shared" si="73"/>
        <v>0.019835164835164835</v>
      </c>
      <c r="BP68" s="4">
        <f t="shared" si="74"/>
        <v>1561714.9446336362</v>
      </c>
      <c r="BQ68" s="4">
        <f t="shared" si="75"/>
        <v>1653628.4540705157</v>
      </c>
      <c r="BR68" s="4">
        <f t="shared" si="76"/>
        <v>1529930.0983187233</v>
      </c>
      <c r="BS68" s="4">
        <v>1943265</v>
      </c>
      <c r="BT68" s="26"/>
      <c r="BU68" s="4">
        <f t="shared" si="77"/>
        <v>9.75588958517511</v>
      </c>
      <c r="BV68" s="4">
        <f t="shared" si="78"/>
        <v>23.945647717914888</v>
      </c>
      <c r="BW68" s="4">
        <f t="shared" si="79"/>
        <v>13.620795570340249</v>
      </c>
      <c r="BX68" s="4">
        <f t="shared" si="80"/>
        <v>23.581576219493396</v>
      </c>
      <c r="BY68" s="4">
        <f t="shared" si="81"/>
        <v>11.782495943468534</v>
      </c>
      <c r="BZ68" s="4">
        <f t="shared" si="82"/>
        <v>17.31359496360783</v>
      </c>
      <c r="CB68" s="4">
        <f t="shared" si="83"/>
        <v>29.096090907076366</v>
      </c>
      <c r="CD68" s="4">
        <f t="shared" si="87"/>
        <v>2.5444753303460583</v>
      </c>
      <c r="CE68" s="4">
        <f t="shared" si="88"/>
        <v>3.349407362840303</v>
      </c>
      <c r="CF68" s="4">
        <f t="shared" si="89"/>
        <v>-8.887404604546159</v>
      </c>
      <c r="CG68" s="4">
        <f t="shared" si="90"/>
        <v>-0.0445063774825023</v>
      </c>
      <c r="CH68" s="4">
        <f t="shared" si="91"/>
        <v>3.356800635869277</v>
      </c>
      <c r="CI68" s="4">
        <f t="shared" si="92"/>
        <v>-0.318772347026993</v>
      </c>
      <c r="CK68" s="4">
        <f t="shared" si="93"/>
        <v>3.038028288842284</v>
      </c>
      <c r="CL68" s="4">
        <f t="shared" si="94"/>
        <v>0</v>
      </c>
      <c r="CM68" s="4">
        <f t="shared" si="84"/>
        <v>66.29846269691001</v>
      </c>
    </row>
    <row r="69" spans="1:91" ht="15">
      <c r="A69" s="22" t="s">
        <v>87</v>
      </c>
      <c r="B69" s="47">
        <v>1</v>
      </c>
      <c r="C69" s="24">
        <v>14052150.164233593</v>
      </c>
      <c r="D69" s="6">
        <v>0.5571992324555064</v>
      </c>
      <c r="E69" s="24">
        <f t="shared" si="56"/>
        <v>7829847.285860476</v>
      </c>
      <c r="F69" s="25"/>
      <c r="G69" s="24">
        <f t="shared" si="57"/>
        <v>0</v>
      </c>
      <c r="H69" s="6">
        <v>0.4016294255535021</v>
      </c>
      <c r="I69" s="6">
        <f t="shared" si="86"/>
        <v>0</v>
      </c>
      <c r="J69" s="6">
        <f t="shared" si="58"/>
        <v>0</v>
      </c>
      <c r="K69" s="6">
        <f t="shared" si="85"/>
        <v>0</v>
      </c>
      <c r="L69" s="24">
        <f t="shared" si="59"/>
        <v>5643756.998252689</v>
      </c>
      <c r="M69" s="24">
        <f t="shared" si="60"/>
        <v>6222302.878373117</v>
      </c>
      <c r="N69" s="6">
        <f t="shared" si="61"/>
        <v>0.10040735638837553</v>
      </c>
      <c r="O69" s="6">
        <f t="shared" si="62"/>
        <v>0.05</v>
      </c>
      <c r="P69" s="24">
        <f t="shared" si="63"/>
        <v>702607.5082116798</v>
      </c>
      <c r="Q69" s="24"/>
      <c r="R69" s="24">
        <f t="shared" si="64"/>
        <v>9154046.76139473</v>
      </c>
      <c r="S69" s="24">
        <f t="shared" si="65"/>
        <v>9545814.998358017</v>
      </c>
      <c r="T69" s="24">
        <f t="shared" si="66"/>
        <v>9999211.844025958</v>
      </c>
      <c r="U69" s="24">
        <f t="shared" si="53"/>
        <v>12667084.302453129</v>
      </c>
      <c r="V69" s="24">
        <f t="shared" si="54"/>
        <v>13058852.539416416</v>
      </c>
      <c r="W69" s="24">
        <f t="shared" si="55"/>
        <v>13512249.385084357</v>
      </c>
      <c r="X69" s="22"/>
      <c r="Y69" s="3">
        <v>2190767</v>
      </c>
      <c r="Z69" s="3">
        <v>129000</v>
      </c>
      <c r="AA69" s="4">
        <v>1916767</v>
      </c>
      <c r="AB69" s="4">
        <v>0</v>
      </c>
      <c r="AC69" s="3">
        <v>3</v>
      </c>
      <c r="AD69" s="3">
        <v>0</v>
      </c>
      <c r="AE69" s="3">
        <v>1</v>
      </c>
      <c r="AF69" s="3">
        <v>0</v>
      </c>
      <c r="AG69" s="3">
        <v>1</v>
      </c>
      <c r="AH69" s="3">
        <v>603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4">
        <v>85</v>
      </c>
      <c r="AP69" s="1">
        <v>180</v>
      </c>
      <c r="AQ69" s="1">
        <v>13</v>
      </c>
      <c r="AR69" s="4">
        <v>0</v>
      </c>
      <c r="AS69" s="3">
        <v>184</v>
      </c>
      <c r="AT69" s="3">
        <v>5885</v>
      </c>
      <c r="AU69" s="3">
        <v>570</v>
      </c>
      <c r="AV69" s="3">
        <v>0</v>
      </c>
      <c r="AW69" s="3">
        <v>7827</v>
      </c>
      <c r="AX69" s="3">
        <v>36</v>
      </c>
      <c r="AY69" s="3">
        <v>52</v>
      </c>
      <c r="AZ69" s="3">
        <v>48</v>
      </c>
      <c r="BA69" s="3">
        <v>2</v>
      </c>
      <c r="BB69" s="3">
        <v>2</v>
      </c>
      <c r="BC69" s="3">
        <v>2</v>
      </c>
      <c r="BD69" s="3">
        <v>4</v>
      </c>
      <c r="BE69" s="3">
        <v>7</v>
      </c>
      <c r="BF69" s="3">
        <v>632210</v>
      </c>
      <c r="BH69" s="4">
        <f t="shared" si="67"/>
        <v>1234074.7903947285</v>
      </c>
      <c r="BI69" s="4">
        <f t="shared" si="68"/>
        <v>3188237.171</v>
      </c>
      <c r="BJ69" s="4">
        <f t="shared" si="69"/>
        <v>307601</v>
      </c>
      <c r="BK69" s="4">
        <f t="shared" si="70"/>
        <v>2182265</v>
      </c>
      <c r="BL69" s="4">
        <f t="shared" si="71"/>
        <v>1069384.2000000002</v>
      </c>
      <c r="BM69" s="4">
        <f t="shared" si="72"/>
        <v>1172484.6</v>
      </c>
      <c r="BN69" s="4">
        <v>25.98873738076323</v>
      </c>
      <c r="BO69" s="8">
        <f t="shared" si="73"/>
        <v>0.028154676258992806</v>
      </c>
      <c r="BP69" s="4">
        <f t="shared" si="74"/>
        <v>9154046.76139473</v>
      </c>
      <c r="BQ69" s="4">
        <f t="shared" si="75"/>
        <v>9545814.998358017</v>
      </c>
      <c r="BR69" s="4">
        <f t="shared" si="76"/>
        <v>9999211.844025958</v>
      </c>
      <c r="BS69" s="4">
        <v>12279076</v>
      </c>
      <c r="BT69" s="26"/>
      <c r="BU69" s="4">
        <f t="shared" si="77"/>
        <v>13.481193864981986</v>
      </c>
      <c r="BV69" s="4">
        <f t="shared" si="78"/>
        <v>34.82871842479242</v>
      </c>
      <c r="BW69" s="4">
        <f t="shared" si="79"/>
        <v>3.360273418060771</v>
      </c>
      <c r="BX69" s="4">
        <f t="shared" si="80"/>
        <v>23.83934730597231</v>
      </c>
      <c r="BY69" s="4">
        <f t="shared" si="81"/>
        <v>11.682092389017539</v>
      </c>
      <c r="BZ69" s="4">
        <f t="shared" si="82"/>
        <v>12.808374597174964</v>
      </c>
      <c r="CB69" s="4">
        <f t="shared" si="83"/>
        <v>24.4904669861925</v>
      </c>
      <c r="CD69" s="4">
        <f t="shared" si="87"/>
        <v>-1.1808289494608175</v>
      </c>
      <c r="CE69" s="4">
        <f t="shared" si="88"/>
        <v>-7.53366334403723</v>
      </c>
      <c r="CF69" s="4">
        <f t="shared" si="89"/>
        <v>1.373117547733318</v>
      </c>
      <c r="CG69" s="4">
        <f t="shared" si="90"/>
        <v>-0.30227746396141697</v>
      </c>
      <c r="CH69" s="4">
        <f t="shared" si="91"/>
        <v>3.4572041903202724</v>
      </c>
      <c r="CI69" s="4">
        <f t="shared" si="92"/>
        <v>4.186448019405873</v>
      </c>
      <c r="CK69" s="4">
        <f t="shared" si="93"/>
        <v>7.643652209726149</v>
      </c>
      <c r="CL69" s="4">
        <f t="shared" si="94"/>
        <v>0</v>
      </c>
      <c r="CM69" s="4">
        <f t="shared" si="84"/>
        <v>51.69008771022558</v>
      </c>
    </row>
    <row r="70" spans="1:91" ht="15">
      <c r="A70" s="22" t="s">
        <v>104</v>
      </c>
      <c r="B70" s="47">
        <v>5</v>
      </c>
      <c r="C70" s="23">
        <v>4929663.05</v>
      </c>
      <c r="D70" s="6">
        <v>0.2785761048731751</v>
      </c>
      <c r="E70" s="24">
        <f t="shared" si="56"/>
        <v>1373286.330806216</v>
      </c>
      <c r="F70" s="25"/>
      <c r="G70" s="24">
        <f t="shared" si="57"/>
        <v>0</v>
      </c>
      <c r="H70" s="6">
        <v>0.1301512096109546</v>
      </c>
      <c r="I70" s="6">
        <f t="shared" si="86"/>
        <v>0</v>
      </c>
      <c r="J70" s="6">
        <f t="shared" si="58"/>
        <v>0</v>
      </c>
      <c r="K70" s="6">
        <f t="shared" si="85"/>
        <v>0</v>
      </c>
      <c r="L70" s="24">
        <f t="shared" si="59"/>
        <v>641601.6089319278</v>
      </c>
      <c r="M70" s="24">
        <f t="shared" si="60"/>
        <v>3556376.7191937836</v>
      </c>
      <c r="N70" s="6">
        <f t="shared" si="61"/>
        <v>0.03253780240273865</v>
      </c>
      <c r="O70" s="6">
        <f t="shared" si="62"/>
        <v>0.03253780240273865</v>
      </c>
      <c r="P70" s="24">
        <f t="shared" si="63"/>
        <v>160400.40223298196</v>
      </c>
      <c r="Q70" s="24"/>
      <c r="R70" s="24">
        <f t="shared" si="64"/>
        <v>5339664.68419032</v>
      </c>
      <c r="S70" s="24">
        <f t="shared" si="65"/>
        <v>6217667.497282449</v>
      </c>
      <c r="T70" s="24">
        <f t="shared" si="66"/>
        <v>5446446.467219718</v>
      </c>
      <c r="U70" s="24">
        <f t="shared" si="53"/>
        <v>6572080.44669032</v>
      </c>
      <c r="V70" s="24">
        <f t="shared" si="54"/>
        <v>7450083.259782449</v>
      </c>
      <c r="W70" s="24">
        <f t="shared" si="55"/>
        <v>6678862.229719718</v>
      </c>
      <c r="X70" s="22"/>
      <c r="Y70" s="3">
        <v>917667</v>
      </c>
      <c r="Z70" s="4">
        <v>0</v>
      </c>
      <c r="AA70" s="4">
        <v>898967</v>
      </c>
      <c r="AB70" s="4">
        <v>0</v>
      </c>
      <c r="AC70" s="3">
        <v>2</v>
      </c>
      <c r="AD70" s="3">
        <v>64</v>
      </c>
      <c r="AE70" s="3">
        <v>1</v>
      </c>
      <c r="AF70" s="3">
        <v>62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4">
        <v>273</v>
      </c>
      <c r="AP70" s="1">
        <v>61</v>
      </c>
      <c r="AQ70" s="1">
        <v>0</v>
      </c>
      <c r="AR70" s="4">
        <v>0</v>
      </c>
      <c r="AS70" s="3">
        <v>3357</v>
      </c>
      <c r="AT70" s="3">
        <v>1950</v>
      </c>
      <c r="AU70" s="3">
        <v>0</v>
      </c>
      <c r="AV70" s="3">
        <v>0</v>
      </c>
      <c r="AW70" s="3">
        <v>7620</v>
      </c>
      <c r="AX70" s="3">
        <v>38</v>
      </c>
      <c r="AY70" s="3">
        <v>65</v>
      </c>
      <c r="AZ70" s="3">
        <v>19</v>
      </c>
      <c r="BA70" s="3">
        <v>4</v>
      </c>
      <c r="BB70" s="3">
        <v>3</v>
      </c>
      <c r="BC70" s="3">
        <v>4</v>
      </c>
      <c r="BD70" s="3">
        <v>4</v>
      </c>
      <c r="BE70" s="3">
        <v>4</v>
      </c>
      <c r="BF70" s="3">
        <v>475098</v>
      </c>
      <c r="BH70" s="4">
        <f t="shared" si="67"/>
        <v>548391.3131903198</v>
      </c>
      <c r="BI70" s="4">
        <f t="shared" si="68"/>
        <v>1450033.771</v>
      </c>
      <c r="BJ70" s="4">
        <f t="shared" si="69"/>
        <v>127375</v>
      </c>
      <c r="BK70" s="4">
        <f t="shared" si="70"/>
        <v>1351698</v>
      </c>
      <c r="BL70" s="4">
        <f t="shared" si="71"/>
        <v>720690.6000000001</v>
      </c>
      <c r="BM70" s="4">
        <f t="shared" si="72"/>
        <v>1141476</v>
      </c>
      <c r="BN70" s="4">
        <v>32.74612930899451</v>
      </c>
      <c r="BO70" s="8">
        <f t="shared" si="73"/>
        <v>0.02281437125748503</v>
      </c>
      <c r="BP70" s="4">
        <f t="shared" si="74"/>
        <v>5339664.68419032</v>
      </c>
      <c r="BQ70" s="4">
        <f t="shared" si="75"/>
        <v>6217667.497282449</v>
      </c>
      <c r="BR70" s="4">
        <f t="shared" si="76"/>
        <v>5446446.467219718</v>
      </c>
      <c r="BS70" s="4">
        <v>4795584</v>
      </c>
      <c r="BT70" s="26"/>
      <c r="BU70" s="4">
        <f t="shared" si="77"/>
        <v>10.27014514252172</v>
      </c>
      <c r="BV70" s="4">
        <f t="shared" si="78"/>
        <v>27.155895674371845</v>
      </c>
      <c r="BW70" s="4">
        <f t="shared" si="79"/>
        <v>2.38544941552476</v>
      </c>
      <c r="BX70" s="4">
        <f t="shared" si="80"/>
        <v>25.314286194826195</v>
      </c>
      <c r="BY70" s="4">
        <f t="shared" si="81"/>
        <v>13.496926167177145</v>
      </c>
      <c r="BZ70" s="4">
        <f t="shared" si="82"/>
        <v>21.37729740557834</v>
      </c>
      <c r="CB70" s="4">
        <f t="shared" si="83"/>
        <v>34.87422357275548</v>
      </c>
      <c r="CD70" s="4">
        <f t="shared" si="87"/>
        <v>2.0302197729994482</v>
      </c>
      <c r="CE70" s="4">
        <f t="shared" si="88"/>
        <v>0.1391594063833459</v>
      </c>
      <c r="CF70" s="4">
        <f t="shared" si="89"/>
        <v>2.3479415502693293</v>
      </c>
      <c r="CG70" s="4">
        <f t="shared" si="90"/>
        <v>-1.7772163528153015</v>
      </c>
      <c r="CH70" s="4">
        <f t="shared" si="91"/>
        <v>1.6423704121606661</v>
      </c>
      <c r="CI70" s="4">
        <f t="shared" si="92"/>
        <v>-4.382474788997502</v>
      </c>
      <c r="CK70" s="4">
        <f t="shared" si="93"/>
        <v>-2.7401043768368325</v>
      </c>
      <c r="CL70" s="4">
        <f t="shared" si="94"/>
        <v>0</v>
      </c>
      <c r="CM70" s="4">
        <f t="shared" si="84"/>
        <v>62.57395918310644</v>
      </c>
    </row>
    <row r="71" spans="1:91" ht="15">
      <c r="A71" s="22" t="s">
        <v>60</v>
      </c>
      <c r="B71" s="47">
        <v>1</v>
      </c>
      <c r="C71" s="24">
        <v>1252738.4</v>
      </c>
      <c r="D71" s="6">
        <v>0</v>
      </c>
      <c r="E71" s="24">
        <f t="shared" si="56"/>
        <v>0</v>
      </c>
      <c r="F71" s="25"/>
      <c r="G71" s="24">
        <f t="shared" si="57"/>
        <v>0</v>
      </c>
      <c r="H71" s="6">
        <v>0</v>
      </c>
      <c r="I71" s="6">
        <f t="shared" si="86"/>
        <v>0</v>
      </c>
      <c r="J71" s="6">
        <f t="shared" si="58"/>
        <v>0</v>
      </c>
      <c r="K71" s="6">
        <f t="shared" si="85"/>
        <v>0</v>
      </c>
      <c r="L71" s="24">
        <f t="shared" si="59"/>
        <v>0</v>
      </c>
      <c r="M71" s="4">
        <v>1302646</v>
      </c>
      <c r="N71" s="6">
        <f t="shared" si="61"/>
        <v>0</v>
      </c>
      <c r="O71" s="6">
        <f t="shared" si="62"/>
        <v>0</v>
      </c>
      <c r="P71" s="24">
        <f t="shared" si="63"/>
        <v>0</v>
      </c>
      <c r="Q71" s="24"/>
      <c r="R71" s="24">
        <f t="shared" si="64"/>
        <v>1943058.9114821204</v>
      </c>
      <c r="S71" s="24">
        <f t="shared" si="65"/>
        <v>2093707.704829543</v>
      </c>
      <c r="T71" s="24">
        <f t="shared" si="66"/>
        <v>2093345.7273585366</v>
      </c>
      <c r="U71" s="24">
        <f t="shared" si="53"/>
        <v>2256243.5114821205</v>
      </c>
      <c r="V71" s="24">
        <f t="shared" si="54"/>
        <v>2406892.304829543</v>
      </c>
      <c r="W71" s="24">
        <f t="shared" si="55"/>
        <v>2406530.3273585364</v>
      </c>
      <c r="X71" s="22"/>
      <c r="Y71" s="3">
        <v>351572</v>
      </c>
      <c r="Z71" s="4">
        <v>0</v>
      </c>
      <c r="AA71" s="3">
        <v>348572</v>
      </c>
      <c r="AB71" s="4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4">
        <v>57</v>
      </c>
      <c r="AP71" s="1">
        <v>46</v>
      </c>
      <c r="AQ71" s="1">
        <v>0</v>
      </c>
      <c r="AR71" s="4">
        <v>0</v>
      </c>
      <c r="AS71" s="3">
        <v>599</v>
      </c>
      <c r="AT71" s="3">
        <v>1775</v>
      </c>
      <c r="AU71" s="1">
        <v>0</v>
      </c>
      <c r="AV71" s="1">
        <v>0</v>
      </c>
      <c r="AW71" s="3">
        <v>2786</v>
      </c>
      <c r="AX71" s="3">
        <v>9</v>
      </c>
      <c r="AY71" s="3">
        <v>0</v>
      </c>
      <c r="AZ71" s="3">
        <v>6</v>
      </c>
      <c r="BA71" s="3">
        <v>1</v>
      </c>
      <c r="BB71" s="3">
        <v>1</v>
      </c>
      <c r="BC71" s="3">
        <v>1</v>
      </c>
      <c r="BD71" s="3">
        <v>0</v>
      </c>
      <c r="BE71" s="3">
        <v>0</v>
      </c>
      <c r="BF71" s="3">
        <v>154512</v>
      </c>
      <c r="BH71" s="4">
        <f t="shared" si="67"/>
        <v>224239.27548212055</v>
      </c>
      <c r="BI71" s="4">
        <f t="shared" si="68"/>
        <v>562246.6359999999</v>
      </c>
      <c r="BJ71" s="4">
        <f t="shared" si="69"/>
        <v>0</v>
      </c>
      <c r="BK71" s="4">
        <f t="shared" si="70"/>
        <v>416841</v>
      </c>
      <c r="BL71" s="4">
        <f t="shared" si="71"/>
        <v>322389.2</v>
      </c>
      <c r="BM71" s="4">
        <f t="shared" si="72"/>
        <v>417342.80000000005</v>
      </c>
      <c r="BN71" s="4">
        <v>27.918431573055404</v>
      </c>
      <c r="BO71" s="8">
        <f t="shared" si="73"/>
        <v>0.027048543689320387</v>
      </c>
      <c r="BP71" s="4">
        <f t="shared" si="74"/>
        <v>1943058.9114821204</v>
      </c>
      <c r="BQ71" s="4">
        <f t="shared" si="75"/>
        <v>2093707.704829543</v>
      </c>
      <c r="BR71" s="4">
        <f t="shared" si="76"/>
        <v>2093345.7273585366</v>
      </c>
      <c r="BS71" s="4">
        <v>1209283</v>
      </c>
      <c r="BT71" s="26"/>
      <c r="BU71" s="4">
        <f t="shared" si="77"/>
        <v>11.540528913303818</v>
      </c>
      <c r="BV71" s="4">
        <f t="shared" si="78"/>
        <v>28.936160024666012</v>
      </c>
      <c r="BW71" s="4">
        <f t="shared" si="79"/>
        <v>0</v>
      </c>
      <c r="BX71" s="4">
        <f t="shared" si="80"/>
        <v>21.452823562721697</v>
      </c>
      <c r="BY71" s="4">
        <f t="shared" si="81"/>
        <v>16.59183867740217</v>
      </c>
      <c r="BZ71" s="4">
        <f t="shared" si="82"/>
        <v>21.47864882190631</v>
      </c>
      <c r="CB71" s="4">
        <f t="shared" si="83"/>
        <v>38.070487499308484</v>
      </c>
      <c r="CD71" s="4">
        <f t="shared" si="87"/>
        <v>0.7598360022173498</v>
      </c>
      <c r="CE71" s="4">
        <f t="shared" si="88"/>
        <v>-1.6411049439108218</v>
      </c>
      <c r="CF71" s="4">
        <f t="shared" si="89"/>
        <v>4.733390965794089</v>
      </c>
      <c r="CG71" s="4">
        <f t="shared" si="90"/>
        <v>2.0842462792891965</v>
      </c>
      <c r="CH71" s="4">
        <f t="shared" si="91"/>
        <v>-1.4525420980643577</v>
      </c>
      <c r="CI71" s="4">
        <f t="shared" si="92"/>
        <v>-4.4838262053254745</v>
      </c>
      <c r="CK71" s="4">
        <f t="shared" si="93"/>
        <v>-5.936368303389834</v>
      </c>
      <c r="CL71" s="4">
        <f t="shared" si="94"/>
        <v>0</v>
      </c>
      <c r="CM71" s="4">
        <f t="shared" si="84"/>
        <v>59.52331106203018</v>
      </c>
    </row>
    <row r="72" spans="1:91" ht="15">
      <c r="A72" s="22" t="s">
        <v>194</v>
      </c>
      <c r="B72" s="47">
        <v>10</v>
      </c>
      <c r="C72" s="23">
        <v>1345328.25</v>
      </c>
      <c r="D72" s="6">
        <v>0.4668960900137332</v>
      </c>
      <c r="E72" s="24">
        <f>C72*D72</f>
        <v>628128.4997100182</v>
      </c>
      <c r="F72" s="25"/>
      <c r="G72" s="24">
        <f t="shared" si="57"/>
        <v>0</v>
      </c>
      <c r="H72" s="6">
        <v>0.31809084229830376</v>
      </c>
      <c r="I72" s="6">
        <f t="shared" si="86"/>
        <v>-0.007574290142723701</v>
      </c>
      <c r="J72" s="6">
        <f t="shared" si="58"/>
        <v>-0.003979342683733464</v>
      </c>
      <c r="K72" s="6">
        <f>IF(J72&lt;0,H72+J72,0)</f>
        <v>0.3141114996145703</v>
      </c>
      <c r="L72" s="24">
        <f t="shared" si="59"/>
        <v>422583.0740813455</v>
      </c>
      <c r="M72" s="24">
        <f t="shared" si="60"/>
        <v>717199.7502899818</v>
      </c>
      <c r="N72" s="6">
        <f t="shared" si="61"/>
        <v>0.07852787490364257</v>
      </c>
      <c r="O72" s="6">
        <f t="shared" si="62"/>
        <v>0.05</v>
      </c>
      <c r="P72" s="24">
        <f t="shared" si="63"/>
        <v>67266.4125</v>
      </c>
      <c r="Q72" s="24"/>
      <c r="R72" s="24">
        <f t="shared" si="64"/>
        <v>1077123.728563849</v>
      </c>
      <c r="S72" s="24">
        <f t="shared" si="65"/>
        <v>1260838.5832048503</v>
      </c>
      <c r="T72" s="24">
        <f t="shared" si="66"/>
        <v>1087585.363269916</v>
      </c>
      <c r="U72" s="24">
        <f t="shared" si="53"/>
        <v>1413455.791063849</v>
      </c>
      <c r="V72" s="24">
        <f t="shared" si="54"/>
        <v>1597170.6457048503</v>
      </c>
      <c r="W72" s="24">
        <f t="shared" si="55"/>
        <v>1423917.425769916</v>
      </c>
      <c r="X72" s="22"/>
      <c r="Y72" s="3">
        <v>111742</v>
      </c>
      <c r="Z72" s="3">
        <v>0</v>
      </c>
      <c r="AA72" s="4">
        <v>111452</v>
      </c>
      <c r="AB72" s="4">
        <v>0</v>
      </c>
      <c r="AC72" s="3">
        <v>1</v>
      </c>
      <c r="AD72" s="3">
        <v>40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4">
        <v>49.4</v>
      </c>
      <c r="AP72" s="1">
        <v>27</v>
      </c>
      <c r="AQ72" s="1">
        <v>0</v>
      </c>
      <c r="AR72" s="4">
        <v>0</v>
      </c>
      <c r="AS72" s="3">
        <v>440</v>
      </c>
      <c r="AT72" s="3">
        <v>1204</v>
      </c>
      <c r="AU72" s="3">
        <v>0</v>
      </c>
      <c r="AV72" s="3">
        <v>0</v>
      </c>
      <c r="AW72" s="3">
        <v>1685</v>
      </c>
      <c r="AX72" s="3">
        <v>16</v>
      </c>
      <c r="AY72" s="3">
        <v>1</v>
      </c>
      <c r="AZ72" s="3">
        <v>13</v>
      </c>
      <c r="BA72" s="3">
        <v>1</v>
      </c>
      <c r="BB72" s="3">
        <v>1</v>
      </c>
      <c r="BC72" s="3">
        <v>1</v>
      </c>
      <c r="BD72" s="3">
        <v>1</v>
      </c>
      <c r="BE72" s="3">
        <v>0</v>
      </c>
      <c r="BF72" s="3">
        <v>109645</v>
      </c>
      <c r="BH72" s="4">
        <f t="shared" si="67"/>
        <v>77039.65256384917</v>
      </c>
      <c r="BI72" s="4">
        <f t="shared" si="68"/>
        <v>179772.076</v>
      </c>
      <c r="BJ72" s="4">
        <f t="shared" si="69"/>
        <v>35453</v>
      </c>
      <c r="BK72" s="4">
        <f t="shared" si="70"/>
        <v>309190.80000000005</v>
      </c>
      <c r="BL72" s="4">
        <f t="shared" si="71"/>
        <v>223255.2</v>
      </c>
      <c r="BM72" s="4">
        <f t="shared" si="72"/>
        <v>252413.00000000003</v>
      </c>
      <c r="BN72" s="4">
        <v>33.08669923783202</v>
      </c>
      <c r="BO72" s="8">
        <f t="shared" si="73"/>
        <v>0.022054973821989527</v>
      </c>
      <c r="BP72" s="4">
        <f t="shared" si="74"/>
        <v>1077123.728563849</v>
      </c>
      <c r="BQ72" s="4">
        <f t="shared" si="75"/>
        <v>1260838.5832048503</v>
      </c>
      <c r="BR72" s="4">
        <f t="shared" si="76"/>
        <v>1087585.363269916</v>
      </c>
      <c r="BS72" s="4">
        <v>966135</v>
      </c>
      <c r="BT72" s="26"/>
      <c r="BU72" s="4">
        <f t="shared" si="77"/>
        <v>7.152349402474653</v>
      </c>
      <c r="BV72" s="4">
        <f t="shared" si="78"/>
        <v>16.69001167021859</v>
      </c>
      <c r="BW72" s="4">
        <f t="shared" si="79"/>
        <v>3.291451024597722</v>
      </c>
      <c r="BX72" s="4">
        <f t="shared" si="80"/>
        <v>28.70522594579273</v>
      </c>
      <c r="BY72" s="4">
        <f t="shared" si="81"/>
        <v>20.726978162264672</v>
      </c>
      <c r="BZ72" s="4">
        <f t="shared" si="82"/>
        <v>23.43398379465165</v>
      </c>
      <c r="CB72" s="4">
        <f t="shared" si="83"/>
        <v>44.160961956916324</v>
      </c>
      <c r="CD72" s="4">
        <f t="shared" si="87"/>
        <v>5.1480155130465155</v>
      </c>
      <c r="CE72" s="4">
        <f t="shared" si="88"/>
        <v>10.605043410536602</v>
      </c>
      <c r="CF72" s="4">
        <f t="shared" si="89"/>
        <v>1.4419399411963671</v>
      </c>
      <c r="CG72" s="4">
        <f t="shared" si="90"/>
        <v>-5.168156103781836</v>
      </c>
      <c r="CH72" s="4">
        <f t="shared" si="91"/>
        <v>-5.5876815829268605</v>
      </c>
      <c r="CI72" s="4">
        <f t="shared" si="92"/>
        <v>-6.439161178070812</v>
      </c>
      <c r="CK72" s="4">
        <f t="shared" si="93"/>
        <v>-12.026842760997674</v>
      </c>
      <c r="CL72" s="4">
        <f t="shared" si="94"/>
        <v>-0.39793426837334644</v>
      </c>
      <c r="CM72" s="4">
        <f t="shared" si="84"/>
        <v>76.15763892730678</v>
      </c>
    </row>
    <row r="73" spans="1:91" ht="15">
      <c r="A73" s="22" t="s">
        <v>116</v>
      </c>
      <c r="B73" s="47">
        <v>5</v>
      </c>
      <c r="C73" s="23">
        <v>8025288.867017729</v>
      </c>
      <c r="D73" s="6">
        <v>0.1888421533410477</v>
      </c>
      <c r="E73" s="24">
        <f t="shared" si="56"/>
        <v>1515512.830831565</v>
      </c>
      <c r="F73" s="25"/>
      <c r="G73" s="24">
        <f t="shared" si="57"/>
        <v>0</v>
      </c>
      <c r="H73" s="6">
        <v>0.04728772506999335</v>
      </c>
      <c r="I73" s="6">
        <f t="shared" si="86"/>
        <v>0</v>
      </c>
      <c r="J73" s="6">
        <f t="shared" si="58"/>
        <v>0</v>
      </c>
      <c r="K73" s="6">
        <f t="shared" si="85"/>
        <v>0</v>
      </c>
      <c r="L73" s="24">
        <f t="shared" si="59"/>
        <v>379497.6535508128</v>
      </c>
      <c r="M73" s="24">
        <f t="shared" si="60"/>
        <v>6509776.036186164</v>
      </c>
      <c r="N73" s="6">
        <f t="shared" si="61"/>
        <v>0.011821931267498337</v>
      </c>
      <c r="O73" s="6">
        <f t="shared" si="62"/>
        <v>0.011821931267498337</v>
      </c>
      <c r="P73" s="24">
        <f t="shared" si="63"/>
        <v>94874.4133877032</v>
      </c>
      <c r="Q73" s="9"/>
      <c r="R73" s="24">
        <f t="shared" si="64"/>
        <v>10571172.490879897</v>
      </c>
      <c r="S73" s="24">
        <f t="shared" si="65"/>
        <v>11283414.123292351</v>
      </c>
      <c r="T73" s="24">
        <f t="shared" si="66"/>
        <v>9415557.322355853</v>
      </c>
      <c r="U73" s="24">
        <f t="shared" si="53"/>
        <v>12577494.70763433</v>
      </c>
      <c r="V73" s="24">
        <f t="shared" si="54"/>
        <v>13289736.340046784</v>
      </c>
      <c r="W73" s="24">
        <f t="shared" si="55"/>
        <v>11421879.539110286</v>
      </c>
      <c r="X73" s="22"/>
      <c r="Y73" s="3">
        <v>2061855</v>
      </c>
      <c r="Z73" s="4">
        <v>0</v>
      </c>
      <c r="AA73" s="4">
        <v>2030923</v>
      </c>
      <c r="AB73" s="4">
        <v>0</v>
      </c>
      <c r="AC73" s="4">
        <v>16</v>
      </c>
      <c r="AD73" s="4">
        <v>209</v>
      </c>
      <c r="AE73" s="4">
        <v>5</v>
      </c>
      <c r="AF73" s="4">
        <v>341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412</v>
      </c>
      <c r="AP73" s="1">
        <v>267</v>
      </c>
      <c r="AQ73" s="1">
        <v>0</v>
      </c>
      <c r="AR73" s="4">
        <v>0</v>
      </c>
      <c r="AS73" s="4">
        <v>1505</v>
      </c>
      <c r="AT73" s="4">
        <v>7200</v>
      </c>
      <c r="AU73" s="4">
        <v>0</v>
      </c>
      <c r="AV73" s="4">
        <v>0</v>
      </c>
      <c r="AW73" s="4">
        <v>9008</v>
      </c>
      <c r="AX73" s="4">
        <v>66</v>
      </c>
      <c r="AY73" s="4">
        <v>9</v>
      </c>
      <c r="AZ73" s="4">
        <v>0</v>
      </c>
      <c r="BA73" s="4">
        <v>42</v>
      </c>
      <c r="BB73" s="4">
        <v>6</v>
      </c>
      <c r="BC73" s="4">
        <v>6</v>
      </c>
      <c r="BD73" s="4">
        <v>8</v>
      </c>
      <c r="BE73" s="4">
        <v>4</v>
      </c>
      <c r="BF73" s="4">
        <v>933957</v>
      </c>
      <c r="BH73" s="4">
        <f t="shared" si="67"/>
        <v>1166250.2918798968</v>
      </c>
      <c r="BI73" s="4">
        <f t="shared" si="68"/>
        <v>3275878.799</v>
      </c>
      <c r="BJ73" s="4">
        <f t="shared" si="69"/>
        <v>849593</v>
      </c>
      <c r="BK73" s="4">
        <f t="shared" si="70"/>
        <v>2747913</v>
      </c>
      <c r="BL73" s="4">
        <f t="shared" si="71"/>
        <v>1182139</v>
      </c>
      <c r="BM73" s="4">
        <f t="shared" si="72"/>
        <v>1349398.4000000001</v>
      </c>
      <c r="BN73" s="4">
        <v>27.354213365152205</v>
      </c>
      <c r="BO73" s="8">
        <f t="shared" si="73"/>
        <v>0.013266568483063328</v>
      </c>
      <c r="BP73" s="4">
        <f t="shared" si="74"/>
        <v>10571172.490879897</v>
      </c>
      <c r="BQ73" s="4">
        <f t="shared" si="75"/>
        <v>11283414.123292351</v>
      </c>
      <c r="BR73" s="4">
        <f t="shared" si="76"/>
        <v>9415557.322355853</v>
      </c>
      <c r="BS73" s="4">
        <v>6933444</v>
      </c>
      <c r="BT73" s="26"/>
      <c r="BU73" s="4">
        <f t="shared" si="77"/>
        <v>11.03236460180798</v>
      </c>
      <c r="BV73" s="4">
        <f t="shared" si="78"/>
        <v>30.988793360681704</v>
      </c>
      <c r="BW73" s="4">
        <f t="shared" si="79"/>
        <v>8.036885224727646</v>
      </c>
      <c r="BX73" s="4">
        <f t="shared" si="80"/>
        <v>25.994401305727592</v>
      </c>
      <c r="BY73" s="4">
        <f t="shared" si="81"/>
        <v>11.182666833029833</v>
      </c>
      <c r="BZ73" s="4">
        <f t="shared" si="82"/>
        <v>12.764888674025244</v>
      </c>
      <c r="CB73" s="4">
        <f t="shared" si="83"/>
        <v>23.94755550705508</v>
      </c>
      <c r="CD73" s="4">
        <f t="shared" si="87"/>
        <v>1.2680003137131877</v>
      </c>
      <c r="CE73" s="4">
        <f t="shared" si="88"/>
        <v>-3.6937382799265137</v>
      </c>
      <c r="CF73" s="4">
        <f t="shared" si="89"/>
        <v>-3.303494258933557</v>
      </c>
      <c r="CG73" s="4">
        <f t="shared" si="90"/>
        <v>-2.4573314637166987</v>
      </c>
      <c r="CH73" s="4">
        <f t="shared" si="91"/>
        <v>3.9566297463079785</v>
      </c>
      <c r="CI73" s="4">
        <f t="shared" si="92"/>
        <v>4.2299339425555935</v>
      </c>
      <c r="CK73" s="4">
        <f t="shared" si="93"/>
        <v>8.186563688863572</v>
      </c>
      <c r="CL73" s="4">
        <f t="shared" si="94"/>
        <v>0</v>
      </c>
      <c r="CM73" s="4">
        <f t="shared" si="84"/>
        <v>57.97884203751032</v>
      </c>
    </row>
    <row r="74" spans="1:91" ht="15">
      <c r="A74" s="22" t="s">
        <v>133</v>
      </c>
      <c r="B74" s="47">
        <v>5</v>
      </c>
      <c r="C74" s="23">
        <v>823989</v>
      </c>
      <c r="D74" s="6">
        <v>0</v>
      </c>
      <c r="E74" s="24">
        <f t="shared" si="56"/>
        <v>0</v>
      </c>
      <c r="F74" s="25"/>
      <c r="G74" s="24">
        <f t="shared" si="57"/>
        <v>0</v>
      </c>
      <c r="H74" s="6">
        <v>0</v>
      </c>
      <c r="I74" s="6">
        <f t="shared" si="86"/>
        <v>0</v>
      </c>
      <c r="J74" s="6">
        <f t="shared" si="58"/>
        <v>0</v>
      </c>
      <c r="K74" s="6">
        <f t="shared" si="85"/>
        <v>0</v>
      </c>
      <c r="L74" s="24">
        <f t="shared" si="59"/>
        <v>0</v>
      </c>
      <c r="M74" s="24">
        <v>935416</v>
      </c>
      <c r="N74" s="6">
        <f t="shared" si="61"/>
        <v>0</v>
      </c>
      <c r="O74" s="6">
        <f t="shared" si="62"/>
        <v>0</v>
      </c>
      <c r="P74" s="24">
        <f t="shared" si="63"/>
        <v>0</v>
      </c>
      <c r="Q74" s="10"/>
      <c r="R74" s="24">
        <f t="shared" si="64"/>
        <v>1433587.5406781845</v>
      </c>
      <c r="S74" s="24">
        <f t="shared" si="65"/>
        <v>1622272.0122287588</v>
      </c>
      <c r="T74" s="24">
        <f t="shared" si="66"/>
        <v>1452916.1236266347</v>
      </c>
      <c r="U74" s="24">
        <f t="shared" si="53"/>
        <v>1639584.7906781845</v>
      </c>
      <c r="V74" s="24">
        <f t="shared" si="54"/>
        <v>1828269.2622287588</v>
      </c>
      <c r="W74" s="24">
        <f t="shared" si="55"/>
        <v>1658913.3736266347</v>
      </c>
      <c r="X74" s="22"/>
      <c r="Y74" s="3">
        <v>462133</v>
      </c>
      <c r="Z74" s="4">
        <v>0</v>
      </c>
      <c r="AA74" s="3">
        <v>452144</v>
      </c>
      <c r="AB74" s="4">
        <v>0</v>
      </c>
      <c r="AC74" s="4">
        <v>2</v>
      </c>
      <c r="AD74" s="4">
        <v>60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18</v>
      </c>
      <c r="AP74" s="1">
        <v>15</v>
      </c>
      <c r="AQ74" s="1">
        <v>0</v>
      </c>
      <c r="AR74" s="4">
        <v>0</v>
      </c>
      <c r="AS74" s="4">
        <v>595</v>
      </c>
      <c r="AT74" s="4">
        <v>142</v>
      </c>
      <c r="AU74" s="4">
        <v>0</v>
      </c>
      <c r="AV74" s="4">
        <v>0</v>
      </c>
      <c r="AW74" s="4">
        <v>737</v>
      </c>
      <c r="AX74" s="4">
        <v>12</v>
      </c>
      <c r="AY74" s="4">
        <v>5</v>
      </c>
      <c r="AZ74" s="4">
        <v>12</v>
      </c>
      <c r="BA74" s="4">
        <v>1</v>
      </c>
      <c r="BB74" s="4">
        <v>1</v>
      </c>
      <c r="BC74" s="4">
        <v>1</v>
      </c>
      <c r="BD74" s="4">
        <v>2</v>
      </c>
      <c r="BE74" s="4">
        <v>1</v>
      </c>
      <c r="BF74" s="4">
        <v>161074</v>
      </c>
      <c r="BH74" s="4">
        <f t="shared" si="67"/>
        <v>289335.0686781843</v>
      </c>
      <c r="BI74" s="4">
        <f t="shared" si="68"/>
        <v>729308.272</v>
      </c>
      <c r="BJ74" s="4">
        <f t="shared" si="69"/>
        <v>70906</v>
      </c>
      <c r="BK74" s="4">
        <f t="shared" si="70"/>
        <v>133551</v>
      </c>
      <c r="BL74" s="4">
        <f t="shared" si="71"/>
        <v>100084.6</v>
      </c>
      <c r="BM74" s="4">
        <f t="shared" si="72"/>
        <v>110402.6</v>
      </c>
      <c r="BN74" s="4">
        <v>30.92316589971486</v>
      </c>
      <c r="BO74" s="8">
        <f t="shared" si="73"/>
        <v>0.022333333333333334</v>
      </c>
      <c r="BP74" s="4">
        <f t="shared" si="74"/>
        <v>1433587.5406781845</v>
      </c>
      <c r="BQ74" s="4">
        <f t="shared" si="75"/>
        <v>1622272.0122287588</v>
      </c>
      <c r="BR74" s="4">
        <f t="shared" si="76"/>
        <v>1452916.1236266347</v>
      </c>
      <c r="BS74" s="4">
        <v>874331</v>
      </c>
      <c r="BT74" s="26"/>
      <c r="BU74" s="4">
        <f t="shared" si="77"/>
        <v>20.18258812024197</v>
      </c>
      <c r="BV74" s="4">
        <f t="shared" si="78"/>
        <v>50.87294994590895</v>
      </c>
      <c r="BW74" s="4">
        <f t="shared" si="79"/>
        <v>4.94605303045928</v>
      </c>
      <c r="BX74" s="4">
        <f t="shared" si="80"/>
        <v>9.315859423333247</v>
      </c>
      <c r="BY74" s="4">
        <f t="shared" si="81"/>
        <v>6.981408331203351</v>
      </c>
      <c r="BZ74" s="4">
        <f t="shared" si="82"/>
        <v>7.701141148853181</v>
      </c>
      <c r="CB74" s="4">
        <f t="shared" si="83"/>
        <v>14.682549480056533</v>
      </c>
      <c r="CD74" s="4">
        <f t="shared" si="87"/>
        <v>-7.882223204720802</v>
      </c>
      <c r="CE74" s="4">
        <f t="shared" si="88"/>
        <v>-23.57789486515376</v>
      </c>
      <c r="CF74" s="4">
        <f t="shared" si="89"/>
        <v>-0.21266206466519044</v>
      </c>
      <c r="CG74" s="4">
        <f t="shared" si="90"/>
        <v>14.221210418677646</v>
      </c>
      <c r="CH74" s="4">
        <f t="shared" si="91"/>
        <v>8.15788824813446</v>
      </c>
      <c r="CI74" s="4">
        <f t="shared" si="92"/>
        <v>9.293681467727655</v>
      </c>
      <c r="CK74" s="4">
        <f t="shared" si="93"/>
        <v>17.451569715862117</v>
      </c>
      <c r="CL74" s="4">
        <f t="shared" si="94"/>
        <v>0</v>
      </c>
      <c r="CM74" s="4">
        <f t="shared" si="84"/>
        <v>28.94446193384906</v>
      </c>
    </row>
    <row r="75" spans="1:91" ht="15">
      <c r="A75" s="22" t="s">
        <v>145</v>
      </c>
      <c r="B75" s="47">
        <v>7</v>
      </c>
      <c r="C75" s="23">
        <v>3752418</v>
      </c>
      <c r="D75" s="6">
        <v>0.10715204</v>
      </c>
      <c r="E75" s="24">
        <f t="shared" si="56"/>
        <v>402079.24363272</v>
      </c>
      <c r="F75" s="25"/>
      <c r="G75" s="24">
        <f t="shared" si="57"/>
        <v>0</v>
      </c>
      <c r="H75" s="6">
        <v>0</v>
      </c>
      <c r="I75" s="6">
        <f t="shared" si="86"/>
        <v>0</v>
      </c>
      <c r="J75" s="6">
        <f t="shared" si="58"/>
        <v>0</v>
      </c>
      <c r="K75" s="6">
        <f t="shared" si="85"/>
        <v>0</v>
      </c>
      <c r="L75" s="24">
        <f t="shared" si="59"/>
        <v>0</v>
      </c>
      <c r="M75" s="24">
        <f t="shared" si="60"/>
        <v>3350338.75636728</v>
      </c>
      <c r="N75" s="6">
        <f t="shared" si="61"/>
        <v>0</v>
      </c>
      <c r="O75" s="6">
        <f t="shared" si="62"/>
        <v>0</v>
      </c>
      <c r="P75" s="24">
        <f t="shared" si="63"/>
        <v>0</v>
      </c>
      <c r="Q75" s="11"/>
      <c r="R75" s="24">
        <f t="shared" si="64"/>
        <v>4014520.477240235</v>
      </c>
      <c r="S75" s="24">
        <f t="shared" si="65"/>
        <v>4148258.1681437897</v>
      </c>
      <c r="T75" s="24">
        <f t="shared" si="66"/>
        <v>5383979.160371157</v>
      </c>
      <c r="U75" s="24">
        <f t="shared" si="53"/>
        <v>4952624.977240235</v>
      </c>
      <c r="V75" s="24">
        <f t="shared" si="54"/>
        <v>5086362.66814379</v>
      </c>
      <c r="W75" s="24">
        <f t="shared" si="55"/>
        <v>6322083.660371157</v>
      </c>
      <c r="X75" s="22"/>
      <c r="Y75" s="3">
        <v>705133</v>
      </c>
      <c r="Z75" s="4">
        <v>0</v>
      </c>
      <c r="AA75" s="3">
        <v>661078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6</v>
      </c>
      <c r="AP75" s="1">
        <v>66</v>
      </c>
      <c r="AQ75" s="1">
        <v>10</v>
      </c>
      <c r="AR75" s="4">
        <v>0</v>
      </c>
      <c r="AS75" s="4">
        <v>60</v>
      </c>
      <c r="AT75" s="4">
        <v>3332</v>
      </c>
      <c r="AU75" s="4">
        <v>795</v>
      </c>
      <c r="AV75" s="4">
        <v>0</v>
      </c>
      <c r="AW75" s="4">
        <v>3815</v>
      </c>
      <c r="AX75" s="4">
        <v>23</v>
      </c>
      <c r="AY75" s="4">
        <v>0</v>
      </c>
      <c r="AZ75" s="4">
        <v>10</v>
      </c>
      <c r="BA75" s="4">
        <v>1</v>
      </c>
      <c r="BB75" s="4">
        <v>1</v>
      </c>
      <c r="BC75" s="4">
        <v>1</v>
      </c>
      <c r="BD75" s="4">
        <v>2</v>
      </c>
      <c r="BE75" s="4">
        <v>8</v>
      </c>
      <c r="BF75" s="4">
        <v>270546</v>
      </c>
      <c r="BH75" s="4">
        <f t="shared" si="67"/>
        <v>428988.06324023526</v>
      </c>
      <c r="BI75" s="4">
        <f t="shared" si="68"/>
        <v>1066318.814</v>
      </c>
      <c r="BJ75" s="4">
        <f t="shared" si="69"/>
        <v>0</v>
      </c>
      <c r="BK75" s="4">
        <f t="shared" si="70"/>
        <v>1145084</v>
      </c>
      <c r="BL75" s="4">
        <f t="shared" si="71"/>
        <v>802642.6000000001</v>
      </c>
      <c r="BM75" s="4">
        <f t="shared" si="72"/>
        <v>571487</v>
      </c>
      <c r="BN75" s="4">
        <v>25.46186059887354</v>
      </c>
      <c r="BO75" s="8">
        <f t="shared" si="73"/>
        <v>0.04652439024390244</v>
      </c>
      <c r="BP75" s="4">
        <f t="shared" si="74"/>
        <v>4014520.477240235</v>
      </c>
      <c r="BQ75" s="4">
        <f t="shared" si="75"/>
        <v>4148258.1681437897</v>
      </c>
      <c r="BR75" s="4">
        <f t="shared" si="76"/>
        <v>5383979.160371157</v>
      </c>
      <c r="BS75" s="4">
        <v>3862754</v>
      </c>
      <c r="BT75" s="26"/>
      <c r="BU75" s="4">
        <f t="shared" si="77"/>
        <v>10.685910451131669</v>
      </c>
      <c r="BV75" s="4">
        <f t="shared" si="78"/>
        <v>26.561548758945086</v>
      </c>
      <c r="BW75" s="4">
        <f t="shared" si="79"/>
        <v>0</v>
      </c>
      <c r="BX75" s="4">
        <f t="shared" si="80"/>
        <v>28.523556088252487</v>
      </c>
      <c r="BY75" s="4">
        <f t="shared" si="81"/>
        <v>19.993486259454162</v>
      </c>
      <c r="BZ75" s="4">
        <f t="shared" si="82"/>
        <v>14.235498442216599</v>
      </c>
      <c r="CB75" s="4">
        <f t="shared" si="83"/>
        <v>34.22898470167076</v>
      </c>
      <c r="CD75" s="4">
        <f t="shared" si="87"/>
        <v>1.6144544643894996</v>
      </c>
      <c r="CE75" s="4">
        <f t="shared" si="88"/>
        <v>0.7335063218101041</v>
      </c>
      <c r="CF75" s="4">
        <f t="shared" si="89"/>
        <v>4.733390965794089</v>
      </c>
      <c r="CG75" s="4">
        <f t="shared" si="90"/>
        <v>-4.9864862462415935</v>
      </c>
      <c r="CH75" s="4">
        <f t="shared" si="91"/>
        <v>-4.854189680116351</v>
      </c>
      <c r="CI75" s="4">
        <f t="shared" si="92"/>
        <v>2.759324174364238</v>
      </c>
      <c r="CK75" s="4">
        <f t="shared" si="93"/>
        <v>-2.094865505752111</v>
      </c>
      <c r="CL75" s="4">
        <f t="shared" si="94"/>
        <v>0</v>
      </c>
      <c r="CM75" s="4">
        <f t="shared" si="84"/>
        <v>62.752540789923245</v>
      </c>
    </row>
    <row r="76" spans="1:91" ht="15">
      <c r="A76" s="22" t="s">
        <v>129</v>
      </c>
      <c r="B76" s="47">
        <v>9</v>
      </c>
      <c r="C76" s="23">
        <v>2326080</v>
      </c>
      <c r="D76" s="6">
        <v>0.4328589242900246</v>
      </c>
      <c r="E76" s="24">
        <f t="shared" si="56"/>
        <v>1006864.4866125404</v>
      </c>
      <c r="F76" s="25"/>
      <c r="G76" s="24">
        <f t="shared" si="57"/>
        <v>0</v>
      </c>
      <c r="H76" s="6">
        <v>0.2886533457716248</v>
      </c>
      <c r="I76" s="6">
        <f t="shared" si="86"/>
        <v>0</v>
      </c>
      <c r="J76" s="6">
        <f t="shared" si="58"/>
        <v>0</v>
      </c>
      <c r="K76" s="6">
        <f t="shared" si="85"/>
        <v>0</v>
      </c>
      <c r="L76" s="24">
        <f t="shared" si="59"/>
        <v>671430.7745324611</v>
      </c>
      <c r="M76" s="24">
        <f t="shared" si="60"/>
        <v>1319215.5133874596</v>
      </c>
      <c r="N76" s="6">
        <f t="shared" si="61"/>
        <v>0.0721633364429062</v>
      </c>
      <c r="O76" s="6">
        <f t="shared" si="62"/>
        <v>0.05</v>
      </c>
      <c r="P76" s="24">
        <f t="shared" si="63"/>
        <v>116304</v>
      </c>
      <c r="Q76" s="24"/>
      <c r="R76" s="24">
        <f t="shared" si="64"/>
        <v>1949603.8255019349</v>
      </c>
      <c r="S76" s="24">
        <f t="shared" si="65"/>
        <v>2340809.3975220206</v>
      </c>
      <c r="T76" s="24">
        <f t="shared" si="66"/>
        <v>1752030.2806330973</v>
      </c>
      <c r="U76" s="24">
        <f t="shared" si="53"/>
        <v>2531123.8255019346</v>
      </c>
      <c r="V76" s="24">
        <f t="shared" si="54"/>
        <v>2922329.3975220206</v>
      </c>
      <c r="W76" s="24">
        <f t="shared" si="55"/>
        <v>2333550.2806330975</v>
      </c>
      <c r="X76" s="22"/>
      <c r="Y76" s="3">
        <v>231874</v>
      </c>
      <c r="Z76" s="4">
        <v>0</v>
      </c>
      <c r="AA76" s="3">
        <v>0</v>
      </c>
      <c r="AB76" s="3">
        <v>206673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153</v>
      </c>
      <c r="AP76" s="1">
        <v>27</v>
      </c>
      <c r="AQ76" s="1">
        <v>0</v>
      </c>
      <c r="AR76" s="4">
        <v>0</v>
      </c>
      <c r="AS76" s="4">
        <v>1223</v>
      </c>
      <c r="AT76" s="4">
        <v>1198</v>
      </c>
      <c r="AU76" s="4">
        <v>0</v>
      </c>
      <c r="AV76" s="4">
        <v>0</v>
      </c>
      <c r="AW76" s="4">
        <v>2494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239647</v>
      </c>
      <c r="BH76" s="4">
        <f t="shared" si="67"/>
        <v>152132.92350193486</v>
      </c>
      <c r="BI76" s="4">
        <f t="shared" si="68"/>
        <v>366637.902</v>
      </c>
      <c r="BJ76" s="4">
        <f t="shared" si="69"/>
        <v>0</v>
      </c>
      <c r="BK76" s="4">
        <f t="shared" si="70"/>
        <v>728460</v>
      </c>
      <c r="BL76" s="4">
        <f t="shared" si="71"/>
        <v>328771.80000000005</v>
      </c>
      <c r="BM76" s="4">
        <f t="shared" si="72"/>
        <v>373601.2</v>
      </c>
      <c r="BN76" s="4">
        <v>34.75883384622082</v>
      </c>
      <c r="BO76" s="8">
        <f t="shared" si="73"/>
        <v>0.013855555555555555</v>
      </c>
      <c r="BP76" s="4">
        <f t="shared" si="74"/>
        <v>1949603.8255019349</v>
      </c>
      <c r="BQ76" s="4">
        <f t="shared" si="75"/>
        <v>2340809.3975220206</v>
      </c>
      <c r="BR76" s="4">
        <f t="shared" si="76"/>
        <v>1752030.2806330973</v>
      </c>
      <c r="BS76" s="4">
        <v>1773837</v>
      </c>
      <c r="BT76" s="26"/>
      <c r="BU76" s="4">
        <f t="shared" si="77"/>
        <v>7.803273747822459</v>
      </c>
      <c r="BV76" s="4">
        <f t="shared" si="78"/>
        <v>18.80576439193267</v>
      </c>
      <c r="BW76" s="4">
        <f t="shared" si="79"/>
        <v>0</v>
      </c>
      <c r="BX76" s="4">
        <f t="shared" si="80"/>
        <v>37.3645142911255</v>
      </c>
      <c r="BY76" s="4">
        <f t="shared" si="81"/>
        <v>16.863518408174862</v>
      </c>
      <c r="BZ76" s="4">
        <f t="shared" si="82"/>
        <v>19.16292916094451</v>
      </c>
      <c r="CB76" s="4">
        <f t="shared" si="83"/>
        <v>36.02644756911937</v>
      </c>
      <c r="CD76" s="4">
        <f t="shared" si="87"/>
        <v>4.497091167698709</v>
      </c>
      <c r="CE76" s="4">
        <f t="shared" si="88"/>
        <v>8.489290688822521</v>
      </c>
      <c r="CF76" s="4">
        <f t="shared" si="89"/>
        <v>4.733390965794089</v>
      </c>
      <c r="CG76" s="4">
        <f t="shared" si="90"/>
        <v>-13.827444449114608</v>
      </c>
      <c r="CH76" s="4">
        <f t="shared" si="91"/>
        <v>-1.7242218288370506</v>
      </c>
      <c r="CI76" s="4">
        <f t="shared" si="92"/>
        <v>-2.168106544363674</v>
      </c>
      <c r="CK76" s="4">
        <f t="shared" si="93"/>
        <v>-3.8923283732007192</v>
      </c>
      <c r="CL76" s="4">
        <f t="shared" si="94"/>
        <v>0</v>
      </c>
      <c r="CM76" s="4">
        <f t="shared" si="84"/>
        <v>73.39096186024487</v>
      </c>
    </row>
    <row r="77" spans="1:91" ht="15">
      <c r="A77" s="22" t="s">
        <v>78</v>
      </c>
      <c r="B77" s="47">
        <v>9</v>
      </c>
      <c r="C77" s="23">
        <v>1527771</v>
      </c>
      <c r="D77" s="6">
        <v>0.277941079183354</v>
      </c>
      <c r="E77" s="24">
        <f t="shared" si="56"/>
        <v>424630.3204850319</v>
      </c>
      <c r="F77" s="25"/>
      <c r="G77" s="24">
        <f t="shared" si="57"/>
        <v>0</v>
      </c>
      <c r="H77" s="6">
        <v>0.12237155562349522</v>
      </c>
      <c r="I77" s="6">
        <f t="shared" si="86"/>
        <v>0</v>
      </c>
      <c r="J77" s="6">
        <f t="shared" si="58"/>
        <v>0</v>
      </c>
      <c r="K77" s="6">
        <f t="shared" si="85"/>
        <v>0</v>
      </c>
      <c r="L77" s="24">
        <f t="shared" si="59"/>
        <v>186955.71390646292</v>
      </c>
      <c r="M77" s="24">
        <f t="shared" si="60"/>
        <v>1103140.679514968</v>
      </c>
      <c r="N77" s="6">
        <f t="shared" si="61"/>
        <v>0.030592888905873805</v>
      </c>
      <c r="O77" s="6">
        <f t="shared" si="62"/>
        <v>0.030592888905873805</v>
      </c>
      <c r="P77" s="24">
        <f t="shared" si="63"/>
        <v>46738.92847661573</v>
      </c>
      <c r="Q77" s="24"/>
      <c r="R77" s="24">
        <f t="shared" si="64"/>
        <v>1375310.5340910084</v>
      </c>
      <c r="S77" s="24">
        <f t="shared" si="65"/>
        <v>1522530.5982232855</v>
      </c>
      <c r="T77" s="24">
        <f t="shared" si="66"/>
        <v>1772741.5534371694</v>
      </c>
      <c r="U77" s="24">
        <f t="shared" si="53"/>
        <v>1757253.2840910084</v>
      </c>
      <c r="V77" s="24">
        <f t="shared" si="54"/>
        <v>1904473.3482232855</v>
      </c>
      <c r="W77" s="24">
        <f t="shared" si="55"/>
        <v>2154684.3034371696</v>
      </c>
      <c r="X77" s="22"/>
      <c r="Y77" s="3">
        <v>292431</v>
      </c>
      <c r="Z77" s="3">
        <v>-100000</v>
      </c>
      <c r="AA77" s="4">
        <v>275402</v>
      </c>
      <c r="AB77" s="4">
        <v>0</v>
      </c>
      <c r="AC77" s="3">
        <v>2</v>
      </c>
      <c r="AD77" s="3">
        <v>45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4">
        <v>1</v>
      </c>
      <c r="AP77" s="1">
        <v>45</v>
      </c>
      <c r="AQ77" s="1">
        <v>0</v>
      </c>
      <c r="AR77" s="4">
        <v>0</v>
      </c>
      <c r="AS77" s="3">
        <v>36</v>
      </c>
      <c r="AT77" s="3">
        <v>1922</v>
      </c>
      <c r="AU77" s="3">
        <v>0</v>
      </c>
      <c r="AV77" s="3">
        <v>0</v>
      </c>
      <c r="AW77" s="3">
        <v>1963</v>
      </c>
      <c r="AX77" s="3">
        <v>13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176240</v>
      </c>
      <c r="BH77" s="4">
        <f t="shared" si="67"/>
        <v>188865.30809100842</v>
      </c>
      <c r="BI77" s="4">
        <f t="shared" si="68"/>
        <v>369423.426</v>
      </c>
      <c r="BJ77" s="4">
        <f t="shared" si="69"/>
        <v>70906</v>
      </c>
      <c r="BK77" s="4">
        <f t="shared" si="70"/>
        <v>186162</v>
      </c>
      <c r="BL77" s="4">
        <f t="shared" si="71"/>
        <v>265896.4</v>
      </c>
      <c r="BM77" s="4">
        <f t="shared" si="72"/>
        <v>294057.4</v>
      </c>
      <c r="BN77" s="4">
        <v>29.558053455444213</v>
      </c>
      <c r="BO77" s="8">
        <f t="shared" si="73"/>
        <v>0.042673913043478263</v>
      </c>
      <c r="BP77" s="4">
        <f t="shared" si="74"/>
        <v>1375310.5340910084</v>
      </c>
      <c r="BQ77" s="4">
        <f t="shared" si="75"/>
        <v>1522530.5982232855</v>
      </c>
      <c r="BR77" s="4">
        <f t="shared" si="76"/>
        <v>1772741.5534371694</v>
      </c>
      <c r="BS77" s="4">
        <v>3818837</v>
      </c>
      <c r="BT77" s="26"/>
      <c r="BU77" s="4">
        <f t="shared" si="77"/>
        <v>13.732557368640839</v>
      </c>
      <c r="BV77" s="4">
        <f t="shared" si="78"/>
        <v>26.86109186563928</v>
      </c>
      <c r="BW77" s="4">
        <f t="shared" si="79"/>
        <v>5.155635635908533</v>
      </c>
      <c r="BX77" s="4">
        <f t="shared" si="80"/>
        <v>13.535997535497762</v>
      </c>
      <c r="BY77" s="4">
        <f t="shared" si="81"/>
        <v>19.333553652720358</v>
      </c>
      <c r="BZ77" s="4">
        <f t="shared" si="82"/>
        <v>21.381163941593233</v>
      </c>
      <c r="CB77" s="4">
        <f t="shared" si="83"/>
        <v>40.71471759431359</v>
      </c>
      <c r="CD77" s="4">
        <f t="shared" si="87"/>
        <v>-1.4321924531196704</v>
      </c>
      <c r="CE77" s="4">
        <f t="shared" si="88"/>
        <v>0.4339632151159094</v>
      </c>
      <c r="CF77" s="4">
        <f t="shared" si="89"/>
        <v>-0.422244670114444</v>
      </c>
      <c r="CG77" s="4">
        <f t="shared" si="90"/>
        <v>10.001072306513132</v>
      </c>
      <c r="CH77" s="4">
        <f t="shared" si="91"/>
        <v>-4.194257073382547</v>
      </c>
      <c r="CI77" s="4">
        <f t="shared" si="92"/>
        <v>-4.3863413250123955</v>
      </c>
      <c r="CK77" s="4">
        <f t="shared" si="93"/>
        <v>-8.58059839839494</v>
      </c>
      <c r="CL77" s="4">
        <f t="shared" si="94"/>
        <v>0</v>
      </c>
      <c r="CM77" s="4">
        <f t="shared" si="84"/>
        <v>59.40635076571988</v>
      </c>
    </row>
    <row r="78" spans="1:91" ht="15">
      <c r="A78" s="22" t="s">
        <v>57</v>
      </c>
      <c r="B78" s="47">
        <v>9</v>
      </c>
      <c r="C78" s="23">
        <v>1487693</v>
      </c>
      <c r="D78" s="6">
        <v>0.14323526</v>
      </c>
      <c r="E78" s="24">
        <f t="shared" si="56"/>
        <v>213090.09365518</v>
      </c>
      <c r="F78" s="25"/>
      <c r="G78" s="24">
        <f t="shared" si="57"/>
        <v>0</v>
      </c>
      <c r="H78" s="6">
        <v>0</v>
      </c>
      <c r="I78" s="6">
        <f t="shared" si="86"/>
        <v>-0.04124896159907445</v>
      </c>
      <c r="J78" s="6">
        <f t="shared" si="58"/>
        <v>-0.02167117320011374</v>
      </c>
      <c r="K78" s="6">
        <f t="shared" si="85"/>
        <v>-0.02167117320011374</v>
      </c>
      <c r="L78" s="24">
        <f t="shared" si="59"/>
        <v>-32240.05267159681</v>
      </c>
      <c r="M78" s="24">
        <f t="shared" si="60"/>
        <v>1274602.90634482</v>
      </c>
      <c r="N78" s="6">
        <f t="shared" si="61"/>
        <v>-0.005417793300028435</v>
      </c>
      <c r="O78" s="6">
        <f t="shared" si="62"/>
        <v>0</v>
      </c>
      <c r="P78" s="24">
        <f t="shared" si="63"/>
        <v>0</v>
      </c>
      <c r="Q78" s="24"/>
      <c r="R78" s="24">
        <f t="shared" si="64"/>
        <v>1596594.7419862538</v>
      </c>
      <c r="S78" s="24">
        <f t="shared" si="65"/>
        <v>1690325.0681937563</v>
      </c>
      <c r="T78" s="24">
        <f t="shared" si="66"/>
        <v>2048281.4890931789</v>
      </c>
      <c r="U78" s="24">
        <f t="shared" si="53"/>
        <v>1968517.9919862538</v>
      </c>
      <c r="V78" s="24">
        <f t="shared" si="54"/>
        <v>2062248.3181937563</v>
      </c>
      <c r="W78" s="24">
        <f t="shared" si="55"/>
        <v>2420204.739093179</v>
      </c>
      <c r="X78" s="22"/>
      <c r="Y78" s="3">
        <v>274344</v>
      </c>
      <c r="Z78" s="4">
        <v>0</v>
      </c>
      <c r="AA78" s="3">
        <v>253497</v>
      </c>
      <c r="AB78" s="4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4">
        <v>20</v>
      </c>
      <c r="AP78" s="1">
        <v>42</v>
      </c>
      <c r="AQ78" s="1">
        <v>0</v>
      </c>
      <c r="AR78" s="4">
        <v>0</v>
      </c>
      <c r="AS78" s="3">
        <v>24</v>
      </c>
      <c r="AT78" s="3">
        <v>2676</v>
      </c>
      <c r="AU78" s="1">
        <v>0</v>
      </c>
      <c r="AV78" s="1">
        <v>0</v>
      </c>
      <c r="AW78" s="3">
        <v>2618</v>
      </c>
      <c r="AX78" s="3">
        <v>7</v>
      </c>
      <c r="AY78" s="3">
        <v>0</v>
      </c>
      <c r="AZ78" s="3">
        <v>2</v>
      </c>
      <c r="BA78" s="3">
        <v>1</v>
      </c>
      <c r="BB78" s="3">
        <v>1</v>
      </c>
      <c r="BC78" s="3">
        <v>0</v>
      </c>
      <c r="BD78" s="3">
        <v>9</v>
      </c>
      <c r="BE78" s="3">
        <v>3</v>
      </c>
      <c r="BF78" s="3">
        <v>137099</v>
      </c>
      <c r="BH78" s="4">
        <f t="shared" si="67"/>
        <v>177953.6809862537</v>
      </c>
      <c r="BI78" s="4">
        <f t="shared" si="68"/>
        <v>408890.661</v>
      </c>
      <c r="BJ78" s="4">
        <f t="shared" si="69"/>
        <v>0</v>
      </c>
      <c r="BK78" s="4">
        <f t="shared" si="70"/>
        <v>250914</v>
      </c>
      <c r="BL78" s="4">
        <f t="shared" si="71"/>
        <v>366660.00000000006</v>
      </c>
      <c r="BM78" s="4">
        <f t="shared" si="72"/>
        <v>392176.4</v>
      </c>
      <c r="BN78" s="4">
        <v>26.872577661090578</v>
      </c>
      <c r="BO78" s="8">
        <f t="shared" si="73"/>
        <v>0.042225806451612904</v>
      </c>
      <c r="BP78" s="4">
        <f t="shared" si="74"/>
        <v>1596594.7419862538</v>
      </c>
      <c r="BQ78" s="4">
        <f t="shared" si="75"/>
        <v>1690325.0681937563</v>
      </c>
      <c r="BR78" s="4">
        <f t="shared" si="76"/>
        <v>2048281.4890931789</v>
      </c>
      <c r="BS78" s="4">
        <v>1648437</v>
      </c>
      <c r="BT78" s="26"/>
      <c r="BU78" s="4">
        <f t="shared" si="77"/>
        <v>11.145826571172925</v>
      </c>
      <c r="BV78" s="4">
        <f t="shared" si="78"/>
        <v>25.61017208983897</v>
      </c>
      <c r="BW78" s="4">
        <f t="shared" si="79"/>
        <v>0</v>
      </c>
      <c r="BX78" s="4">
        <f t="shared" si="80"/>
        <v>15.715572236436708</v>
      </c>
      <c r="BY78" s="4">
        <f t="shared" si="81"/>
        <v>22.965126362864904</v>
      </c>
      <c r="BZ78" s="4">
        <f t="shared" si="82"/>
        <v>24.563302739686495</v>
      </c>
      <c r="CB78" s="4">
        <f t="shared" si="83"/>
        <v>47.5284291025514</v>
      </c>
      <c r="CD78" s="4">
        <f t="shared" si="87"/>
        <v>1.1545383443482429</v>
      </c>
      <c r="CE78" s="4">
        <f t="shared" si="88"/>
        <v>1.684882990916222</v>
      </c>
      <c r="CF78" s="4">
        <f t="shared" si="89"/>
        <v>4.733390965794089</v>
      </c>
      <c r="CG78" s="4">
        <f t="shared" si="90"/>
        <v>7.821497605574185</v>
      </c>
      <c r="CH78" s="4">
        <f t="shared" si="91"/>
        <v>-7.825829783527093</v>
      </c>
      <c r="CI78" s="4">
        <f t="shared" si="92"/>
        <v>-7.568480123105658</v>
      </c>
      <c r="CK78" s="4">
        <f t="shared" si="93"/>
        <v>-15.39430990663275</v>
      </c>
      <c r="CL78" s="4">
        <f t="shared" si="94"/>
        <v>-2.167117320011374</v>
      </c>
      <c r="CM78" s="4">
        <f t="shared" si="84"/>
        <v>63.24400133898811</v>
      </c>
    </row>
    <row r="79" spans="1:91" ht="15">
      <c r="A79" s="22" t="s">
        <v>81</v>
      </c>
      <c r="B79" s="47">
        <v>9</v>
      </c>
      <c r="C79" s="23">
        <v>748447</v>
      </c>
      <c r="D79" s="6">
        <v>0.23734498199818233</v>
      </c>
      <c r="E79" s="24">
        <f t="shared" si="56"/>
        <v>177640.13974159356</v>
      </c>
      <c r="F79" s="25"/>
      <c r="G79" s="24">
        <f t="shared" si="57"/>
        <v>0</v>
      </c>
      <c r="H79" s="6">
        <v>0.08177494509755379</v>
      </c>
      <c r="I79" s="6">
        <f t="shared" si="86"/>
        <v>0</v>
      </c>
      <c r="J79" s="6">
        <f t="shared" si="58"/>
        <v>0</v>
      </c>
      <c r="K79" s="6">
        <f t="shared" si="85"/>
        <v>0</v>
      </c>
      <c r="L79" s="24">
        <f t="shared" si="59"/>
        <v>61204.21233342884</v>
      </c>
      <c r="M79" s="24">
        <f t="shared" si="60"/>
        <v>570806.8602584065</v>
      </c>
      <c r="N79" s="6">
        <f t="shared" si="61"/>
        <v>0.020443736274388447</v>
      </c>
      <c r="O79" s="6">
        <f t="shared" si="62"/>
        <v>0.020443736274388447</v>
      </c>
      <c r="P79" s="24">
        <f t="shared" si="63"/>
        <v>15301.05308335721</v>
      </c>
      <c r="Q79" s="24"/>
      <c r="R79" s="24">
        <f t="shared" si="64"/>
        <v>962133.996722786</v>
      </c>
      <c r="S79" s="24">
        <f t="shared" si="65"/>
        <v>968402.8020251523</v>
      </c>
      <c r="T79" s="24">
        <f t="shared" si="66"/>
        <v>917283.9580273461</v>
      </c>
      <c r="U79" s="24">
        <f t="shared" si="53"/>
        <v>1149245.746722786</v>
      </c>
      <c r="V79" s="24">
        <f t="shared" si="54"/>
        <v>1155514.5520251524</v>
      </c>
      <c r="W79" s="24">
        <f t="shared" si="55"/>
        <v>1104395.708027346</v>
      </c>
      <c r="X79" s="22"/>
      <c r="Y79" s="3">
        <v>229367</v>
      </c>
      <c r="Z79" s="4">
        <v>0</v>
      </c>
      <c r="AA79" s="4">
        <v>0</v>
      </c>
      <c r="AB79" s="4">
        <v>0</v>
      </c>
      <c r="AC79" s="3">
        <v>3</v>
      </c>
      <c r="AD79" s="3">
        <v>26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4">
        <v>51</v>
      </c>
      <c r="AP79" s="1">
        <v>26</v>
      </c>
      <c r="AQ79" s="1">
        <v>0</v>
      </c>
      <c r="AR79" s="4">
        <v>0</v>
      </c>
      <c r="AS79" s="3">
        <v>464</v>
      </c>
      <c r="AT79" s="3">
        <v>914</v>
      </c>
      <c r="AU79" s="3">
        <v>0</v>
      </c>
      <c r="AV79" s="3">
        <v>0</v>
      </c>
      <c r="AW79" s="3">
        <v>1378</v>
      </c>
      <c r="AX79" s="3">
        <v>12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103703</v>
      </c>
      <c r="BH79" s="4">
        <f t="shared" si="67"/>
        <v>150599.196722786</v>
      </c>
      <c r="BI79" s="4">
        <f t="shared" si="68"/>
        <v>0</v>
      </c>
      <c r="BJ79" s="4">
        <f t="shared" si="69"/>
        <v>106359</v>
      </c>
      <c r="BK79" s="4">
        <f t="shared" si="70"/>
        <v>311619</v>
      </c>
      <c r="BL79" s="4">
        <f t="shared" si="71"/>
        <v>187132.40000000002</v>
      </c>
      <c r="BM79" s="4">
        <f t="shared" si="72"/>
        <v>206424.40000000002</v>
      </c>
      <c r="BN79" s="4">
        <v>23.973084560161702</v>
      </c>
      <c r="BO79" s="8">
        <f t="shared" si="73"/>
        <v>0.017896103896103896</v>
      </c>
      <c r="BP79" s="4">
        <f t="shared" si="74"/>
        <v>962133.996722786</v>
      </c>
      <c r="BQ79" s="4">
        <f t="shared" si="75"/>
        <v>968402.8020251523</v>
      </c>
      <c r="BR79" s="4">
        <f t="shared" si="76"/>
        <v>917283.9580273461</v>
      </c>
      <c r="BS79" s="4">
        <v>627824</v>
      </c>
      <c r="BT79" s="26"/>
      <c r="BU79" s="4">
        <f t="shared" si="77"/>
        <v>15.652621904615774</v>
      </c>
      <c r="BV79" s="4">
        <f t="shared" si="78"/>
        <v>0</v>
      </c>
      <c r="BW79" s="4">
        <f t="shared" si="79"/>
        <v>11.054489329166133</v>
      </c>
      <c r="BX79" s="4">
        <f t="shared" si="80"/>
        <v>32.38831608294005</v>
      </c>
      <c r="BY79" s="4">
        <f t="shared" si="81"/>
        <v>19.449723285676328</v>
      </c>
      <c r="BZ79" s="4">
        <f t="shared" si="82"/>
        <v>21.454849397601723</v>
      </c>
      <c r="CB79" s="4">
        <f t="shared" si="83"/>
        <v>40.90457268327805</v>
      </c>
      <c r="CD79" s="4">
        <f t="shared" si="87"/>
        <v>-3.352256989094606</v>
      </c>
      <c r="CE79" s="4">
        <f t="shared" si="88"/>
        <v>27.29505508075519</v>
      </c>
      <c r="CF79" s="4">
        <f t="shared" si="89"/>
        <v>-6.321098363372044</v>
      </c>
      <c r="CG79" s="4">
        <f t="shared" si="90"/>
        <v>-8.851246240929157</v>
      </c>
      <c r="CH79" s="4">
        <f t="shared" si="91"/>
        <v>-4.310426706338516</v>
      </c>
      <c r="CI79" s="4">
        <f t="shared" si="92"/>
        <v>-4.460026781020886</v>
      </c>
      <c r="CK79" s="4">
        <f t="shared" si="93"/>
        <v>-8.770453487359397</v>
      </c>
      <c r="CL79" s="4">
        <f t="shared" si="94"/>
        <v>0</v>
      </c>
      <c r="CM79" s="4">
        <f t="shared" si="84"/>
        <v>84.34737809538423</v>
      </c>
    </row>
    <row r="80" spans="1:91" ht="15">
      <c r="A80" s="22" t="s">
        <v>142</v>
      </c>
      <c r="B80" s="47">
        <v>1</v>
      </c>
      <c r="C80" s="24">
        <v>5253186</v>
      </c>
      <c r="D80" s="58">
        <v>0.14119093624243795</v>
      </c>
      <c r="E80" s="24">
        <f>C80*D80</f>
        <v>741702.2495956676</v>
      </c>
      <c r="F80" s="25"/>
      <c r="G80" s="24">
        <f t="shared" si="57"/>
        <v>0</v>
      </c>
      <c r="H80" s="14">
        <v>0</v>
      </c>
      <c r="I80" s="6">
        <f t="shared" si="86"/>
        <v>0</v>
      </c>
      <c r="J80" s="6">
        <f t="shared" si="58"/>
        <v>0</v>
      </c>
      <c r="K80" s="6">
        <f t="shared" si="85"/>
        <v>0</v>
      </c>
      <c r="L80" s="24">
        <f t="shared" si="59"/>
        <v>0</v>
      </c>
      <c r="M80" s="24">
        <f t="shared" si="60"/>
        <v>4511483.750404333</v>
      </c>
      <c r="N80" s="6">
        <f t="shared" si="61"/>
        <v>0</v>
      </c>
      <c r="O80" s="6">
        <f t="shared" si="62"/>
        <v>0</v>
      </c>
      <c r="P80" s="24">
        <f t="shared" si="63"/>
        <v>0</v>
      </c>
      <c r="Q80" s="24"/>
      <c r="R80" s="24">
        <f t="shared" si="64"/>
        <v>7314695.707122612</v>
      </c>
      <c r="S80" s="24">
        <f t="shared" si="65"/>
        <v>7822993.507931948</v>
      </c>
      <c r="T80" s="24">
        <f t="shared" si="66"/>
        <v>6856494.324063868</v>
      </c>
      <c r="U80" s="24">
        <f t="shared" si="53"/>
        <v>8627992.207122613</v>
      </c>
      <c r="V80" s="24">
        <f t="shared" si="54"/>
        <v>9136290.007931948</v>
      </c>
      <c r="W80" s="24">
        <f t="shared" si="55"/>
        <v>8169790.824063868</v>
      </c>
      <c r="X80" s="22"/>
      <c r="Y80" s="3">
        <v>1678809</v>
      </c>
      <c r="Z80" s="4">
        <v>0</v>
      </c>
      <c r="AA80" s="4">
        <v>1653064</v>
      </c>
      <c r="AB80" s="4">
        <v>0</v>
      </c>
      <c r="AC80" s="4">
        <v>1</v>
      </c>
      <c r="AD80" s="4">
        <v>20</v>
      </c>
      <c r="AE80" s="4">
        <v>0</v>
      </c>
      <c r="AF80" s="4">
        <v>0</v>
      </c>
      <c r="AG80" s="4">
        <v>1</v>
      </c>
      <c r="AH80" s="4">
        <v>200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258</v>
      </c>
      <c r="AP80" s="1">
        <v>139</v>
      </c>
      <c r="AQ80" s="1">
        <v>0</v>
      </c>
      <c r="AR80" s="4">
        <v>0</v>
      </c>
      <c r="AS80" s="4">
        <v>2781</v>
      </c>
      <c r="AT80" s="4">
        <v>3880</v>
      </c>
      <c r="AU80" s="4">
        <v>0</v>
      </c>
      <c r="AV80" s="4">
        <v>0</v>
      </c>
      <c r="AW80" s="4">
        <v>6635</v>
      </c>
      <c r="AX80" s="4">
        <v>48</v>
      </c>
      <c r="AY80" s="4">
        <v>6</v>
      </c>
      <c r="AZ80" s="4">
        <v>33</v>
      </c>
      <c r="BA80" s="4">
        <v>4</v>
      </c>
      <c r="BB80" s="4">
        <v>4</v>
      </c>
      <c r="BC80" s="4">
        <v>4</v>
      </c>
      <c r="BD80" s="4">
        <v>6</v>
      </c>
      <c r="BE80" s="4">
        <v>2</v>
      </c>
      <c r="BF80" s="4">
        <v>796347</v>
      </c>
      <c r="BH80" s="4">
        <f t="shared" si="67"/>
        <v>962931.6751226119</v>
      </c>
      <c r="BI80" s="4">
        <f t="shared" si="68"/>
        <v>2666392.232</v>
      </c>
      <c r="BJ80" s="4">
        <f t="shared" si="69"/>
        <v>180226</v>
      </c>
      <c r="BK80" s="4">
        <f t="shared" si="70"/>
        <v>1606659</v>
      </c>
      <c r="BL80" s="4">
        <f t="shared" si="71"/>
        <v>904563.8</v>
      </c>
      <c r="BM80" s="4">
        <f t="shared" si="72"/>
        <v>993923.0000000001</v>
      </c>
      <c r="BN80" s="4">
        <v>27.47166359918421</v>
      </c>
      <c r="BO80" s="8">
        <f t="shared" si="73"/>
        <v>0.016712846347607054</v>
      </c>
      <c r="BP80" s="4">
        <f t="shared" si="74"/>
        <v>7314695.707122612</v>
      </c>
      <c r="BQ80" s="4">
        <f t="shared" si="75"/>
        <v>7822993.507931948</v>
      </c>
      <c r="BR80" s="4">
        <f t="shared" si="76"/>
        <v>6856494.324063868</v>
      </c>
      <c r="BS80" s="4">
        <v>5529669</v>
      </c>
      <c r="BT80" s="26"/>
      <c r="BU80" s="4">
        <f t="shared" si="77"/>
        <v>13.164343585543373</v>
      </c>
      <c r="BV80" s="4">
        <f t="shared" si="78"/>
        <v>36.452537996948074</v>
      </c>
      <c r="BW80" s="4">
        <f t="shared" si="79"/>
        <v>2.4638892336219365</v>
      </c>
      <c r="BX80" s="4">
        <f t="shared" si="80"/>
        <v>21.964809806586103</v>
      </c>
      <c r="BY80" s="4">
        <f t="shared" si="81"/>
        <v>12.366390021107646</v>
      </c>
      <c r="BZ80" s="4">
        <f t="shared" si="82"/>
        <v>13.588029356192871</v>
      </c>
      <c r="CB80" s="4">
        <f t="shared" si="83"/>
        <v>25.954419377300518</v>
      </c>
      <c r="CD80" s="4">
        <f t="shared" si="87"/>
        <v>-0.8639786700222043</v>
      </c>
      <c r="CE80" s="4">
        <f t="shared" si="88"/>
        <v>-9.157482916192883</v>
      </c>
      <c r="CF80" s="4">
        <f t="shared" si="89"/>
        <v>2.2695017321721527</v>
      </c>
      <c r="CG80" s="4">
        <f t="shared" si="90"/>
        <v>1.5722600354247902</v>
      </c>
      <c r="CH80" s="4">
        <f t="shared" si="91"/>
        <v>2.772906558230165</v>
      </c>
      <c r="CI80" s="4">
        <f t="shared" si="92"/>
        <v>3.406793260387966</v>
      </c>
      <c r="CK80" s="4">
        <f t="shared" si="93"/>
        <v>6.179699818618133</v>
      </c>
      <c r="CL80" s="4">
        <f t="shared" si="94"/>
        <v>0</v>
      </c>
      <c r="CM80" s="4">
        <f t="shared" si="84"/>
        <v>50.383118417508555</v>
      </c>
    </row>
    <row r="81" spans="1:91" ht="15">
      <c r="A81" s="22" t="s">
        <v>135</v>
      </c>
      <c r="B81" s="47">
        <v>9</v>
      </c>
      <c r="C81" s="23">
        <v>716462</v>
      </c>
      <c r="D81" s="6">
        <v>0.08909718</v>
      </c>
      <c r="E81" s="24">
        <f t="shared" si="56"/>
        <v>63834.74377716</v>
      </c>
      <c r="F81" s="25"/>
      <c r="G81" s="24">
        <f t="shared" si="57"/>
        <v>0</v>
      </c>
      <c r="H81" s="6">
        <v>0</v>
      </c>
      <c r="I81" s="6">
        <f t="shared" si="86"/>
        <v>0</v>
      </c>
      <c r="J81" s="6">
        <f t="shared" si="58"/>
        <v>0</v>
      </c>
      <c r="K81" s="6">
        <f t="shared" si="85"/>
        <v>0</v>
      </c>
      <c r="L81" s="24">
        <f t="shared" si="59"/>
        <v>0</v>
      </c>
      <c r="M81" s="24">
        <f t="shared" si="60"/>
        <v>652627.25622284</v>
      </c>
      <c r="N81" s="6">
        <f t="shared" si="61"/>
        <v>0</v>
      </c>
      <c r="O81" s="6">
        <f t="shared" si="62"/>
        <v>0</v>
      </c>
      <c r="P81" s="24">
        <f t="shared" si="63"/>
        <v>0</v>
      </c>
      <c r="Q81" s="24"/>
      <c r="R81" s="24">
        <f t="shared" si="64"/>
        <v>1008503.4925013292</v>
      </c>
      <c r="S81" s="24">
        <f t="shared" si="65"/>
        <v>1051573.098094154</v>
      </c>
      <c r="T81" s="24">
        <f t="shared" si="66"/>
        <v>1048768.7147990824</v>
      </c>
      <c r="U81" s="24">
        <f t="shared" si="53"/>
        <v>1187618.9925013292</v>
      </c>
      <c r="V81" s="24">
        <f t="shared" si="54"/>
        <v>1230688.598094154</v>
      </c>
      <c r="W81" s="24">
        <f t="shared" si="55"/>
        <v>1227884.2147990824</v>
      </c>
      <c r="X81" s="22"/>
      <c r="Y81" s="3">
        <v>260000</v>
      </c>
      <c r="Z81" s="4">
        <v>0</v>
      </c>
      <c r="AA81" s="3">
        <v>260000</v>
      </c>
      <c r="AB81" s="4">
        <v>0</v>
      </c>
      <c r="AC81" s="4">
        <v>1</v>
      </c>
      <c r="AD81" s="4">
        <v>10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1">
        <v>35</v>
      </c>
      <c r="AQ81" s="1">
        <v>0</v>
      </c>
      <c r="AR81" s="4">
        <v>0</v>
      </c>
      <c r="AS81" s="4">
        <v>0</v>
      </c>
      <c r="AT81" s="4">
        <v>850</v>
      </c>
      <c r="AU81" s="4">
        <v>0</v>
      </c>
      <c r="AV81" s="4">
        <v>0</v>
      </c>
      <c r="AW81" s="4">
        <v>850</v>
      </c>
      <c r="AX81" s="4">
        <v>1</v>
      </c>
      <c r="AY81" s="4">
        <v>0</v>
      </c>
      <c r="AZ81" s="4">
        <v>2</v>
      </c>
      <c r="BA81" s="4">
        <v>1</v>
      </c>
      <c r="BB81" s="4">
        <v>1</v>
      </c>
      <c r="BC81" s="4">
        <v>0</v>
      </c>
      <c r="BD81" s="4">
        <v>1</v>
      </c>
      <c r="BE81" s="4">
        <v>1</v>
      </c>
      <c r="BF81" s="4">
        <v>126057</v>
      </c>
      <c r="BH81" s="4">
        <f t="shared" si="67"/>
        <v>169265.49250132922</v>
      </c>
      <c r="BI81" s="4">
        <f t="shared" si="68"/>
        <v>419380</v>
      </c>
      <c r="BJ81" s="4">
        <f t="shared" si="69"/>
        <v>35453</v>
      </c>
      <c r="BK81" s="4">
        <f t="shared" si="70"/>
        <v>141645</v>
      </c>
      <c r="BL81" s="4">
        <f t="shared" si="71"/>
        <v>115430.00000000001</v>
      </c>
      <c r="BM81" s="4">
        <f t="shared" si="72"/>
        <v>127330.00000000001</v>
      </c>
      <c r="BN81" s="4">
        <v>25.98369175565944</v>
      </c>
      <c r="BO81" s="8">
        <f t="shared" si="73"/>
        <v>0.024285714285714285</v>
      </c>
      <c r="BP81" s="4">
        <f t="shared" si="74"/>
        <v>1008503.4925013292</v>
      </c>
      <c r="BQ81" s="4">
        <f t="shared" si="75"/>
        <v>1051573.098094154</v>
      </c>
      <c r="BR81" s="4">
        <f t="shared" si="76"/>
        <v>1048768.7147990824</v>
      </c>
      <c r="BS81" s="4">
        <v>2063268</v>
      </c>
      <c r="BT81" s="26"/>
      <c r="BU81" s="4">
        <f t="shared" si="77"/>
        <v>16.783828093793748</v>
      </c>
      <c r="BV81" s="4">
        <f t="shared" si="78"/>
        <v>41.58438747295139</v>
      </c>
      <c r="BW81" s="4">
        <f t="shared" si="79"/>
        <v>3.515406764935251</v>
      </c>
      <c r="BX81" s="4">
        <f t="shared" si="80"/>
        <v>14.045067870681006</v>
      </c>
      <c r="BY81" s="4">
        <f t="shared" si="81"/>
        <v>11.44567181554385</v>
      </c>
      <c r="BZ81" s="4">
        <f t="shared" si="82"/>
        <v>12.625637982094762</v>
      </c>
      <c r="CB81" s="4">
        <f t="shared" si="83"/>
        <v>24.071309797638612</v>
      </c>
      <c r="CD81" s="4">
        <f t="shared" si="87"/>
        <v>-4.483463178272579</v>
      </c>
      <c r="CE81" s="4">
        <f t="shared" si="88"/>
        <v>-14.2893323921962</v>
      </c>
      <c r="CF81" s="4">
        <f t="shared" si="89"/>
        <v>1.217984200858838</v>
      </c>
      <c r="CG81" s="4">
        <f t="shared" si="90"/>
        <v>9.492001971329888</v>
      </c>
      <c r="CH81" s="4">
        <f t="shared" si="91"/>
        <v>3.693624763793961</v>
      </c>
      <c r="CI81" s="4">
        <f t="shared" si="92"/>
        <v>4.369184634486075</v>
      </c>
      <c r="CK81" s="4">
        <f t="shared" si="93"/>
        <v>8.062809398280038</v>
      </c>
      <c r="CL81" s="4">
        <f t="shared" si="94"/>
        <v>0</v>
      </c>
      <c r="CM81" s="4">
        <f t="shared" si="84"/>
        <v>41.631784433254865</v>
      </c>
    </row>
    <row r="82" spans="1:91" ht="15">
      <c r="A82" s="22" t="s">
        <v>110</v>
      </c>
      <c r="B82" s="47">
        <v>1</v>
      </c>
      <c r="C82" s="24">
        <v>1274536.7515342715</v>
      </c>
      <c r="D82" s="6">
        <v>0.23034412400319104</v>
      </c>
      <c r="E82" s="24">
        <f t="shared" si="56"/>
        <v>293582.05154203455</v>
      </c>
      <c r="F82" s="25"/>
      <c r="G82" s="24">
        <f t="shared" si="57"/>
        <v>0</v>
      </c>
      <c r="H82" s="14">
        <v>0.07477441701928</v>
      </c>
      <c r="I82" s="6">
        <f t="shared" si="86"/>
        <v>-0.0018462576659416107</v>
      </c>
      <c r="J82" s="6">
        <f t="shared" si="58"/>
        <v>-0.0009699776212440739</v>
      </c>
      <c r="K82" s="6">
        <f t="shared" si="85"/>
        <v>0.07380443939803594</v>
      </c>
      <c r="L82" s="24">
        <f t="shared" si="59"/>
        <v>94066.47043918073</v>
      </c>
      <c r="M82" s="24">
        <f t="shared" si="60"/>
        <v>980954.6999922369</v>
      </c>
      <c r="N82" s="6">
        <f t="shared" si="61"/>
        <v>0.018451109849508984</v>
      </c>
      <c r="O82" s="6">
        <f t="shared" si="62"/>
        <v>0.018451109849508984</v>
      </c>
      <c r="P82" s="24">
        <f t="shared" si="63"/>
        <v>23516.617609795183</v>
      </c>
      <c r="Q82" s="24"/>
      <c r="R82" s="24">
        <f t="shared" si="64"/>
        <v>1207879.4231985183</v>
      </c>
      <c r="S82" s="24">
        <f t="shared" si="65"/>
        <v>1294311.1009544383</v>
      </c>
      <c r="T82" s="24">
        <f t="shared" si="66"/>
        <v>1576390.2583499514</v>
      </c>
      <c r="U82" s="24">
        <f t="shared" si="53"/>
        <v>1526513.6110820863</v>
      </c>
      <c r="V82" s="24">
        <f t="shared" si="54"/>
        <v>1612945.288838006</v>
      </c>
      <c r="W82" s="24">
        <f t="shared" si="55"/>
        <v>1895024.4462335194</v>
      </c>
      <c r="X82" s="22"/>
      <c r="Y82" s="3">
        <v>206663</v>
      </c>
      <c r="Z82" s="4">
        <v>0</v>
      </c>
      <c r="AA82" s="3">
        <v>205338</v>
      </c>
      <c r="AB82" s="4">
        <v>0</v>
      </c>
      <c r="AC82" s="3">
        <v>1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4">
        <v>11</v>
      </c>
      <c r="AP82" s="1">
        <v>33</v>
      </c>
      <c r="AQ82" s="1">
        <v>0</v>
      </c>
      <c r="AR82" s="4">
        <v>0</v>
      </c>
      <c r="AS82" s="3">
        <v>85</v>
      </c>
      <c r="AT82" s="3">
        <v>1663</v>
      </c>
      <c r="AU82" s="3">
        <v>0</v>
      </c>
      <c r="AV82" s="3">
        <v>0</v>
      </c>
      <c r="AW82" s="3">
        <v>1930</v>
      </c>
      <c r="AX82" s="3">
        <v>9</v>
      </c>
      <c r="AY82" s="3">
        <v>0</v>
      </c>
      <c r="AZ82" s="3">
        <v>2</v>
      </c>
      <c r="BA82" s="3">
        <v>1</v>
      </c>
      <c r="BB82" s="3">
        <v>1</v>
      </c>
      <c r="BC82" s="3">
        <v>1</v>
      </c>
      <c r="BD82" s="3">
        <v>3</v>
      </c>
      <c r="BE82" s="3">
        <v>1</v>
      </c>
      <c r="BF82" s="3">
        <v>129540</v>
      </c>
      <c r="BH82" s="4">
        <f t="shared" si="67"/>
        <v>136655.82919851813</v>
      </c>
      <c r="BI82" s="4">
        <f t="shared" si="68"/>
        <v>331210.194</v>
      </c>
      <c r="BJ82" s="4">
        <f t="shared" si="69"/>
        <v>35453</v>
      </c>
      <c r="BK82" s="4">
        <f t="shared" si="70"/>
        <v>178068</v>
      </c>
      <c r="BL82" s="4">
        <f t="shared" si="71"/>
        <v>237378.40000000002</v>
      </c>
      <c r="BM82" s="4">
        <f t="shared" si="72"/>
        <v>289114</v>
      </c>
      <c r="BN82" s="4">
        <v>27.586474697166427</v>
      </c>
      <c r="BO82" s="8">
        <f t="shared" si="73"/>
        <v>0.04386363636363636</v>
      </c>
      <c r="BP82" s="4">
        <f t="shared" si="74"/>
        <v>1207879.4231985183</v>
      </c>
      <c r="BQ82" s="4">
        <f t="shared" si="75"/>
        <v>1294311.1009544383</v>
      </c>
      <c r="BR82" s="4">
        <f t="shared" si="76"/>
        <v>1576390.2583499514</v>
      </c>
      <c r="BS82" s="4">
        <v>787669</v>
      </c>
      <c r="BT82" s="26"/>
      <c r="BU82" s="4">
        <f t="shared" si="77"/>
        <v>11.313697921655741</v>
      </c>
      <c r="BV82" s="4">
        <f t="shared" si="78"/>
        <v>27.42079943070317</v>
      </c>
      <c r="BW82" s="4">
        <f t="shared" si="79"/>
        <v>2.935143965456327</v>
      </c>
      <c r="BX82" s="4">
        <f t="shared" si="80"/>
        <v>14.74219997294664</v>
      </c>
      <c r="BY82" s="4">
        <f t="shared" si="81"/>
        <v>19.652491419334844</v>
      </c>
      <c r="BZ82" s="4">
        <f t="shared" si="82"/>
        <v>23.935667289903268</v>
      </c>
      <c r="CB82" s="4">
        <f t="shared" si="83"/>
        <v>43.588158709238115</v>
      </c>
      <c r="CD82" s="4">
        <f t="shared" si="87"/>
        <v>0.9866669938654269</v>
      </c>
      <c r="CE82" s="4">
        <f t="shared" si="88"/>
        <v>-0.12574434994797912</v>
      </c>
      <c r="CF82" s="4">
        <f t="shared" si="89"/>
        <v>1.7982470003377622</v>
      </c>
      <c r="CG82" s="4">
        <f t="shared" si="90"/>
        <v>8.794869869064254</v>
      </c>
      <c r="CH82" s="4">
        <f t="shared" si="91"/>
        <v>-4.513194839997032</v>
      </c>
      <c r="CI82" s="4">
        <f t="shared" si="92"/>
        <v>-6.940844673322431</v>
      </c>
      <c r="CK82" s="4">
        <f t="shared" si="93"/>
        <v>-11.454039513319465</v>
      </c>
      <c r="CL82" s="4">
        <f t="shared" si="94"/>
        <v>-0.09699776212440739</v>
      </c>
      <c r="CM82" s="4">
        <f t="shared" si="84"/>
        <v>61.26550264764107</v>
      </c>
    </row>
    <row r="83" spans="1:91" ht="15">
      <c r="A83" s="22" t="s">
        <v>137</v>
      </c>
      <c r="B83" s="47">
        <v>9</v>
      </c>
      <c r="C83" s="23">
        <v>817765</v>
      </c>
      <c r="D83" s="6">
        <v>0.09201439</v>
      </c>
      <c r="E83" s="24">
        <f t="shared" si="56"/>
        <v>75246.14763835</v>
      </c>
      <c r="F83" s="25"/>
      <c r="G83" s="24">
        <f t="shared" si="57"/>
        <v>0</v>
      </c>
      <c r="H83" s="6">
        <v>0</v>
      </c>
      <c r="I83" s="6">
        <f t="shared" si="86"/>
        <v>0</v>
      </c>
      <c r="J83" s="6">
        <f t="shared" si="58"/>
        <v>0</v>
      </c>
      <c r="K83" s="6">
        <f t="shared" si="85"/>
        <v>0</v>
      </c>
      <c r="L83" s="24">
        <f t="shared" si="59"/>
        <v>0</v>
      </c>
      <c r="M83" s="24">
        <f t="shared" si="60"/>
        <v>742518.85236165</v>
      </c>
      <c r="N83" s="6">
        <f t="shared" si="61"/>
        <v>0</v>
      </c>
      <c r="O83" s="6">
        <f t="shared" si="62"/>
        <v>0</v>
      </c>
      <c r="P83" s="24">
        <f t="shared" si="63"/>
        <v>0</v>
      </c>
      <c r="Q83" s="24"/>
      <c r="R83" s="24">
        <f t="shared" si="64"/>
        <v>1184115.8963272676</v>
      </c>
      <c r="S83" s="24">
        <f t="shared" si="65"/>
        <v>1293102.8215424689</v>
      </c>
      <c r="T83" s="24">
        <f t="shared" si="66"/>
        <v>961935.668737087</v>
      </c>
      <c r="U83" s="24">
        <f t="shared" si="53"/>
        <v>1388557.1463272676</v>
      </c>
      <c r="V83" s="24">
        <f t="shared" si="54"/>
        <v>1497544.0715424689</v>
      </c>
      <c r="W83" s="24">
        <f t="shared" si="55"/>
        <v>1166376.918737087</v>
      </c>
      <c r="X83" s="22"/>
      <c r="Y83" s="3">
        <v>244150</v>
      </c>
      <c r="Z83" s="4">
        <v>0</v>
      </c>
      <c r="AA83" s="3">
        <v>0</v>
      </c>
      <c r="AB83" s="3">
        <v>243023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84</v>
      </c>
      <c r="AP83" s="1">
        <v>11</v>
      </c>
      <c r="AQ83" s="1">
        <v>0</v>
      </c>
      <c r="AR83" s="4">
        <v>0</v>
      </c>
      <c r="AS83" s="4">
        <v>225</v>
      </c>
      <c r="AT83" s="4">
        <v>529</v>
      </c>
      <c r="AU83" s="4">
        <v>0</v>
      </c>
      <c r="AV83" s="4">
        <v>0</v>
      </c>
      <c r="AW83" s="4">
        <v>711</v>
      </c>
      <c r="AX83" s="4">
        <v>12</v>
      </c>
      <c r="AY83" s="4">
        <v>0</v>
      </c>
      <c r="AZ83" s="4">
        <v>4</v>
      </c>
      <c r="BA83" s="4">
        <v>1</v>
      </c>
      <c r="BB83" s="4">
        <v>1</v>
      </c>
      <c r="BC83" s="4">
        <v>1</v>
      </c>
      <c r="BD83" s="4">
        <v>1</v>
      </c>
      <c r="BE83" s="4">
        <v>4</v>
      </c>
      <c r="BF83" s="4">
        <v>120346</v>
      </c>
      <c r="BH83" s="4">
        <f t="shared" si="67"/>
        <v>159627.09432726758</v>
      </c>
      <c r="BI83" s="4">
        <f t="shared" si="68"/>
        <v>431122.802</v>
      </c>
      <c r="BJ83" s="4">
        <f t="shared" si="69"/>
        <v>0</v>
      </c>
      <c r="BK83" s="4">
        <f t="shared" si="70"/>
        <v>384465</v>
      </c>
      <c r="BL83" s="4">
        <f t="shared" si="71"/>
        <v>102393.20000000001</v>
      </c>
      <c r="BM83" s="4">
        <f t="shared" si="72"/>
        <v>106507.8</v>
      </c>
      <c r="BN83" s="4">
        <v>28.724486581706813</v>
      </c>
      <c r="BO83" s="8">
        <f t="shared" si="73"/>
        <v>0.007484210526315789</v>
      </c>
      <c r="BP83" s="4">
        <f t="shared" si="74"/>
        <v>1184115.8963272676</v>
      </c>
      <c r="BQ83" s="4">
        <f t="shared" si="75"/>
        <v>1293102.8215424689</v>
      </c>
      <c r="BR83" s="4">
        <f t="shared" si="76"/>
        <v>961935.668737087</v>
      </c>
      <c r="BS83" s="4">
        <v>427170</v>
      </c>
      <c r="BT83" s="26"/>
      <c r="BU83" s="4">
        <f t="shared" si="77"/>
        <v>13.480698538240857</v>
      </c>
      <c r="BV83" s="4">
        <f t="shared" si="78"/>
        <v>36.408834923777235</v>
      </c>
      <c r="BW83" s="4">
        <f t="shared" si="79"/>
        <v>0</v>
      </c>
      <c r="BX83" s="4">
        <f t="shared" si="80"/>
        <v>32.46852788586676</v>
      </c>
      <c r="BY83" s="4">
        <f t="shared" si="81"/>
        <v>8.647227886863908</v>
      </c>
      <c r="BZ83" s="4">
        <f t="shared" si="82"/>
        <v>8.994710765251245</v>
      </c>
      <c r="CB83" s="4">
        <f t="shared" si="83"/>
        <v>17.64193865211515</v>
      </c>
      <c r="CD83" s="4">
        <f t="shared" si="87"/>
        <v>-1.1803336227196883</v>
      </c>
      <c r="CE83" s="4">
        <f t="shared" si="88"/>
        <v>-9.113779843022044</v>
      </c>
      <c r="CF83" s="4">
        <f t="shared" si="89"/>
        <v>4.733390965794089</v>
      </c>
      <c r="CG83" s="4">
        <f t="shared" si="90"/>
        <v>-8.93145804385587</v>
      </c>
      <c r="CH83" s="4">
        <f t="shared" si="91"/>
        <v>6.492068692473904</v>
      </c>
      <c r="CI83" s="4">
        <f t="shared" si="92"/>
        <v>8.000111851329592</v>
      </c>
      <c r="CK83" s="4">
        <f t="shared" si="93"/>
        <v>14.4921805438035</v>
      </c>
      <c r="CL83" s="4">
        <f t="shared" si="94"/>
        <v>0</v>
      </c>
      <c r="CM83" s="4">
        <f t="shared" si="84"/>
        <v>50.11046653798192</v>
      </c>
    </row>
    <row r="84" spans="1:91" ht="15">
      <c r="A84" s="22" t="s">
        <v>42</v>
      </c>
      <c r="B84" s="47">
        <v>9</v>
      </c>
      <c r="C84" s="23">
        <v>685773</v>
      </c>
      <c r="D84" s="6">
        <v>0</v>
      </c>
      <c r="E84" s="24">
        <f t="shared" si="56"/>
        <v>0</v>
      </c>
      <c r="F84" s="25"/>
      <c r="G84" s="24">
        <f t="shared" si="57"/>
        <v>0</v>
      </c>
      <c r="H84" s="6">
        <v>0</v>
      </c>
      <c r="I84" s="6">
        <f t="shared" si="86"/>
        <v>0</v>
      </c>
      <c r="J84" s="6">
        <f t="shared" si="58"/>
        <v>0</v>
      </c>
      <c r="K84" s="6">
        <f t="shared" si="85"/>
        <v>0</v>
      </c>
      <c r="L84" s="24">
        <f t="shared" si="59"/>
        <v>0</v>
      </c>
      <c r="M84" s="24">
        <v>759830</v>
      </c>
      <c r="N84" s="6">
        <f t="shared" si="61"/>
        <v>0</v>
      </c>
      <c r="O84" s="6">
        <f t="shared" si="62"/>
        <v>0</v>
      </c>
      <c r="P84" s="24">
        <f t="shared" si="63"/>
        <v>0</v>
      </c>
      <c r="Q84" s="24"/>
      <c r="R84" s="24">
        <f t="shared" si="64"/>
        <v>1101446.4434481747</v>
      </c>
      <c r="S84" s="24">
        <f t="shared" si="65"/>
        <v>1276411.7826358974</v>
      </c>
      <c r="T84" s="24">
        <f t="shared" si="66"/>
        <v>1221043.6301096035</v>
      </c>
      <c r="U84" s="24">
        <f t="shared" si="53"/>
        <v>1272889.6934481747</v>
      </c>
      <c r="V84" s="24">
        <f t="shared" si="54"/>
        <v>1447855.0326358974</v>
      </c>
      <c r="W84" s="24">
        <f t="shared" si="55"/>
        <v>1392486.8801096035</v>
      </c>
      <c r="X84" s="22"/>
      <c r="Y84" s="3">
        <v>225699</v>
      </c>
      <c r="Z84" s="4">
        <v>0</v>
      </c>
      <c r="AA84" s="1">
        <v>225331</v>
      </c>
      <c r="AB84" s="4">
        <v>0</v>
      </c>
      <c r="AC84" s="1">
        <v>1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29</v>
      </c>
      <c r="AQ84" s="1">
        <v>2</v>
      </c>
      <c r="AR84" s="1">
        <v>0</v>
      </c>
      <c r="AS84" s="1">
        <v>6</v>
      </c>
      <c r="AT84" s="1">
        <v>883</v>
      </c>
      <c r="AU84" s="1">
        <v>21</v>
      </c>
      <c r="AV84" s="1">
        <v>0</v>
      </c>
      <c r="AW84" s="1">
        <v>910</v>
      </c>
      <c r="AX84" s="1">
        <v>0</v>
      </c>
      <c r="AY84" s="1">
        <v>0</v>
      </c>
      <c r="AZ84" s="1">
        <v>4</v>
      </c>
      <c r="BA84" s="1">
        <v>1</v>
      </c>
      <c r="BB84" s="1">
        <v>1</v>
      </c>
      <c r="BC84" s="1">
        <v>1</v>
      </c>
      <c r="BD84" s="1">
        <v>0</v>
      </c>
      <c r="BE84" s="1">
        <v>0</v>
      </c>
      <c r="BF84" s="1">
        <v>76162</v>
      </c>
      <c r="BH84" s="4">
        <f t="shared" si="67"/>
        <v>148353.14044817464</v>
      </c>
      <c r="BI84" s="4">
        <f t="shared" si="68"/>
        <v>363458.903</v>
      </c>
      <c r="BJ84" s="4">
        <f t="shared" si="69"/>
        <v>35453</v>
      </c>
      <c r="BK84" s="4">
        <f t="shared" si="70"/>
        <v>288103</v>
      </c>
      <c r="BL84" s="4">
        <f t="shared" si="71"/>
        <v>129760.40000000001</v>
      </c>
      <c r="BM84" s="4">
        <f t="shared" si="72"/>
        <v>136318</v>
      </c>
      <c r="BN84" s="4">
        <v>32.43613994420617</v>
      </c>
      <c r="BO84" s="8">
        <f t="shared" si="73"/>
        <v>0.02935483870967742</v>
      </c>
      <c r="BP84" s="4">
        <f t="shared" si="74"/>
        <v>1101446.4434481747</v>
      </c>
      <c r="BQ84" s="4">
        <f t="shared" si="75"/>
        <v>1276411.7826358974</v>
      </c>
      <c r="BR84" s="4">
        <f t="shared" si="76"/>
        <v>1221043.6301096035</v>
      </c>
      <c r="BS84" s="4">
        <v>943758</v>
      </c>
      <c r="BT84" s="26"/>
      <c r="BU84" s="4">
        <f t="shared" si="77"/>
        <v>13.468938170406371</v>
      </c>
      <c r="BV84" s="4">
        <f t="shared" si="78"/>
        <v>32.99832735054825</v>
      </c>
      <c r="BW84" s="4">
        <f t="shared" si="79"/>
        <v>3.2187674862348525</v>
      </c>
      <c r="BX84" s="4">
        <f t="shared" si="80"/>
        <v>26.1567869880326</v>
      </c>
      <c r="BY84" s="4">
        <f t="shared" si="81"/>
        <v>11.780908710710772</v>
      </c>
      <c r="BZ84" s="4">
        <f t="shared" si="82"/>
        <v>12.376271294067148</v>
      </c>
      <c r="CB84" s="4">
        <f t="shared" si="83"/>
        <v>24.15718000477792</v>
      </c>
      <c r="CD84" s="4">
        <f t="shared" si="87"/>
        <v>-1.168573254885203</v>
      </c>
      <c r="CE84" s="4">
        <f t="shared" si="88"/>
        <v>-5.703272269793061</v>
      </c>
      <c r="CF84" s="4">
        <f t="shared" si="89"/>
        <v>1.5146234795592366</v>
      </c>
      <c r="CG84" s="4">
        <f t="shared" si="90"/>
        <v>-2.6197171460217064</v>
      </c>
      <c r="CH84" s="4">
        <f t="shared" si="91"/>
        <v>3.358387868627039</v>
      </c>
      <c r="CI84" s="4">
        <f t="shared" si="92"/>
        <v>4.618551322513689</v>
      </c>
      <c r="CK84" s="4">
        <f t="shared" si="93"/>
        <v>7.97693919114073</v>
      </c>
      <c r="CL84" s="4">
        <f t="shared" si="94"/>
        <v>0</v>
      </c>
      <c r="CM84" s="4">
        <f t="shared" si="84"/>
        <v>53.532734479045374</v>
      </c>
    </row>
    <row r="85" spans="1:91" ht="15">
      <c r="A85" s="22" t="s">
        <v>56</v>
      </c>
      <c r="B85" s="47">
        <v>5</v>
      </c>
      <c r="C85" s="23">
        <v>2692605</v>
      </c>
      <c r="D85" s="6">
        <v>0.5041347149478368</v>
      </c>
      <c r="E85" s="24">
        <f t="shared" si="56"/>
        <v>1357435.6541421202</v>
      </c>
      <c r="F85" s="25"/>
      <c r="G85" s="24">
        <f t="shared" si="57"/>
        <v>0</v>
      </c>
      <c r="H85" s="6">
        <v>0.3485649436807483</v>
      </c>
      <c r="I85" s="6">
        <f t="shared" si="86"/>
        <v>0</v>
      </c>
      <c r="J85" s="6">
        <f t="shared" si="58"/>
        <v>0</v>
      </c>
      <c r="K85" s="6">
        <f t="shared" si="85"/>
        <v>0</v>
      </c>
      <c r="L85" s="24">
        <f t="shared" si="59"/>
        <v>938547.7101795013</v>
      </c>
      <c r="M85" s="24">
        <f t="shared" si="60"/>
        <v>1335169.3458578798</v>
      </c>
      <c r="N85" s="6">
        <f t="shared" si="61"/>
        <v>0.08714123592018708</v>
      </c>
      <c r="O85" s="6">
        <f t="shared" si="62"/>
        <v>0.05</v>
      </c>
      <c r="P85" s="24">
        <f t="shared" si="63"/>
        <v>134630.25</v>
      </c>
      <c r="Q85" s="24"/>
      <c r="R85" s="24">
        <f t="shared" si="64"/>
        <v>1935107.2419224</v>
      </c>
      <c r="S85" s="24">
        <f t="shared" si="65"/>
        <v>2157087.2056371984</v>
      </c>
      <c r="T85" s="24">
        <f t="shared" si="66"/>
        <v>2145610.900021838</v>
      </c>
      <c r="U85" s="24">
        <f aca="true" t="shared" si="95" ref="U85:U119">R85+(0.25*C85)</f>
        <v>2608258.4919224</v>
      </c>
      <c r="V85" s="24">
        <f aca="true" t="shared" si="96" ref="V85:V119">S85+(0.25*C85)</f>
        <v>2830238.4556371984</v>
      </c>
      <c r="W85" s="24">
        <f aca="true" t="shared" si="97" ref="W85:W119">T85+(0.25*C85)</f>
        <v>2818762.150021838</v>
      </c>
      <c r="X85" s="22"/>
      <c r="Y85" s="3">
        <v>355087</v>
      </c>
      <c r="Z85" s="4">
        <v>0</v>
      </c>
      <c r="AA85" s="4">
        <v>349459</v>
      </c>
      <c r="AB85" s="4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4">
        <v>23</v>
      </c>
      <c r="AP85" s="1">
        <v>69</v>
      </c>
      <c r="AQ85" s="1">
        <v>0</v>
      </c>
      <c r="AR85" s="4">
        <v>0</v>
      </c>
      <c r="AS85" s="3">
        <v>152</v>
      </c>
      <c r="AT85" s="3">
        <v>2558</v>
      </c>
      <c r="AU85" s="1">
        <v>0</v>
      </c>
      <c r="AV85" s="1">
        <v>0</v>
      </c>
      <c r="AW85" s="3">
        <v>2702</v>
      </c>
      <c r="AX85" s="3">
        <v>11</v>
      </c>
      <c r="AY85" s="3">
        <v>0</v>
      </c>
      <c r="AZ85" s="3">
        <v>3</v>
      </c>
      <c r="BA85" s="3">
        <v>1</v>
      </c>
      <c r="BB85" s="3">
        <v>1</v>
      </c>
      <c r="BC85" s="3">
        <v>1</v>
      </c>
      <c r="BD85" s="3">
        <v>1</v>
      </c>
      <c r="BE85" s="3">
        <v>4</v>
      </c>
      <c r="BF85" s="3">
        <v>192443</v>
      </c>
      <c r="BH85" s="4">
        <f t="shared" si="67"/>
        <v>226328.2749223999</v>
      </c>
      <c r="BI85" s="4">
        <f t="shared" si="68"/>
        <v>563677.367</v>
      </c>
      <c r="BJ85" s="4">
        <f t="shared" si="69"/>
        <v>0</v>
      </c>
      <c r="BK85" s="4">
        <f t="shared" si="70"/>
        <v>372324</v>
      </c>
      <c r="BL85" s="4">
        <f t="shared" si="71"/>
        <v>368018.00000000006</v>
      </c>
      <c r="BM85" s="4">
        <f t="shared" si="72"/>
        <v>404759.60000000003</v>
      </c>
      <c r="BN85" s="4">
        <v>29.983998328527772</v>
      </c>
      <c r="BO85" s="8">
        <f t="shared" si="73"/>
        <v>0.029369565217391303</v>
      </c>
      <c r="BP85" s="4">
        <f t="shared" si="74"/>
        <v>1935107.2419224</v>
      </c>
      <c r="BQ85" s="4">
        <f t="shared" si="75"/>
        <v>2157087.2056371984</v>
      </c>
      <c r="BR85" s="4">
        <f t="shared" si="76"/>
        <v>2145610.900021838</v>
      </c>
      <c r="BS85" s="4">
        <v>2755805</v>
      </c>
      <c r="BT85" s="26"/>
      <c r="BU85" s="4">
        <f t="shared" si="77"/>
        <v>11.695903463084447</v>
      </c>
      <c r="BV85" s="4">
        <f t="shared" si="78"/>
        <v>29.12899888897238</v>
      </c>
      <c r="BW85" s="4">
        <f t="shared" si="79"/>
        <v>0</v>
      </c>
      <c r="BX85" s="4">
        <f t="shared" si="80"/>
        <v>19.24048403798649</v>
      </c>
      <c r="BY85" s="4">
        <f t="shared" si="81"/>
        <v>19.017964070787038</v>
      </c>
      <c r="BZ85" s="4">
        <f t="shared" si="82"/>
        <v>20.91664953916964</v>
      </c>
      <c r="CB85" s="4">
        <f t="shared" si="83"/>
        <v>39.93461360995668</v>
      </c>
      <c r="CD85" s="4">
        <f t="shared" si="87"/>
        <v>0.6044614524367216</v>
      </c>
      <c r="CE85" s="4">
        <f t="shared" si="88"/>
        <v>-1.8339438082171888</v>
      </c>
      <c r="CF85" s="4">
        <f t="shared" si="89"/>
        <v>4.733390965794089</v>
      </c>
      <c r="CG85" s="4">
        <f t="shared" si="90"/>
        <v>4.296585804024403</v>
      </c>
      <c r="CH85" s="4">
        <f t="shared" si="91"/>
        <v>-3.8786674914492263</v>
      </c>
      <c r="CI85" s="4">
        <f t="shared" si="92"/>
        <v>-3.921826922588803</v>
      </c>
      <c r="CK85" s="4">
        <f t="shared" si="93"/>
        <v>-7.8004944140380275</v>
      </c>
      <c r="CL85" s="4">
        <f t="shared" si="94"/>
        <v>0</v>
      </c>
      <c r="CM85" s="4">
        <f t="shared" si="84"/>
        <v>59.17509764794317</v>
      </c>
    </row>
    <row r="86" spans="1:91" ht="15">
      <c r="A86" s="22" t="s">
        <v>119</v>
      </c>
      <c r="B86" s="47">
        <v>7</v>
      </c>
      <c r="C86" s="23">
        <v>1976771</v>
      </c>
      <c r="D86" s="6">
        <v>0.5107820583762726</v>
      </c>
      <c r="E86" s="24">
        <f t="shared" si="56"/>
        <v>1009699.1603185227</v>
      </c>
      <c r="F86" s="25"/>
      <c r="G86" s="24">
        <f t="shared" si="57"/>
        <v>0</v>
      </c>
      <c r="H86" s="6">
        <v>0.3552124654293759</v>
      </c>
      <c r="I86" s="6">
        <f t="shared" si="86"/>
        <v>0</v>
      </c>
      <c r="J86" s="6">
        <f t="shared" si="58"/>
        <v>0</v>
      </c>
      <c r="K86" s="6">
        <f t="shared" si="85"/>
        <v>0</v>
      </c>
      <c r="L86" s="24">
        <f t="shared" si="59"/>
        <v>702173.7004992928</v>
      </c>
      <c r="M86" s="24">
        <f t="shared" si="60"/>
        <v>967071.8396814773</v>
      </c>
      <c r="N86" s="6">
        <f t="shared" si="61"/>
        <v>0.08880311635734398</v>
      </c>
      <c r="O86" s="6">
        <f t="shared" si="62"/>
        <v>0.05</v>
      </c>
      <c r="P86" s="24">
        <f t="shared" si="63"/>
        <v>98838.55</v>
      </c>
      <c r="Q86" s="24"/>
      <c r="R86" s="24">
        <f t="shared" si="64"/>
        <v>1197634.3821810482</v>
      </c>
      <c r="S86" s="24">
        <f t="shared" si="65"/>
        <v>1473670.1126483614</v>
      </c>
      <c r="T86" s="24">
        <f t="shared" si="66"/>
        <v>1554079.7163604915</v>
      </c>
      <c r="U86" s="24">
        <f t="shared" si="95"/>
        <v>1691827.1321810482</v>
      </c>
      <c r="V86" s="24">
        <f t="shared" si="96"/>
        <v>1967862.8626483614</v>
      </c>
      <c r="W86" s="24">
        <f t="shared" si="97"/>
        <v>2048272.4663604915</v>
      </c>
      <c r="X86" s="22"/>
      <c r="Y86" s="3">
        <v>280640</v>
      </c>
      <c r="Z86" s="4">
        <v>0</v>
      </c>
      <c r="AA86" s="3">
        <v>284910</v>
      </c>
      <c r="AB86" s="4">
        <v>0</v>
      </c>
      <c r="AC86" s="4">
        <v>1</v>
      </c>
      <c r="AD86" s="4">
        <v>25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1">
        <v>32</v>
      </c>
      <c r="AQ86" s="1">
        <v>0</v>
      </c>
      <c r="AR86" s="4">
        <v>0</v>
      </c>
      <c r="AS86" s="4">
        <v>0</v>
      </c>
      <c r="AT86" s="4">
        <v>1353</v>
      </c>
      <c r="AU86" s="4">
        <v>0</v>
      </c>
      <c r="AV86" s="4">
        <v>0</v>
      </c>
      <c r="AW86" s="4">
        <v>1386</v>
      </c>
      <c r="AX86" s="4">
        <v>6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133849</v>
      </c>
      <c r="BH86" s="4">
        <f aca="true" t="shared" si="98" ref="BH86:BH121">1.518*(Y86)^0.9321</f>
        <v>181757.35218104822</v>
      </c>
      <c r="BI86" s="4">
        <f aca="true" t="shared" si="99" ref="BI86:BI121">0.748*Z86+1.613*AA86+1.774*AB86</f>
        <v>459559.83</v>
      </c>
      <c r="BJ86" s="4">
        <f aca="true" t="shared" si="100" ref="BJ86:BJ121">35453*AC86+56469*AE86+144773*AG86+178851*(AI86+AK86)+440*AN86</f>
        <v>35453</v>
      </c>
      <c r="BK86" s="4">
        <f aca="true" t="shared" si="101" ref="BK86:BK121">4047*(AO86+AP86)+85370*(AQ86+AR86)</f>
        <v>129504</v>
      </c>
      <c r="BL86" s="4">
        <f aca="true" t="shared" si="102" ref="BL86:BL121">135.8*(AS86+AT86)+430.2*AU86+1208.1*AV86</f>
        <v>183737.40000000002</v>
      </c>
      <c r="BM86" s="4">
        <f aca="true" t="shared" si="103" ref="BM86:BM121">149.8*AW86</f>
        <v>207622.80000000002</v>
      </c>
      <c r="BN86" s="4">
        <v>36.415785548870296</v>
      </c>
      <c r="BO86" s="8">
        <f aca="true" t="shared" si="104" ref="BO86:BO121">AW86/(SUM(AO86:AR86)*1000)</f>
        <v>0.0433125</v>
      </c>
      <c r="BP86" s="4">
        <f aca="true" t="shared" si="105" ref="BP86:BP121">SUM(BG86:BM86)</f>
        <v>1197634.3821810482</v>
      </c>
      <c r="BQ86" s="4">
        <f aca="true" t="shared" si="106" ref="BQ86:BQ121">(0.575+0.018*BN86)*BP86</f>
        <v>1473670.1126483614</v>
      </c>
      <c r="BR86" s="4">
        <f aca="true" t="shared" si="107" ref="BR86:BR121">(0.711+13.544*BO86)*BP86</f>
        <v>1554079.7163604915</v>
      </c>
      <c r="BS86" s="4">
        <v>2803187</v>
      </c>
      <c r="BT86" s="26"/>
      <c r="BU86" s="4">
        <f t="shared" si="77"/>
        <v>15.176363912502614</v>
      </c>
      <c r="BV86" s="4">
        <f t="shared" si="78"/>
        <v>38.372297659247366</v>
      </c>
      <c r="BW86" s="4">
        <f t="shared" si="79"/>
        <v>2.960252354765857</v>
      </c>
      <c r="BX86" s="4">
        <f t="shared" si="80"/>
        <v>10.813316812444574</v>
      </c>
      <c r="BY86" s="4">
        <f t="shared" si="81"/>
        <v>15.341693820228365</v>
      </c>
      <c r="BZ86" s="4">
        <f t="shared" si="82"/>
        <v>17.336075440811232</v>
      </c>
      <c r="CB86" s="4">
        <f t="shared" si="83"/>
        <v>32.6777692610396</v>
      </c>
      <c r="CD86" s="4">
        <f t="shared" si="87"/>
        <v>-2.875998996981446</v>
      </c>
      <c r="CE86" s="4">
        <f t="shared" si="88"/>
        <v>-11.077242578492175</v>
      </c>
      <c r="CF86" s="4">
        <f t="shared" si="89"/>
        <v>1.7731386110282323</v>
      </c>
      <c r="CG86" s="4">
        <f t="shared" si="90"/>
        <v>12.72375302956632</v>
      </c>
      <c r="CH86" s="4">
        <f t="shared" si="91"/>
        <v>-0.20239724089055322</v>
      </c>
      <c r="CI86" s="4">
        <f t="shared" si="92"/>
        <v>-0.34125282423039494</v>
      </c>
      <c r="CK86" s="4">
        <f t="shared" si="93"/>
        <v>-0.5436500651209499</v>
      </c>
      <c r="CL86" s="4">
        <f t="shared" si="94"/>
        <v>0</v>
      </c>
      <c r="CM86" s="4">
        <f t="shared" si="84"/>
        <v>46.451338428250025</v>
      </c>
    </row>
    <row r="87" spans="1:91" ht="15">
      <c r="A87" s="22" t="s">
        <v>45</v>
      </c>
      <c r="B87" s="47">
        <v>7</v>
      </c>
      <c r="C87" s="23">
        <v>2859585.130174279</v>
      </c>
      <c r="D87" s="6">
        <v>0.25878541325345716</v>
      </c>
      <c r="E87" s="24">
        <f>C87*D87</f>
        <v>740018.919645592</v>
      </c>
      <c r="F87" s="25"/>
      <c r="G87" s="24">
        <f aca="true" t="shared" si="108" ref="G87:G122">C87*F87</f>
        <v>0</v>
      </c>
      <c r="H87" s="6">
        <v>0.10321542100085179</v>
      </c>
      <c r="I87" s="6">
        <f t="shared" si="86"/>
        <v>-0.016244174363609948</v>
      </c>
      <c r="J87" s="6">
        <f aca="true" t="shared" si="109" ref="J87:J122">CL87/100</f>
        <v>-0.008534283106281576</v>
      </c>
      <c r="K87" s="6">
        <f>IF(J87&lt;0,H87+J87,0)</f>
        <v>0.09468113789457022</v>
      </c>
      <c r="L87" s="24">
        <f aca="true" t="shared" si="110" ref="L87:L122">IF(J87&lt;0,(H87+J87)*C87,H87*C87)</f>
        <v>270748.77403129346</v>
      </c>
      <c r="M87" s="24">
        <f>IF(D87&gt;0,C87-E87,"Over front")</f>
        <v>2119566.210528687</v>
      </c>
      <c r="N87" s="6">
        <f aca="true" t="shared" si="111" ref="N87:N122">IF(J87&lt;0,(H87+J87)/4,H87/4)</f>
        <v>0.023670284473642556</v>
      </c>
      <c r="O87" s="6">
        <f aca="true" t="shared" si="112" ref="O87:O122">IF(N87&gt;0.05,0.05,IF(N87&gt;0.01,N87,0))</f>
        <v>0.023670284473642556</v>
      </c>
      <c r="P87" s="24">
        <f aca="true" t="shared" si="113" ref="P87:P122">C87*O87</f>
        <v>67687.19350782337</v>
      </c>
      <c r="Q87" s="24"/>
      <c r="R87" s="24">
        <f aca="true" t="shared" si="114" ref="R87:R122">BP87</f>
        <v>2442907.5512903864</v>
      </c>
      <c r="S87" s="24">
        <f aca="true" t="shared" si="115" ref="S87:S122">BQ87</f>
        <v>2766187.4129829863</v>
      </c>
      <c r="T87" s="24">
        <f aca="true" t="shared" si="116" ref="T87:T122">BR87</f>
        <v>3406133.295644919</v>
      </c>
      <c r="U87" s="24">
        <f t="shared" si="95"/>
        <v>3157803.833833956</v>
      </c>
      <c r="V87" s="24">
        <f t="shared" si="96"/>
        <v>3481083.695526556</v>
      </c>
      <c r="W87" s="24">
        <f t="shared" si="97"/>
        <v>4121029.5781884887</v>
      </c>
      <c r="X87" s="22"/>
      <c r="Y87" s="3">
        <v>465000</v>
      </c>
      <c r="Z87" s="4">
        <v>0</v>
      </c>
      <c r="AA87" s="1">
        <v>451425</v>
      </c>
      <c r="AB87" s="4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1</v>
      </c>
      <c r="AK87" s="3">
        <v>0</v>
      </c>
      <c r="AL87" s="3">
        <v>0</v>
      </c>
      <c r="AM87" s="3">
        <v>0</v>
      </c>
      <c r="AN87" s="3">
        <v>0</v>
      </c>
      <c r="AO87" s="1">
        <v>9</v>
      </c>
      <c r="AP87" s="1">
        <v>71</v>
      </c>
      <c r="AQ87" s="1">
        <v>0</v>
      </c>
      <c r="AR87" s="1">
        <v>0</v>
      </c>
      <c r="AS87" s="3">
        <v>61</v>
      </c>
      <c r="AT87" s="3">
        <v>3587</v>
      </c>
      <c r="AU87" s="3">
        <v>0</v>
      </c>
      <c r="AV87" s="3">
        <v>0</v>
      </c>
      <c r="AW87" s="3">
        <v>4036</v>
      </c>
      <c r="AX87" s="3">
        <v>2</v>
      </c>
      <c r="AY87" s="3">
        <v>0</v>
      </c>
      <c r="AZ87" s="3">
        <v>7</v>
      </c>
      <c r="BA87" s="3">
        <v>1</v>
      </c>
      <c r="BB87" s="3">
        <v>1</v>
      </c>
      <c r="BC87" s="3">
        <v>2</v>
      </c>
      <c r="BD87" s="3">
        <v>2</v>
      </c>
      <c r="BE87" s="3">
        <v>2</v>
      </c>
      <c r="BF87" s="3">
        <v>200136</v>
      </c>
      <c r="BH87" s="4">
        <f t="shared" si="98"/>
        <v>291007.8262903867</v>
      </c>
      <c r="BI87" s="4">
        <f t="shared" si="99"/>
        <v>728148.525</v>
      </c>
      <c r="BJ87" s="4">
        <f t="shared" si="100"/>
        <v>0</v>
      </c>
      <c r="BK87" s="4">
        <f t="shared" si="101"/>
        <v>323760</v>
      </c>
      <c r="BL87" s="4">
        <f t="shared" si="102"/>
        <v>495398.4</v>
      </c>
      <c r="BM87" s="4">
        <f t="shared" si="103"/>
        <v>604592.8</v>
      </c>
      <c r="BN87" s="4">
        <v>30.963003042825335</v>
      </c>
      <c r="BO87" s="8">
        <f t="shared" si="104"/>
        <v>0.05045</v>
      </c>
      <c r="BP87" s="4">
        <f t="shared" si="105"/>
        <v>2442907.5512903864</v>
      </c>
      <c r="BQ87" s="4">
        <f t="shared" si="106"/>
        <v>2766187.4129829863</v>
      </c>
      <c r="BR87" s="4">
        <f t="shared" si="107"/>
        <v>3406133.295644919</v>
      </c>
      <c r="BS87" s="4">
        <v>2423779</v>
      </c>
      <c r="BT87" s="26"/>
      <c r="BU87" s="4">
        <f aca="true" t="shared" si="117" ref="BU87:BU122">(BH87/(SUM($BH87:$BM87)))*100</f>
        <v>11.912355264392684</v>
      </c>
      <c r="BV87" s="4">
        <f aca="true" t="shared" si="118" ref="BV87:BV122">(BI87/(SUM($BH87:$BM87)))*100</f>
        <v>29.806634500572045</v>
      </c>
      <c r="BW87" s="4">
        <f aca="true" t="shared" si="119" ref="BW87:BW122">(BJ87/(SUM($BH87:$BM87)))*100</f>
        <v>0</v>
      </c>
      <c r="BX87" s="4">
        <f aca="true" t="shared" si="120" ref="BX87:BX122">(BK87/(SUM($BH87:$BM87)))*100</f>
        <v>13.253059856030342</v>
      </c>
      <c r="BY87" s="4">
        <f aca="true" t="shared" si="121" ref="BY87:BY122">(BL87/(SUM($BH87:$BM87)))*100</f>
        <v>20.279048207875157</v>
      </c>
      <c r="BZ87" s="4">
        <f aca="true" t="shared" si="122" ref="BZ87:BZ122">(BM87/(SUM($BH87:$BM87)))*100</f>
        <v>24.748902171129792</v>
      </c>
      <c r="CB87" s="4">
        <f aca="true" t="shared" si="123" ref="CB87:CB122">BY87+BZ87</f>
        <v>45.02795037900495</v>
      </c>
      <c r="CD87" s="4">
        <f t="shared" si="87"/>
        <v>0.38800965112848473</v>
      </c>
      <c r="CE87" s="4">
        <f t="shared" si="88"/>
        <v>-2.5115794198168544</v>
      </c>
      <c r="CF87" s="4">
        <f t="shared" si="89"/>
        <v>4.733390965794089</v>
      </c>
      <c r="CG87" s="4">
        <f t="shared" si="90"/>
        <v>10.284009985980552</v>
      </c>
      <c r="CH87" s="4">
        <f t="shared" si="91"/>
        <v>-5.139751628537345</v>
      </c>
      <c r="CI87" s="4">
        <f t="shared" si="92"/>
        <v>-7.754079554548955</v>
      </c>
      <c r="CK87" s="4">
        <f t="shared" si="93"/>
        <v>-12.893831183086299</v>
      </c>
      <c r="CL87" s="4">
        <f t="shared" si="94"/>
        <v>-0.8534283106281575</v>
      </c>
      <c r="CM87" s="4">
        <f aca="true" t="shared" si="124" ref="CM87:CM122">SUM(BW87:BZ87)</f>
        <v>58.28101023503529</v>
      </c>
    </row>
    <row r="88" spans="1:91" ht="15">
      <c r="A88" s="22" t="s">
        <v>109</v>
      </c>
      <c r="B88" s="47">
        <v>1</v>
      </c>
      <c r="C88" s="24">
        <v>5054113</v>
      </c>
      <c r="D88" s="6">
        <v>0.43251597111401463</v>
      </c>
      <c r="E88" s="24">
        <f>C88*D88</f>
        <v>2185984.592314966</v>
      </c>
      <c r="F88" s="25"/>
      <c r="G88" s="24">
        <f t="shared" si="108"/>
        <v>0</v>
      </c>
      <c r="H88" s="6">
        <v>0.2772345479466415</v>
      </c>
      <c r="I88" s="6">
        <f t="shared" si="86"/>
        <v>0</v>
      </c>
      <c r="J88" s="6">
        <f t="shared" si="109"/>
        <v>0</v>
      </c>
      <c r="K88" s="6">
        <f aca="true" t="shared" si="125" ref="K88:K123">IF(J88&lt;0,H88+J88,0)</f>
        <v>0</v>
      </c>
      <c r="L88" s="24">
        <f t="shared" si="110"/>
        <v>1401174.732826244</v>
      </c>
      <c r="M88" s="24">
        <f aca="true" t="shared" si="126" ref="M88:M122">IF(D88&gt;0,C88-E88,"Over front")</f>
        <v>2868128.407685034</v>
      </c>
      <c r="N88" s="6">
        <f t="shared" si="111"/>
        <v>0.06930863698666037</v>
      </c>
      <c r="O88" s="6">
        <f t="shared" si="112"/>
        <v>0.05</v>
      </c>
      <c r="P88" s="24">
        <f t="shared" si="113"/>
        <v>252705.65000000002</v>
      </c>
      <c r="Q88" s="24"/>
      <c r="R88" s="24">
        <f t="shared" si="114"/>
        <v>4376387.258119453</v>
      </c>
      <c r="S88" s="24">
        <f t="shared" si="115"/>
        <v>4876226.9478964135</v>
      </c>
      <c r="T88" s="24">
        <f t="shared" si="116"/>
        <v>4606726.3173962</v>
      </c>
      <c r="U88" s="24">
        <f t="shared" si="95"/>
        <v>5639915.508119453</v>
      </c>
      <c r="V88" s="24">
        <f t="shared" si="96"/>
        <v>6139755.1978964135</v>
      </c>
      <c r="W88" s="24">
        <f t="shared" si="97"/>
        <v>5870254.5673962</v>
      </c>
      <c r="X88" s="22"/>
      <c r="Y88" s="3">
        <v>885270</v>
      </c>
      <c r="Z88" s="4">
        <v>0</v>
      </c>
      <c r="AA88" s="4">
        <v>885270</v>
      </c>
      <c r="AB88" s="4">
        <v>0</v>
      </c>
      <c r="AC88" s="3">
        <v>2</v>
      </c>
      <c r="AD88" s="3">
        <v>37</v>
      </c>
      <c r="AE88" s="3">
        <v>2</v>
      </c>
      <c r="AF88" s="3">
        <v>120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4">
        <v>115</v>
      </c>
      <c r="AP88" s="1">
        <v>86</v>
      </c>
      <c r="AQ88" s="1">
        <v>0</v>
      </c>
      <c r="AR88" s="4">
        <v>0</v>
      </c>
      <c r="AS88" s="3">
        <v>1795</v>
      </c>
      <c r="AT88" s="3">
        <v>3075</v>
      </c>
      <c r="AU88" s="3">
        <v>0</v>
      </c>
      <c r="AV88" s="3">
        <v>0</v>
      </c>
      <c r="AW88" s="3">
        <v>5070</v>
      </c>
      <c r="AX88" s="3">
        <v>19</v>
      </c>
      <c r="AY88" s="3">
        <v>19</v>
      </c>
      <c r="AZ88" s="3">
        <v>10</v>
      </c>
      <c r="BA88" s="3">
        <v>2</v>
      </c>
      <c r="BB88" s="3">
        <v>2</v>
      </c>
      <c r="BC88" s="3">
        <v>1</v>
      </c>
      <c r="BD88" s="3">
        <v>2</v>
      </c>
      <c r="BE88" s="3">
        <v>2</v>
      </c>
      <c r="BF88" s="3">
        <v>411828</v>
      </c>
      <c r="BH88" s="4">
        <f t="shared" si="98"/>
        <v>530323.7481194529</v>
      </c>
      <c r="BI88" s="4">
        <f t="shared" si="99"/>
        <v>1427940.51</v>
      </c>
      <c r="BJ88" s="4">
        <f t="shared" si="100"/>
        <v>183844</v>
      </c>
      <c r="BK88" s="4">
        <f t="shared" si="101"/>
        <v>813447</v>
      </c>
      <c r="BL88" s="4">
        <f t="shared" si="102"/>
        <v>661346</v>
      </c>
      <c r="BM88" s="4">
        <f t="shared" si="103"/>
        <v>759486</v>
      </c>
      <c r="BN88" s="4">
        <v>29.95626980399333</v>
      </c>
      <c r="BO88" s="8">
        <f t="shared" si="104"/>
        <v>0.025223880597014924</v>
      </c>
      <c r="BP88" s="4">
        <f t="shared" si="105"/>
        <v>4376387.258119453</v>
      </c>
      <c r="BQ88" s="4">
        <f t="shared" si="106"/>
        <v>4876226.9478964135</v>
      </c>
      <c r="BR88" s="4">
        <f t="shared" si="107"/>
        <v>4606726.3173962</v>
      </c>
      <c r="BS88" s="4">
        <v>5573365</v>
      </c>
      <c r="BT88" s="26"/>
      <c r="BU88" s="4">
        <f t="shared" si="117"/>
        <v>12.117843253828836</v>
      </c>
      <c r="BV88" s="4">
        <f t="shared" si="118"/>
        <v>32.628294202044415</v>
      </c>
      <c r="BW88" s="4">
        <f t="shared" si="119"/>
        <v>4.200816544717716</v>
      </c>
      <c r="BX88" s="4">
        <f t="shared" si="120"/>
        <v>18.58718052180649</v>
      </c>
      <c r="BY88" s="4">
        <f t="shared" si="121"/>
        <v>15.111688271484969</v>
      </c>
      <c r="BZ88" s="4">
        <f t="shared" si="122"/>
        <v>17.354177206117573</v>
      </c>
      <c r="CB88" s="4">
        <f t="shared" si="123"/>
        <v>32.46586547760254</v>
      </c>
      <c r="CD88" s="4">
        <f t="shared" si="87"/>
        <v>0.18252166169233242</v>
      </c>
      <c r="CE88" s="4">
        <f t="shared" si="88"/>
        <v>-5.333239121289225</v>
      </c>
      <c r="CF88" s="4">
        <f t="shared" si="89"/>
        <v>0.5325744210763732</v>
      </c>
      <c r="CG88" s="4">
        <f t="shared" si="90"/>
        <v>4.949889320204402</v>
      </c>
      <c r="CH88" s="4">
        <f t="shared" si="91"/>
        <v>0.02760830785284263</v>
      </c>
      <c r="CI88" s="4">
        <f t="shared" si="92"/>
        <v>-0.3593545895367356</v>
      </c>
      <c r="CK88" s="4">
        <f t="shared" si="93"/>
        <v>-0.3317462816838912</v>
      </c>
      <c r="CL88" s="4">
        <f t="shared" si="94"/>
        <v>0</v>
      </c>
      <c r="CM88" s="4">
        <f t="shared" si="124"/>
        <v>55.25386254412675</v>
      </c>
    </row>
    <row r="89" spans="1:91" ht="15">
      <c r="A89" s="29" t="s">
        <v>40</v>
      </c>
      <c r="B89" s="48">
        <v>9</v>
      </c>
      <c r="C89" s="23">
        <v>1906759</v>
      </c>
      <c r="D89" s="30">
        <v>0.38880531327927426</v>
      </c>
      <c r="E89" s="24">
        <f aca="true" t="shared" si="127" ref="E89:E122">C89*D89</f>
        <v>741358.0303430757</v>
      </c>
      <c r="F89" s="31"/>
      <c r="G89" s="24">
        <f t="shared" si="108"/>
        <v>0</v>
      </c>
      <c r="H89" s="30">
        <v>0.2332357290013367</v>
      </c>
      <c r="I89" s="6">
        <f t="shared" si="86"/>
        <v>0</v>
      </c>
      <c r="J89" s="6">
        <f t="shared" si="109"/>
        <v>0</v>
      </c>
      <c r="K89" s="6">
        <f t="shared" si="125"/>
        <v>0</v>
      </c>
      <c r="L89" s="24">
        <f t="shared" si="110"/>
        <v>444724.32539485977</v>
      </c>
      <c r="M89" s="24">
        <f t="shared" si="126"/>
        <v>1165400.9696569243</v>
      </c>
      <c r="N89" s="6">
        <f t="shared" si="111"/>
        <v>0.05830893225033418</v>
      </c>
      <c r="O89" s="6">
        <f t="shared" si="112"/>
        <v>0.05</v>
      </c>
      <c r="P89" s="24">
        <f t="shared" si="113"/>
        <v>95337.95000000001</v>
      </c>
      <c r="Q89" s="32"/>
      <c r="R89" s="24">
        <f t="shared" si="114"/>
        <v>1661397.9887055294</v>
      </c>
      <c r="S89" s="24">
        <f t="shared" si="115"/>
        <v>1774612.6538196087</v>
      </c>
      <c r="T89" s="24">
        <f t="shared" si="116"/>
        <v>1872793.5199893273</v>
      </c>
      <c r="U89" s="24">
        <f t="shared" si="95"/>
        <v>2138087.7387055294</v>
      </c>
      <c r="V89" s="24">
        <f t="shared" si="96"/>
        <v>2251302.4038196085</v>
      </c>
      <c r="W89" s="24">
        <f t="shared" si="97"/>
        <v>2349483.2699893275</v>
      </c>
      <c r="X89" s="29"/>
      <c r="Y89" s="3">
        <v>318678</v>
      </c>
      <c r="Z89" s="4">
        <v>0</v>
      </c>
      <c r="AA89" s="4">
        <v>0</v>
      </c>
      <c r="AB89" s="1">
        <v>313898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15</v>
      </c>
      <c r="AP89" s="1">
        <v>56</v>
      </c>
      <c r="AQ89" s="1">
        <v>0</v>
      </c>
      <c r="AR89" s="1">
        <v>0</v>
      </c>
      <c r="AS89" s="1">
        <v>110</v>
      </c>
      <c r="AT89" s="1">
        <v>1994</v>
      </c>
      <c r="AU89" s="1">
        <v>0</v>
      </c>
      <c r="AV89" s="1">
        <v>0</v>
      </c>
      <c r="AW89" s="1">
        <v>2182</v>
      </c>
      <c r="AX89" s="1">
        <v>9</v>
      </c>
      <c r="AY89" s="1">
        <v>1</v>
      </c>
      <c r="AZ89" s="1">
        <v>4</v>
      </c>
      <c r="BA89" s="1">
        <v>1</v>
      </c>
      <c r="BB89" s="1">
        <v>1</v>
      </c>
      <c r="BC89" s="1">
        <v>1</v>
      </c>
      <c r="BD89" s="1">
        <v>1</v>
      </c>
      <c r="BE89" s="1">
        <v>1</v>
      </c>
      <c r="BF89" s="1">
        <v>126836</v>
      </c>
      <c r="BH89" s="4">
        <f t="shared" si="98"/>
        <v>204619.13670552924</v>
      </c>
      <c r="BI89" s="4">
        <f t="shared" si="99"/>
        <v>556855.052</v>
      </c>
      <c r="BJ89" s="4">
        <f t="shared" si="100"/>
        <v>0</v>
      </c>
      <c r="BK89" s="4">
        <f t="shared" si="101"/>
        <v>287337</v>
      </c>
      <c r="BL89" s="4">
        <f t="shared" si="102"/>
        <v>285723.2</v>
      </c>
      <c r="BM89" s="4">
        <f t="shared" si="103"/>
        <v>326863.60000000003</v>
      </c>
      <c r="BN89" s="4">
        <v>27.396900946061773</v>
      </c>
      <c r="BO89" s="8">
        <f t="shared" si="104"/>
        <v>0.030732394366197183</v>
      </c>
      <c r="BP89" s="4">
        <f t="shared" si="105"/>
        <v>1661397.9887055294</v>
      </c>
      <c r="BQ89" s="4">
        <f t="shared" si="106"/>
        <v>1774612.6538196087</v>
      </c>
      <c r="BR89" s="4">
        <f t="shared" si="107"/>
        <v>1872793.5199893273</v>
      </c>
      <c r="BS89" s="4">
        <v>1660817</v>
      </c>
      <c r="BT89" s="26"/>
      <c r="BU89" s="4">
        <f t="shared" si="117"/>
        <v>12.316081883845142</v>
      </c>
      <c r="BV89" s="4">
        <f t="shared" si="118"/>
        <v>33.51725810345245</v>
      </c>
      <c r="BW89" s="4">
        <f t="shared" si="119"/>
        <v>0</v>
      </c>
      <c r="BX89" s="4">
        <f t="shared" si="120"/>
        <v>17.29489273210673</v>
      </c>
      <c r="BY89" s="4">
        <f t="shared" si="121"/>
        <v>17.19775766808409</v>
      </c>
      <c r="BZ89" s="4">
        <f t="shared" si="122"/>
        <v>19.67400961251159</v>
      </c>
      <c r="CB89" s="4">
        <f t="shared" si="123"/>
        <v>36.87176728059568</v>
      </c>
      <c r="CD89" s="4">
        <f t="shared" si="87"/>
        <v>-0.01571696832397329</v>
      </c>
      <c r="CE89" s="4">
        <f t="shared" si="88"/>
        <v>-6.222203022697258</v>
      </c>
      <c r="CF89" s="4">
        <f t="shared" si="89"/>
        <v>4.733390965794089</v>
      </c>
      <c r="CG89" s="4">
        <f t="shared" si="90"/>
        <v>6.242177109904162</v>
      </c>
      <c r="CH89" s="4">
        <f t="shared" si="91"/>
        <v>-2.058461088746279</v>
      </c>
      <c r="CI89" s="4">
        <f t="shared" si="92"/>
        <v>-2.6791869959307526</v>
      </c>
      <c r="CK89" s="4">
        <f t="shared" si="93"/>
        <v>-4.737648084677026</v>
      </c>
      <c r="CL89" s="4">
        <f t="shared" si="94"/>
        <v>0</v>
      </c>
      <c r="CM89" s="4">
        <f t="shared" si="124"/>
        <v>54.166660012702415</v>
      </c>
    </row>
    <row r="90" spans="1:91" ht="15">
      <c r="A90" s="22" t="s">
        <v>41</v>
      </c>
      <c r="B90" s="47">
        <v>9</v>
      </c>
      <c r="C90" s="23">
        <v>1457735</v>
      </c>
      <c r="D90" s="6">
        <v>0.2535699736912329</v>
      </c>
      <c r="E90" s="24">
        <f t="shared" si="127"/>
        <v>369637.8255987894</v>
      </c>
      <c r="F90" s="25"/>
      <c r="G90" s="24">
        <f t="shared" si="108"/>
        <v>0</v>
      </c>
      <c r="H90" s="6">
        <v>0.1041286217973012</v>
      </c>
      <c r="I90" s="6">
        <f t="shared" si="86"/>
        <v>-0.13477453405954856</v>
      </c>
      <c r="J90" s="6">
        <f t="shared" si="109"/>
        <v>-0.07080717083153532</v>
      </c>
      <c r="K90" s="6">
        <f t="shared" si="125"/>
        <v>0.033321450965765886</v>
      </c>
      <c r="L90" s="24">
        <f t="shared" si="110"/>
        <v>48573.84532358073</v>
      </c>
      <c r="M90" s="24">
        <f t="shared" si="126"/>
        <v>1088097.1744012106</v>
      </c>
      <c r="N90" s="6">
        <f t="shared" si="111"/>
        <v>0.008330362741441472</v>
      </c>
      <c r="O90" s="6">
        <f t="shared" si="112"/>
        <v>0</v>
      </c>
      <c r="P90" s="24">
        <f t="shared" si="113"/>
        <v>0</v>
      </c>
      <c r="Q90" s="27"/>
      <c r="R90" s="24">
        <f t="shared" si="114"/>
        <v>1594672.7689301833</v>
      </c>
      <c r="S90" s="24">
        <f t="shared" si="115"/>
        <v>1877147.7752785876</v>
      </c>
      <c r="T90" s="24">
        <f t="shared" si="116"/>
        <v>1705445.9686432928</v>
      </c>
      <c r="U90" s="24">
        <f t="shared" si="95"/>
        <v>1959106.5189301833</v>
      </c>
      <c r="V90" s="24">
        <f t="shared" si="96"/>
        <v>2241581.525278588</v>
      </c>
      <c r="W90" s="24">
        <f t="shared" si="97"/>
        <v>2069879.7186432928</v>
      </c>
      <c r="X90" s="22"/>
      <c r="Y90" s="1">
        <v>314249</v>
      </c>
      <c r="Z90" s="3">
        <v>0</v>
      </c>
      <c r="AA90" s="3">
        <v>0</v>
      </c>
      <c r="AB90" s="3">
        <v>0</v>
      </c>
      <c r="AC90" s="3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4">
        <v>120</v>
      </c>
      <c r="AP90" s="4">
        <v>0</v>
      </c>
      <c r="AQ90" s="1">
        <v>0</v>
      </c>
      <c r="AR90" s="1">
        <v>0</v>
      </c>
      <c r="AS90" s="1">
        <v>3176</v>
      </c>
      <c r="AT90" s="3">
        <v>0</v>
      </c>
      <c r="AU90" s="1">
        <v>0</v>
      </c>
      <c r="AV90" s="1">
        <v>0</v>
      </c>
      <c r="AW90" s="1">
        <v>3176</v>
      </c>
      <c r="AX90" s="1">
        <v>8</v>
      </c>
      <c r="AY90" s="1">
        <v>4</v>
      </c>
      <c r="AZ90" s="1">
        <v>2</v>
      </c>
      <c r="BA90" s="1">
        <v>2</v>
      </c>
      <c r="BB90" s="1">
        <v>1</v>
      </c>
      <c r="BC90" s="1">
        <v>1</v>
      </c>
      <c r="BD90" s="1">
        <v>1</v>
      </c>
      <c r="BE90" s="1">
        <v>5</v>
      </c>
      <c r="BF90" s="1">
        <v>205351</v>
      </c>
      <c r="BH90" s="4">
        <f t="shared" si="98"/>
        <v>201967.16893018314</v>
      </c>
      <c r="BI90" s="4">
        <f t="shared" si="99"/>
        <v>0</v>
      </c>
      <c r="BJ90" s="4">
        <f t="shared" si="100"/>
        <v>0</v>
      </c>
      <c r="BK90" s="4">
        <f t="shared" si="101"/>
        <v>485640</v>
      </c>
      <c r="BL90" s="4">
        <f t="shared" si="102"/>
        <v>431300.80000000005</v>
      </c>
      <c r="BM90" s="4">
        <f t="shared" si="103"/>
        <v>475764.80000000005</v>
      </c>
      <c r="BN90" s="4">
        <v>33.45203660629761</v>
      </c>
      <c r="BO90" s="8">
        <f t="shared" si="104"/>
        <v>0.026466666666666666</v>
      </c>
      <c r="BP90" s="4">
        <f t="shared" si="105"/>
        <v>1594672.7689301833</v>
      </c>
      <c r="BQ90" s="4">
        <f t="shared" si="106"/>
        <v>1877147.7752785876</v>
      </c>
      <c r="BR90" s="4">
        <f t="shared" si="107"/>
        <v>1705445.9686432928</v>
      </c>
      <c r="BS90" s="4">
        <v>2744726</v>
      </c>
      <c r="BT90" s="26"/>
      <c r="BU90" s="4">
        <f t="shared" si="117"/>
        <v>12.66511681049628</v>
      </c>
      <c r="BV90" s="4">
        <f t="shared" si="118"/>
        <v>0</v>
      </c>
      <c r="BW90" s="4">
        <f t="shared" si="119"/>
        <v>0</v>
      </c>
      <c r="BX90" s="4">
        <f t="shared" si="120"/>
        <v>30.453896840904914</v>
      </c>
      <c r="BY90" s="4">
        <f t="shared" si="121"/>
        <v>27.046351352029824</v>
      </c>
      <c r="BZ90" s="4">
        <f t="shared" si="122"/>
        <v>29.834634996568983</v>
      </c>
      <c r="CB90" s="4">
        <f t="shared" si="123"/>
        <v>56.88098634859881</v>
      </c>
      <c r="CD90" s="4">
        <f t="shared" si="87"/>
        <v>-0.36475189497511096</v>
      </c>
      <c r="CE90" s="4">
        <f t="shared" si="88"/>
        <v>27.29505508075519</v>
      </c>
      <c r="CF90" s="4">
        <f t="shared" si="89"/>
        <v>4.733390965794089</v>
      </c>
      <c r="CG90" s="4">
        <f t="shared" si="90"/>
        <v>-6.91682699889402</v>
      </c>
      <c r="CH90" s="4">
        <f t="shared" si="91"/>
        <v>-11.907054772692012</v>
      </c>
      <c r="CI90" s="4">
        <f t="shared" si="92"/>
        <v>-12.839812379988146</v>
      </c>
      <c r="CK90" s="4">
        <f t="shared" si="93"/>
        <v>-24.74686715268016</v>
      </c>
      <c r="CL90" s="4">
        <f t="shared" si="94"/>
        <v>-7.080717083153532</v>
      </c>
      <c r="CM90" s="4">
        <f t="shared" si="124"/>
        <v>87.33488318950371</v>
      </c>
    </row>
    <row r="91" spans="1:91" ht="15">
      <c r="A91" s="22" t="s">
        <v>75</v>
      </c>
      <c r="B91" s="47">
        <v>1</v>
      </c>
      <c r="C91" s="24">
        <v>2448181.99033566</v>
      </c>
      <c r="D91" s="58">
        <v>0.27179416590897576</v>
      </c>
      <c r="E91" s="24">
        <f t="shared" si="127"/>
        <v>665401.5820566568</v>
      </c>
      <c r="F91" s="25"/>
      <c r="G91" s="24">
        <f t="shared" si="108"/>
        <v>0</v>
      </c>
      <c r="H91" s="14">
        <v>0.1261483471462772</v>
      </c>
      <c r="I91" s="6">
        <f t="shared" si="86"/>
        <v>0</v>
      </c>
      <c r="J91" s="6">
        <f t="shared" si="109"/>
        <v>0</v>
      </c>
      <c r="K91" s="6">
        <f t="shared" si="125"/>
        <v>0</v>
      </c>
      <c r="L91" s="24">
        <f t="shared" si="110"/>
        <v>308834.11159412673</v>
      </c>
      <c r="M91" s="24">
        <f t="shared" si="126"/>
        <v>1782780.408279003</v>
      </c>
      <c r="N91" s="6">
        <f t="shared" si="111"/>
        <v>0.0315370867865693</v>
      </c>
      <c r="O91" s="6">
        <f t="shared" si="112"/>
        <v>0.0315370867865693</v>
      </c>
      <c r="P91" s="24">
        <f t="shared" si="113"/>
        <v>77208.52789853168</v>
      </c>
      <c r="Q91" s="34"/>
      <c r="R91" s="24">
        <f t="shared" si="114"/>
        <v>3088109.0041311397</v>
      </c>
      <c r="S91" s="24">
        <f t="shared" si="115"/>
        <v>3035775.0511256163</v>
      </c>
      <c r="T91" s="24">
        <f t="shared" si="116"/>
        <v>2762169.845364432</v>
      </c>
      <c r="U91" s="24">
        <f t="shared" si="95"/>
        <v>3700154.5017150547</v>
      </c>
      <c r="V91" s="24">
        <f t="shared" si="96"/>
        <v>3647820.5487095313</v>
      </c>
      <c r="W91" s="24">
        <f t="shared" si="97"/>
        <v>3374215.342948347</v>
      </c>
      <c r="X91" s="22"/>
      <c r="Y91" s="3">
        <v>682496</v>
      </c>
      <c r="Z91" s="4">
        <v>0</v>
      </c>
      <c r="AA91" s="4">
        <v>675066</v>
      </c>
      <c r="AB91" s="4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4">
        <v>155</v>
      </c>
      <c r="AP91" s="1">
        <v>45</v>
      </c>
      <c r="AQ91" s="1">
        <v>0</v>
      </c>
      <c r="AR91" s="4">
        <v>0</v>
      </c>
      <c r="AS91" s="3">
        <v>624</v>
      </c>
      <c r="AT91" s="3">
        <v>2085</v>
      </c>
      <c r="AU91" s="3">
        <v>0</v>
      </c>
      <c r="AV91" s="3">
        <v>0</v>
      </c>
      <c r="AW91" s="3">
        <v>2709</v>
      </c>
      <c r="AX91" s="3">
        <v>12</v>
      </c>
      <c r="AY91" s="3">
        <v>0</v>
      </c>
      <c r="AZ91" s="3">
        <v>6</v>
      </c>
      <c r="BA91" s="3">
        <v>1</v>
      </c>
      <c r="BB91" s="3">
        <v>4</v>
      </c>
      <c r="BC91" s="3">
        <v>4</v>
      </c>
      <c r="BD91" s="3">
        <v>4</v>
      </c>
      <c r="BE91" s="3">
        <v>2</v>
      </c>
      <c r="BF91" s="3">
        <v>268263</v>
      </c>
      <c r="BH91" s="4">
        <f t="shared" si="98"/>
        <v>416137.1461311393</v>
      </c>
      <c r="BI91" s="4">
        <f t="shared" si="99"/>
        <v>1088881.458</v>
      </c>
      <c r="BJ91" s="4">
        <f t="shared" si="100"/>
        <v>0</v>
      </c>
      <c r="BK91" s="4">
        <f t="shared" si="101"/>
        <v>809400</v>
      </c>
      <c r="BL91" s="4">
        <f t="shared" si="102"/>
        <v>367882.2</v>
      </c>
      <c r="BM91" s="4">
        <f t="shared" si="103"/>
        <v>405808.2</v>
      </c>
      <c r="BN91" s="4">
        <v>22.669615254018396</v>
      </c>
      <c r="BO91" s="8">
        <f t="shared" si="104"/>
        <v>0.013545</v>
      </c>
      <c r="BP91" s="4">
        <f t="shared" si="105"/>
        <v>3088109.0041311397</v>
      </c>
      <c r="BQ91" s="4">
        <f t="shared" si="106"/>
        <v>3035775.0511256163</v>
      </c>
      <c r="BR91" s="4">
        <f t="shared" si="107"/>
        <v>2762169.845364432</v>
      </c>
      <c r="BS91" s="4">
        <v>2232458</v>
      </c>
      <c r="BT91" s="26"/>
      <c r="BU91" s="4">
        <f t="shared" si="117"/>
        <v>13.475468177271232</v>
      </c>
      <c r="BV91" s="4">
        <f t="shared" si="118"/>
        <v>35.26046057776268</v>
      </c>
      <c r="BW91" s="4">
        <f t="shared" si="119"/>
        <v>0</v>
      </c>
      <c r="BX91" s="4">
        <f t="shared" si="120"/>
        <v>26.21021469505187</v>
      </c>
      <c r="BY91" s="4">
        <f t="shared" si="121"/>
        <v>11.9128631634396</v>
      </c>
      <c r="BZ91" s="4">
        <f t="shared" si="122"/>
        <v>13.140993386474609</v>
      </c>
      <c r="CB91" s="4">
        <f t="shared" si="123"/>
        <v>25.053856549914208</v>
      </c>
      <c r="CD91" s="4">
        <f t="shared" si="87"/>
        <v>-1.1751032617500634</v>
      </c>
      <c r="CE91" s="4">
        <f t="shared" si="88"/>
        <v>-7.965405497007488</v>
      </c>
      <c r="CF91" s="4">
        <f t="shared" si="89"/>
        <v>4.733390965794089</v>
      </c>
      <c r="CG91" s="4">
        <f t="shared" si="90"/>
        <v>-2.673144853040977</v>
      </c>
      <c r="CH91" s="4">
        <f t="shared" si="91"/>
        <v>3.226433415898212</v>
      </c>
      <c r="CI91" s="4">
        <f t="shared" si="92"/>
        <v>3.8538292301062285</v>
      </c>
      <c r="CK91" s="4">
        <f t="shared" si="93"/>
        <v>7.080262646004442</v>
      </c>
      <c r="CL91" s="4">
        <f t="shared" si="94"/>
        <v>0</v>
      </c>
      <c r="CM91" s="4">
        <f t="shared" si="124"/>
        <v>51.264071244966075</v>
      </c>
    </row>
    <row r="92" spans="1:91" ht="15">
      <c r="A92" s="22" t="s">
        <v>16</v>
      </c>
      <c r="B92" s="47">
        <v>9</v>
      </c>
      <c r="C92" s="23">
        <v>7507</v>
      </c>
      <c r="D92" s="6">
        <v>0</v>
      </c>
      <c r="E92" s="24">
        <f t="shared" si="127"/>
        <v>0</v>
      </c>
      <c r="F92" s="25"/>
      <c r="G92" s="24">
        <f t="shared" si="108"/>
        <v>0</v>
      </c>
      <c r="H92" s="6">
        <v>0</v>
      </c>
      <c r="I92" s="6">
        <f t="shared" si="86"/>
        <v>0</v>
      </c>
      <c r="J92" s="6">
        <f t="shared" si="109"/>
        <v>0</v>
      </c>
      <c r="K92" s="6">
        <f t="shared" si="125"/>
        <v>0</v>
      </c>
      <c r="L92" s="24">
        <f t="shared" si="110"/>
        <v>0</v>
      </c>
      <c r="M92" s="24">
        <v>15966</v>
      </c>
      <c r="N92" s="6">
        <f t="shared" si="111"/>
        <v>0</v>
      </c>
      <c r="O92" s="6">
        <f t="shared" si="112"/>
        <v>0</v>
      </c>
      <c r="P92" s="24">
        <f t="shared" si="113"/>
        <v>0</v>
      </c>
      <c r="Q92" s="24"/>
      <c r="R92" s="24">
        <f t="shared" si="114"/>
        <v>27837.985420370773</v>
      </c>
      <c r="S92" s="24">
        <f t="shared" si="115"/>
        <v>25527.432630479998</v>
      </c>
      <c r="T92" s="24">
        <f t="shared" si="116"/>
        <v>23563.184379218637</v>
      </c>
      <c r="U92" s="24">
        <f t="shared" si="95"/>
        <v>29714.735420370773</v>
      </c>
      <c r="V92" s="24">
        <f t="shared" si="96"/>
        <v>27404.182630479998</v>
      </c>
      <c r="W92" s="24">
        <f t="shared" si="97"/>
        <v>25439.934379218637</v>
      </c>
      <c r="X92" s="22"/>
      <c r="Y92" s="1">
        <v>2889</v>
      </c>
      <c r="Z92" s="4">
        <v>0</v>
      </c>
      <c r="AA92" s="1">
        <v>2837</v>
      </c>
      <c r="AB92" s="4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4">
        <v>3</v>
      </c>
      <c r="AP92" s="4">
        <v>0</v>
      </c>
      <c r="AQ92" s="4">
        <v>0</v>
      </c>
      <c r="AR92" s="4">
        <v>0</v>
      </c>
      <c r="AS92" s="4">
        <v>30</v>
      </c>
      <c r="AT92" s="4">
        <v>0</v>
      </c>
      <c r="AU92" s="4">
        <v>0</v>
      </c>
      <c r="AV92" s="4">
        <v>0</v>
      </c>
      <c r="AW92" s="4">
        <v>30</v>
      </c>
      <c r="AX92" s="1">
        <v>2</v>
      </c>
      <c r="AY92" s="1">
        <v>0</v>
      </c>
      <c r="AZ92" s="1">
        <v>1</v>
      </c>
      <c r="BA92" s="1">
        <v>0</v>
      </c>
      <c r="BB92" s="1">
        <v>1</v>
      </c>
      <c r="BC92" s="1">
        <v>1</v>
      </c>
      <c r="BD92" s="1">
        <v>1</v>
      </c>
      <c r="BE92" s="1">
        <v>0</v>
      </c>
      <c r="BF92" s="1">
        <v>1656</v>
      </c>
      <c r="BH92" s="4">
        <f t="shared" si="98"/>
        <v>2552.904420370773</v>
      </c>
      <c r="BI92" s="4">
        <f t="shared" si="99"/>
        <v>4576.081</v>
      </c>
      <c r="BJ92" s="4">
        <f t="shared" si="100"/>
        <v>0</v>
      </c>
      <c r="BK92" s="4">
        <f t="shared" si="101"/>
        <v>12141</v>
      </c>
      <c r="BL92" s="4">
        <f t="shared" si="102"/>
        <v>4074.0000000000005</v>
      </c>
      <c r="BM92" s="4">
        <f t="shared" si="103"/>
        <v>4494</v>
      </c>
      <c r="BN92" s="4">
        <v>19</v>
      </c>
      <c r="BO92" s="8">
        <f t="shared" si="104"/>
        <v>0.01</v>
      </c>
      <c r="BP92" s="4">
        <f t="shared" si="105"/>
        <v>27837.985420370773</v>
      </c>
      <c r="BQ92" s="4">
        <f t="shared" si="106"/>
        <v>25527.432630479998</v>
      </c>
      <c r="BR92" s="4">
        <f t="shared" si="107"/>
        <v>23563.184379218637</v>
      </c>
      <c r="BS92" s="4">
        <v>53835</v>
      </c>
      <c r="BT92" s="26"/>
      <c r="BU92" s="4">
        <f t="shared" si="117"/>
        <v>9.170578911585519</v>
      </c>
      <c r="BV92" s="4">
        <f t="shared" si="118"/>
        <v>16.438262075715432</v>
      </c>
      <c r="BW92" s="4">
        <f t="shared" si="119"/>
        <v>0</v>
      </c>
      <c r="BX92" s="4">
        <f t="shared" si="120"/>
        <v>43.61306975581531</v>
      </c>
      <c r="BY92" s="4">
        <f t="shared" si="121"/>
        <v>14.634679695675116</v>
      </c>
      <c r="BZ92" s="4">
        <f t="shared" si="122"/>
        <v>16.143409561208628</v>
      </c>
      <c r="CB92" s="4">
        <f t="shared" si="123"/>
        <v>30.778089256883746</v>
      </c>
      <c r="CD92" s="4">
        <f t="shared" si="87"/>
        <v>3.1297860039356493</v>
      </c>
      <c r="CE92" s="4">
        <f t="shared" si="88"/>
        <v>10.856793005039759</v>
      </c>
      <c r="CF92" s="4">
        <f t="shared" si="89"/>
        <v>4.733390965794089</v>
      </c>
      <c r="CG92" s="4">
        <f t="shared" si="90"/>
        <v>-20.075999913804417</v>
      </c>
      <c r="CH92" s="4">
        <f t="shared" si="91"/>
        <v>0.5046168836626954</v>
      </c>
      <c r="CI92" s="4">
        <f t="shared" si="92"/>
        <v>0.851413055372209</v>
      </c>
      <c r="CK92" s="4">
        <f t="shared" si="93"/>
        <v>1.3560299390349044</v>
      </c>
      <c r="CL92" s="4">
        <f t="shared" si="94"/>
        <v>0</v>
      </c>
      <c r="CM92" s="4">
        <f t="shared" si="124"/>
        <v>74.39115901269906</v>
      </c>
    </row>
    <row r="93" spans="1:91" ht="15">
      <c r="A93" s="22" t="s">
        <v>76</v>
      </c>
      <c r="B93" s="47">
        <v>1</v>
      </c>
      <c r="C93" s="24">
        <v>14368525.481472487</v>
      </c>
      <c r="D93" s="6">
        <v>0.14882857</v>
      </c>
      <c r="E93" s="24">
        <f t="shared" si="127"/>
        <v>2138447.1004161118</v>
      </c>
      <c r="F93" s="25"/>
      <c r="G93" s="24">
        <f t="shared" si="108"/>
        <v>0</v>
      </c>
      <c r="H93" s="14">
        <v>0</v>
      </c>
      <c r="I93" s="6">
        <f t="shared" si="86"/>
        <v>0</v>
      </c>
      <c r="J93" s="6">
        <f t="shared" si="109"/>
        <v>0</v>
      </c>
      <c r="K93" s="6">
        <f t="shared" si="125"/>
        <v>0</v>
      </c>
      <c r="L93" s="24">
        <f t="shared" si="110"/>
        <v>0</v>
      </c>
      <c r="M93" s="24">
        <f t="shared" si="126"/>
        <v>12230078.381056376</v>
      </c>
      <c r="N93" s="6">
        <f t="shared" si="111"/>
        <v>0</v>
      </c>
      <c r="O93" s="6">
        <f t="shared" si="112"/>
        <v>0</v>
      </c>
      <c r="P93" s="24">
        <f t="shared" si="113"/>
        <v>0</v>
      </c>
      <c r="Q93" s="24"/>
      <c r="R93" s="24">
        <f t="shared" si="114"/>
        <v>19105868.5798361</v>
      </c>
      <c r="S93" s="24">
        <f t="shared" si="115"/>
        <v>21410711.808186058</v>
      </c>
      <c r="T93" s="24">
        <f t="shared" si="116"/>
        <v>18647706.969975725</v>
      </c>
      <c r="U93" s="24">
        <f t="shared" si="95"/>
        <v>22697999.950204223</v>
      </c>
      <c r="V93" s="24">
        <f t="shared" si="96"/>
        <v>25002843.17855418</v>
      </c>
      <c r="W93" s="24">
        <f t="shared" si="97"/>
        <v>22239838.340343848</v>
      </c>
      <c r="X93" s="22"/>
      <c r="Y93" s="3">
        <v>3669361</v>
      </c>
      <c r="Z93" s="4">
        <v>0</v>
      </c>
      <c r="AA93" s="4">
        <v>1961662</v>
      </c>
      <c r="AB93" s="4">
        <v>1567373</v>
      </c>
      <c r="AC93" s="3">
        <v>10</v>
      </c>
      <c r="AD93" s="3">
        <v>270</v>
      </c>
      <c r="AE93" s="3">
        <v>3</v>
      </c>
      <c r="AF93" s="3">
        <v>220</v>
      </c>
      <c r="AG93" s="3">
        <v>2</v>
      </c>
      <c r="AH93" s="3">
        <v>270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4">
        <v>901</v>
      </c>
      <c r="AP93" s="1">
        <v>213</v>
      </c>
      <c r="AQ93" s="1">
        <v>0</v>
      </c>
      <c r="AR93" s="4">
        <v>0</v>
      </c>
      <c r="AS93" s="3">
        <v>10363</v>
      </c>
      <c r="AT93" s="3">
        <v>8622</v>
      </c>
      <c r="AU93" s="3">
        <v>0</v>
      </c>
      <c r="AV93" s="3">
        <v>0</v>
      </c>
      <c r="AW93" s="3">
        <v>21798</v>
      </c>
      <c r="AX93" s="3">
        <v>104</v>
      </c>
      <c r="AY93" s="3">
        <v>37</v>
      </c>
      <c r="AZ93" s="3">
        <v>57</v>
      </c>
      <c r="BA93" s="3">
        <v>9</v>
      </c>
      <c r="BB93" s="3">
        <v>9</v>
      </c>
      <c r="BC93" s="3">
        <v>9</v>
      </c>
      <c r="BD93" s="3">
        <v>14</v>
      </c>
      <c r="BE93" s="3">
        <v>19</v>
      </c>
      <c r="BF93" s="3">
        <v>1671655</v>
      </c>
      <c r="BH93" s="4">
        <f t="shared" si="98"/>
        <v>1995843.6718361024</v>
      </c>
      <c r="BI93" s="4">
        <f t="shared" si="99"/>
        <v>5944680.507999999</v>
      </c>
      <c r="BJ93" s="4">
        <f t="shared" si="100"/>
        <v>813483</v>
      </c>
      <c r="BK93" s="4">
        <f t="shared" si="101"/>
        <v>4508358</v>
      </c>
      <c r="BL93" s="4">
        <f t="shared" si="102"/>
        <v>2578163</v>
      </c>
      <c r="BM93" s="4">
        <f t="shared" si="103"/>
        <v>3265340.4000000004</v>
      </c>
      <c r="BN93" s="4">
        <v>30.31307524764766</v>
      </c>
      <c r="BO93" s="8">
        <f t="shared" si="104"/>
        <v>0.019567324955116698</v>
      </c>
      <c r="BP93" s="4">
        <f t="shared" si="105"/>
        <v>19105868.5798361</v>
      </c>
      <c r="BQ93" s="4">
        <f t="shared" si="106"/>
        <v>21410711.808186058</v>
      </c>
      <c r="BR93" s="4">
        <f t="shared" si="107"/>
        <v>18647706.969975725</v>
      </c>
      <c r="BS93" s="4">
        <v>14854881</v>
      </c>
      <c r="BT93" s="26"/>
      <c r="BU93" s="4">
        <f t="shared" si="117"/>
        <v>10.446233645417568</v>
      </c>
      <c r="BV93" s="4">
        <f t="shared" si="118"/>
        <v>31.11442164044759</v>
      </c>
      <c r="BW93" s="4">
        <f t="shared" si="119"/>
        <v>4.2577650767394655</v>
      </c>
      <c r="BX93" s="4">
        <f t="shared" si="120"/>
        <v>23.596718365152046</v>
      </c>
      <c r="BY93" s="4">
        <f t="shared" si="121"/>
        <v>13.494089469038506</v>
      </c>
      <c r="BZ93" s="4">
        <f t="shared" si="122"/>
        <v>17.090771803204834</v>
      </c>
      <c r="CB93" s="4">
        <f t="shared" si="123"/>
        <v>30.58486127224334</v>
      </c>
      <c r="CD93" s="4">
        <f t="shared" si="87"/>
        <v>1.8541312701036006</v>
      </c>
      <c r="CE93" s="4">
        <f t="shared" si="88"/>
        <v>-3.819366559692398</v>
      </c>
      <c r="CF93" s="4">
        <f t="shared" si="89"/>
        <v>0.47562588905462366</v>
      </c>
      <c r="CG93" s="4">
        <f t="shared" si="90"/>
        <v>-0.059648523141152765</v>
      </c>
      <c r="CH93" s="4">
        <f t="shared" si="91"/>
        <v>1.6452071102993049</v>
      </c>
      <c r="CI93" s="4">
        <f t="shared" si="92"/>
        <v>-0.0959491866239972</v>
      </c>
      <c r="CK93" s="4">
        <f t="shared" si="93"/>
        <v>1.5492579236753095</v>
      </c>
      <c r="CL93" s="4">
        <f t="shared" si="94"/>
        <v>0</v>
      </c>
      <c r="CM93" s="4">
        <f t="shared" si="124"/>
        <v>58.43934471413485</v>
      </c>
    </row>
    <row r="94" spans="1:91" ht="15">
      <c r="A94" s="22" t="s">
        <v>115</v>
      </c>
      <c r="B94" s="47">
        <v>10</v>
      </c>
      <c r="C94" s="23">
        <v>1626912</v>
      </c>
      <c r="D94" s="6">
        <v>0.5135047827096448</v>
      </c>
      <c r="E94" s="24">
        <f t="shared" si="127"/>
        <v>835427.0930477137</v>
      </c>
      <c r="F94" s="25"/>
      <c r="G94" s="24">
        <f t="shared" si="108"/>
        <v>0</v>
      </c>
      <c r="H94" s="6">
        <v>0.3587013152315828</v>
      </c>
      <c r="I94" s="6">
        <f t="shared" si="86"/>
        <v>0</v>
      </c>
      <c r="J94" s="6">
        <f t="shared" si="109"/>
        <v>0</v>
      </c>
      <c r="K94" s="6">
        <f t="shared" si="125"/>
        <v>0</v>
      </c>
      <c r="L94" s="24">
        <f t="shared" si="110"/>
        <v>583575.4741660448</v>
      </c>
      <c r="M94" s="24">
        <f t="shared" si="126"/>
        <v>791484.9069522863</v>
      </c>
      <c r="N94" s="6">
        <f t="shared" si="111"/>
        <v>0.0896753288078957</v>
      </c>
      <c r="O94" s="6">
        <f t="shared" si="112"/>
        <v>0.05</v>
      </c>
      <c r="P94" s="24">
        <f t="shared" si="113"/>
        <v>81345.6</v>
      </c>
      <c r="Q94" s="24"/>
      <c r="R94" s="24">
        <f t="shared" si="114"/>
        <v>1293344.253</v>
      </c>
      <c r="S94" s="24">
        <f t="shared" si="115"/>
        <v>1346511.750903246</v>
      </c>
      <c r="T94" s="24">
        <f t="shared" si="116"/>
        <v>1269908.85513564</v>
      </c>
      <c r="U94" s="24">
        <f t="shared" si="95"/>
        <v>1700072.253</v>
      </c>
      <c r="V94" s="24">
        <f t="shared" si="96"/>
        <v>1753239.750903246</v>
      </c>
      <c r="W94" s="24">
        <f t="shared" si="97"/>
        <v>1676636.85513564</v>
      </c>
      <c r="X94" s="22"/>
      <c r="Y94" s="4">
        <v>0</v>
      </c>
      <c r="Z94" s="4">
        <v>0</v>
      </c>
      <c r="AA94" s="3">
        <v>266481</v>
      </c>
      <c r="AB94" s="4">
        <v>0</v>
      </c>
      <c r="AC94" s="4">
        <v>0</v>
      </c>
      <c r="AD94" s="4">
        <v>0</v>
      </c>
      <c r="AE94" s="4">
        <v>2</v>
      </c>
      <c r="AF94" s="4">
        <v>100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41</v>
      </c>
      <c r="AP94" s="1">
        <v>39</v>
      </c>
      <c r="AQ94" s="1">
        <v>0</v>
      </c>
      <c r="AR94" s="4">
        <v>0</v>
      </c>
      <c r="AS94" s="4">
        <v>142</v>
      </c>
      <c r="AT94" s="4">
        <v>1236</v>
      </c>
      <c r="AU94" s="4">
        <v>0</v>
      </c>
      <c r="AV94" s="4">
        <v>0</v>
      </c>
      <c r="AW94" s="4">
        <v>1600</v>
      </c>
      <c r="AX94" s="4">
        <v>13</v>
      </c>
      <c r="AY94" s="4">
        <v>0</v>
      </c>
      <c r="AZ94" s="4">
        <v>4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178411</v>
      </c>
      <c r="BH94" s="4">
        <f t="shared" si="98"/>
        <v>0</v>
      </c>
      <c r="BI94" s="4">
        <f t="shared" si="99"/>
        <v>429833.853</v>
      </c>
      <c r="BJ94" s="4">
        <f t="shared" si="100"/>
        <v>112938</v>
      </c>
      <c r="BK94" s="4">
        <f t="shared" si="101"/>
        <v>323760</v>
      </c>
      <c r="BL94" s="4">
        <f t="shared" si="102"/>
        <v>187132.40000000002</v>
      </c>
      <c r="BM94" s="4">
        <f t="shared" si="103"/>
        <v>239680.00000000003</v>
      </c>
      <c r="BN94" s="4">
        <v>25.894919058347313</v>
      </c>
      <c r="BO94" s="8">
        <f t="shared" si="104"/>
        <v>0.02</v>
      </c>
      <c r="BP94" s="4">
        <f t="shared" si="105"/>
        <v>1293344.253</v>
      </c>
      <c r="BQ94" s="4">
        <f t="shared" si="106"/>
        <v>1346511.750903246</v>
      </c>
      <c r="BR94" s="4">
        <f t="shared" si="107"/>
        <v>1269908.85513564</v>
      </c>
      <c r="BS94" s="4">
        <v>1500884</v>
      </c>
      <c r="BT94" s="26"/>
      <c r="BU94" s="4">
        <f t="shared" si="117"/>
        <v>0</v>
      </c>
      <c r="BV94" s="4">
        <f t="shared" si="118"/>
        <v>33.234295664357816</v>
      </c>
      <c r="BW94" s="4">
        <f t="shared" si="119"/>
        <v>8.732245860916969</v>
      </c>
      <c r="BX94" s="4">
        <f t="shared" si="120"/>
        <v>25.032778337941863</v>
      </c>
      <c r="BY94" s="4">
        <f t="shared" si="121"/>
        <v>14.468877838667755</v>
      </c>
      <c r="BZ94" s="4">
        <f t="shared" si="122"/>
        <v>18.5318022981156</v>
      </c>
      <c r="CB94" s="4">
        <f t="shared" si="123"/>
        <v>33.00068013678336</v>
      </c>
      <c r="CD94" s="4">
        <f t="shared" si="87"/>
        <v>12.300364915521168</v>
      </c>
      <c r="CE94" s="4">
        <f t="shared" si="88"/>
        <v>-5.939240583602626</v>
      </c>
      <c r="CF94" s="4">
        <f t="shared" si="89"/>
        <v>-3.9988548951228795</v>
      </c>
      <c r="CG94" s="4">
        <f t="shared" si="90"/>
        <v>-1.4957084959309697</v>
      </c>
      <c r="CH94" s="4">
        <f t="shared" si="91"/>
        <v>0.6704187406700566</v>
      </c>
      <c r="CI94" s="4">
        <f t="shared" si="92"/>
        <v>-1.5369796815347634</v>
      </c>
      <c r="CK94" s="4">
        <f t="shared" si="93"/>
        <v>-0.8665609408647086</v>
      </c>
      <c r="CL94" s="4">
        <f t="shared" si="94"/>
        <v>0</v>
      </c>
      <c r="CM94" s="4">
        <f t="shared" si="124"/>
        <v>66.7657043356422</v>
      </c>
    </row>
    <row r="95" spans="1:91" ht="15">
      <c r="A95" s="22" t="s">
        <v>136</v>
      </c>
      <c r="B95" s="47">
        <v>5</v>
      </c>
      <c r="C95" s="23">
        <v>569131</v>
      </c>
      <c r="D95" s="6">
        <v>0</v>
      </c>
      <c r="E95" s="24">
        <f t="shared" si="127"/>
        <v>0</v>
      </c>
      <c r="F95" s="25"/>
      <c r="G95" s="24">
        <f t="shared" si="108"/>
        <v>0</v>
      </c>
      <c r="H95" s="6">
        <v>0</v>
      </c>
      <c r="I95" s="6">
        <f t="shared" si="86"/>
        <v>0</v>
      </c>
      <c r="J95" s="6">
        <f t="shared" si="109"/>
        <v>0</v>
      </c>
      <c r="K95" s="6">
        <f t="shared" si="125"/>
        <v>0</v>
      </c>
      <c r="L95" s="24">
        <f t="shared" si="110"/>
        <v>0</v>
      </c>
      <c r="M95" s="24">
        <v>716381</v>
      </c>
      <c r="N95" s="6">
        <f t="shared" si="111"/>
        <v>0</v>
      </c>
      <c r="O95" s="6">
        <f t="shared" si="112"/>
        <v>0</v>
      </c>
      <c r="P95" s="24">
        <f t="shared" si="113"/>
        <v>0</v>
      </c>
      <c r="Q95" s="24"/>
      <c r="R95" s="24">
        <f t="shared" si="114"/>
        <v>1186958.5652745194</v>
      </c>
      <c r="S95" s="24">
        <f t="shared" si="115"/>
        <v>1235055.9462420016</v>
      </c>
      <c r="T95" s="24">
        <f t="shared" si="116"/>
        <v>1020373.2731695769</v>
      </c>
      <c r="U95" s="24">
        <f t="shared" si="95"/>
        <v>1329241.3152745194</v>
      </c>
      <c r="V95" s="24">
        <f t="shared" si="96"/>
        <v>1377338.6962420016</v>
      </c>
      <c r="W95" s="24">
        <f t="shared" si="97"/>
        <v>1162656.023169577</v>
      </c>
      <c r="X95" s="22"/>
      <c r="Y95" s="3">
        <v>223887</v>
      </c>
      <c r="Z95" s="4">
        <v>0</v>
      </c>
      <c r="AA95" s="3">
        <v>215238</v>
      </c>
      <c r="AB95" s="4">
        <v>0</v>
      </c>
      <c r="AC95" s="4">
        <v>3</v>
      </c>
      <c r="AD95" s="4">
        <v>60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56</v>
      </c>
      <c r="AP95" s="1">
        <v>26</v>
      </c>
      <c r="AQ95" s="1">
        <v>0</v>
      </c>
      <c r="AR95" s="4">
        <v>0</v>
      </c>
      <c r="AS95" s="4">
        <v>737</v>
      </c>
      <c r="AT95" s="4">
        <v>143</v>
      </c>
      <c r="AU95" s="4">
        <v>0</v>
      </c>
      <c r="AV95" s="4">
        <v>0</v>
      </c>
      <c r="AW95" s="4">
        <v>900</v>
      </c>
      <c r="AX95" s="4">
        <v>10</v>
      </c>
      <c r="AY95" s="4">
        <v>0</v>
      </c>
      <c r="AZ95" s="4">
        <v>3</v>
      </c>
      <c r="BA95" s="4">
        <v>2</v>
      </c>
      <c r="BB95" s="4">
        <v>3</v>
      </c>
      <c r="BC95" s="4">
        <v>1</v>
      </c>
      <c r="BD95" s="4">
        <v>0</v>
      </c>
      <c r="BE95" s="4">
        <v>1</v>
      </c>
      <c r="BF95" s="4">
        <v>118517</v>
      </c>
      <c r="BH95" s="4">
        <f t="shared" si="98"/>
        <v>147242.67127451926</v>
      </c>
      <c r="BI95" s="4">
        <f t="shared" si="99"/>
        <v>347178.894</v>
      </c>
      <c r="BJ95" s="4">
        <f t="shared" si="100"/>
        <v>106359</v>
      </c>
      <c r="BK95" s="4">
        <f t="shared" si="101"/>
        <v>331854</v>
      </c>
      <c r="BL95" s="4">
        <f t="shared" si="102"/>
        <v>119504.00000000001</v>
      </c>
      <c r="BM95" s="4">
        <f t="shared" si="103"/>
        <v>134820</v>
      </c>
      <c r="BN95" s="4">
        <v>25.86230740270002</v>
      </c>
      <c r="BO95" s="8">
        <f t="shared" si="104"/>
        <v>0.01097560975609756</v>
      </c>
      <c r="BP95" s="4">
        <f t="shared" si="105"/>
        <v>1186958.5652745194</v>
      </c>
      <c r="BQ95" s="4">
        <f t="shared" si="106"/>
        <v>1235055.9462420016</v>
      </c>
      <c r="BR95" s="4">
        <f t="shared" si="107"/>
        <v>1020373.2731695769</v>
      </c>
      <c r="BS95" s="4">
        <v>531192</v>
      </c>
      <c r="BT95" s="26"/>
      <c r="BU95" s="4">
        <f t="shared" si="117"/>
        <v>12.405038860009828</v>
      </c>
      <c r="BV95" s="4">
        <f t="shared" si="118"/>
        <v>29.249453532500063</v>
      </c>
      <c r="BW95" s="4">
        <f t="shared" si="119"/>
        <v>8.960632924486402</v>
      </c>
      <c r="BX95" s="4">
        <f t="shared" si="120"/>
        <v>27.95834746963125</v>
      </c>
      <c r="BY95" s="4">
        <f t="shared" si="121"/>
        <v>10.068085230284444</v>
      </c>
      <c r="BZ95" s="4">
        <f t="shared" si="122"/>
        <v>11.358441983088001</v>
      </c>
      <c r="CB95" s="4">
        <f t="shared" si="123"/>
        <v>21.426527213372445</v>
      </c>
      <c r="CD95" s="4">
        <f t="shared" si="87"/>
        <v>-0.10467394448865974</v>
      </c>
      <c r="CE95" s="4">
        <f t="shared" si="88"/>
        <v>-1.954398451744872</v>
      </c>
      <c r="CF95" s="4">
        <f t="shared" si="89"/>
        <v>-4.227241958692313</v>
      </c>
      <c r="CG95" s="4">
        <f t="shared" si="90"/>
        <v>-4.421277627620356</v>
      </c>
      <c r="CH95" s="4">
        <f t="shared" si="91"/>
        <v>5.0712113490533675</v>
      </c>
      <c r="CI95" s="4">
        <f t="shared" si="92"/>
        <v>5.636380633492836</v>
      </c>
      <c r="CK95" s="4">
        <f t="shared" si="93"/>
        <v>10.707591982546205</v>
      </c>
      <c r="CL95" s="4">
        <f t="shared" si="94"/>
        <v>0</v>
      </c>
      <c r="CM95" s="4">
        <f t="shared" si="124"/>
        <v>58.3455076074901</v>
      </c>
    </row>
    <row r="96" spans="1:91" ht="15">
      <c r="A96" s="22" t="s">
        <v>94</v>
      </c>
      <c r="B96" s="47">
        <v>3</v>
      </c>
      <c r="C96" s="24">
        <v>1889752.123894635</v>
      </c>
      <c r="D96" s="6">
        <v>0.23559316143841624</v>
      </c>
      <c r="E96" s="24">
        <f t="shared" si="127"/>
        <v>445212.67720329866</v>
      </c>
      <c r="F96" s="25"/>
      <c r="G96" s="24">
        <f t="shared" si="108"/>
        <v>0</v>
      </c>
      <c r="H96" s="6">
        <v>0.09202910128401653</v>
      </c>
      <c r="I96" s="6">
        <f t="shared" si="86"/>
        <v>0</v>
      </c>
      <c r="J96" s="6">
        <f t="shared" si="109"/>
        <v>0</v>
      </c>
      <c r="K96" s="6">
        <f t="shared" si="125"/>
        <v>0</v>
      </c>
      <c r="L96" s="24">
        <f t="shared" si="110"/>
        <v>173912.1896115847</v>
      </c>
      <c r="M96" s="24">
        <f t="shared" si="126"/>
        <v>1444539.446691336</v>
      </c>
      <c r="N96" s="6">
        <f t="shared" si="111"/>
        <v>0.023007275321004134</v>
      </c>
      <c r="O96" s="6">
        <f t="shared" si="112"/>
        <v>0.023007275321004134</v>
      </c>
      <c r="P96" s="24">
        <f t="shared" si="113"/>
        <v>43478.047402896176</v>
      </c>
      <c r="Q96" s="24"/>
      <c r="R96" s="24">
        <f t="shared" si="114"/>
        <v>2159468.2906228947</v>
      </c>
      <c r="S96" s="24">
        <f t="shared" si="115"/>
        <v>2556245.9251739127</v>
      </c>
      <c r="T96" s="24">
        <f t="shared" si="116"/>
        <v>2074578.1588593975</v>
      </c>
      <c r="U96" s="24">
        <f t="shared" si="95"/>
        <v>2631906.3215965535</v>
      </c>
      <c r="V96" s="24">
        <f t="shared" si="96"/>
        <v>3028683.9561475716</v>
      </c>
      <c r="W96" s="24">
        <f t="shared" si="97"/>
        <v>2547016.189833056</v>
      </c>
      <c r="X96" s="22"/>
      <c r="Y96" s="3">
        <v>390168</v>
      </c>
      <c r="Z96" s="4">
        <v>0</v>
      </c>
      <c r="AA96" s="3">
        <v>381868</v>
      </c>
      <c r="AB96" s="4">
        <v>0</v>
      </c>
      <c r="AC96" s="3">
        <v>6</v>
      </c>
      <c r="AD96" s="3">
        <v>152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4">
        <f>73043/1000</f>
        <v>73.043</v>
      </c>
      <c r="AP96" s="1">
        <f>44177/1000</f>
        <v>44.177</v>
      </c>
      <c r="AQ96" s="1">
        <v>0</v>
      </c>
      <c r="AR96" s="4">
        <v>0</v>
      </c>
      <c r="AS96" s="3">
        <v>465</v>
      </c>
      <c r="AT96" s="3">
        <v>1638</v>
      </c>
      <c r="AU96" s="3">
        <v>0</v>
      </c>
      <c r="AV96" s="3">
        <v>0</v>
      </c>
      <c r="AW96" s="3">
        <v>2161</v>
      </c>
      <c r="AX96" s="3">
        <v>4</v>
      </c>
      <c r="AY96" s="3">
        <v>0</v>
      </c>
      <c r="AZ96" s="3">
        <v>2</v>
      </c>
      <c r="BA96" s="3">
        <v>0</v>
      </c>
      <c r="BB96" s="3">
        <v>0</v>
      </c>
      <c r="BC96" s="3">
        <v>0</v>
      </c>
      <c r="BD96" s="3">
        <v>1</v>
      </c>
      <c r="BE96" s="3">
        <v>2</v>
      </c>
      <c r="BF96" s="3">
        <v>317637</v>
      </c>
      <c r="BH96" s="4">
        <f t="shared" si="98"/>
        <v>247102.6666228943</v>
      </c>
      <c r="BI96" s="4">
        <f t="shared" si="99"/>
        <v>615953.084</v>
      </c>
      <c r="BJ96" s="4">
        <f t="shared" si="100"/>
        <v>212718</v>
      </c>
      <c r="BK96" s="4">
        <f t="shared" si="101"/>
        <v>474389.33999999997</v>
      </c>
      <c r="BL96" s="4">
        <f t="shared" si="102"/>
        <v>285587.4</v>
      </c>
      <c r="BM96" s="4">
        <f t="shared" si="103"/>
        <v>323717.80000000005</v>
      </c>
      <c r="BN96" s="4">
        <v>33.81880992994522</v>
      </c>
      <c r="BO96" s="8">
        <f t="shared" si="104"/>
        <v>0.018435420576693395</v>
      </c>
      <c r="BP96" s="4">
        <f t="shared" si="105"/>
        <v>2159468.2906228947</v>
      </c>
      <c r="BQ96" s="4">
        <f t="shared" si="106"/>
        <v>2556245.9251739127</v>
      </c>
      <c r="BR96" s="4">
        <f t="shared" si="107"/>
        <v>2074578.1588593975</v>
      </c>
      <c r="BS96" s="4">
        <v>1651859</v>
      </c>
      <c r="BT96" s="26"/>
      <c r="BU96" s="4">
        <f t="shared" si="117"/>
        <v>11.442755038168121</v>
      </c>
      <c r="BV96" s="4">
        <f t="shared" si="118"/>
        <v>28.523367843587526</v>
      </c>
      <c r="BW96" s="4">
        <f t="shared" si="119"/>
        <v>9.850480367027844</v>
      </c>
      <c r="BX96" s="4">
        <f t="shared" si="120"/>
        <v>21.967877095484614</v>
      </c>
      <c r="BY96" s="4">
        <f t="shared" si="121"/>
        <v>13.224894352008423</v>
      </c>
      <c r="BZ96" s="4">
        <f t="shared" si="122"/>
        <v>14.990625303723457</v>
      </c>
      <c r="CB96" s="4">
        <f t="shared" si="123"/>
        <v>28.21551965573188</v>
      </c>
      <c r="CD96" s="4">
        <f t="shared" si="87"/>
        <v>0.8576098773530472</v>
      </c>
      <c r="CE96" s="4">
        <f t="shared" si="88"/>
        <v>-1.228312762832335</v>
      </c>
      <c r="CF96" s="4">
        <f t="shared" si="89"/>
        <v>-5.117089401233755</v>
      </c>
      <c r="CG96" s="4">
        <f t="shared" si="90"/>
        <v>1.56919274652628</v>
      </c>
      <c r="CH96" s="4">
        <f t="shared" si="91"/>
        <v>1.9144022273293881</v>
      </c>
      <c r="CI96" s="4">
        <f t="shared" si="92"/>
        <v>2.0041973128573805</v>
      </c>
      <c r="CK96" s="4">
        <f t="shared" si="93"/>
        <v>3.9185995401867686</v>
      </c>
      <c r="CL96" s="4">
        <f t="shared" si="94"/>
        <v>0</v>
      </c>
      <c r="CM96" s="4">
        <f t="shared" si="124"/>
        <v>60.03387711824434</v>
      </c>
    </row>
    <row r="97" spans="1:91" ht="15">
      <c r="A97" s="22" t="s">
        <v>114</v>
      </c>
      <c r="B97" s="47">
        <v>5</v>
      </c>
      <c r="C97" s="23">
        <v>5606036</v>
      </c>
      <c r="D97" s="6">
        <v>0.14078952</v>
      </c>
      <c r="E97" s="24">
        <f t="shared" si="127"/>
        <v>789271.11754272</v>
      </c>
      <c r="F97" s="6">
        <v>0.1828826</v>
      </c>
      <c r="G97" s="24">
        <f t="shared" si="108"/>
        <v>1025246.4393736001</v>
      </c>
      <c r="H97" s="6">
        <v>0</v>
      </c>
      <c r="I97" s="6">
        <f t="shared" si="86"/>
        <v>0</v>
      </c>
      <c r="J97" s="6">
        <f t="shared" si="109"/>
        <v>0</v>
      </c>
      <c r="K97" s="6">
        <f t="shared" si="125"/>
        <v>0</v>
      </c>
      <c r="L97" s="24">
        <f t="shared" si="110"/>
        <v>0</v>
      </c>
      <c r="M97" s="24">
        <f t="shared" si="126"/>
        <v>4816764.88245728</v>
      </c>
      <c r="N97" s="6">
        <f t="shared" si="111"/>
        <v>0</v>
      </c>
      <c r="O97" s="6">
        <f t="shared" si="112"/>
        <v>0</v>
      </c>
      <c r="P97" s="24">
        <f t="shared" si="113"/>
        <v>0</v>
      </c>
      <c r="Q97" s="24"/>
      <c r="R97" s="24">
        <f t="shared" si="114"/>
        <v>6941569.6637222</v>
      </c>
      <c r="S97" s="24">
        <f t="shared" si="115"/>
        <v>7573422.516447197</v>
      </c>
      <c r="T97" s="24">
        <f t="shared" si="116"/>
        <v>7740519.052270387</v>
      </c>
      <c r="U97" s="24">
        <f t="shared" si="95"/>
        <v>8343078.6637222</v>
      </c>
      <c r="V97" s="24">
        <f t="shared" si="96"/>
        <v>8974931.516447198</v>
      </c>
      <c r="W97" s="24">
        <f t="shared" si="97"/>
        <v>9142028.052270386</v>
      </c>
      <c r="X97" s="22"/>
      <c r="Y97" s="3">
        <v>1148156</v>
      </c>
      <c r="Z97" s="4">
        <v>0</v>
      </c>
      <c r="AA97" s="4">
        <v>1029119</v>
      </c>
      <c r="AB97" s="3">
        <v>92270</v>
      </c>
      <c r="AC97" s="3">
        <v>7</v>
      </c>
      <c r="AD97" s="3">
        <v>129</v>
      </c>
      <c r="AE97" s="3">
        <v>2</v>
      </c>
      <c r="AF97" s="3">
        <v>170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4">
        <v>75</v>
      </c>
      <c r="AP97" s="1">
        <v>108</v>
      </c>
      <c r="AQ97" s="1">
        <v>18</v>
      </c>
      <c r="AR97" s="4">
        <v>0</v>
      </c>
      <c r="AS97" s="4">
        <v>791</v>
      </c>
      <c r="AT97" s="4">
        <v>2596</v>
      </c>
      <c r="AU97" s="4">
        <v>245</v>
      </c>
      <c r="AV97" s="4">
        <v>0</v>
      </c>
      <c r="AW97" s="4">
        <v>5997</v>
      </c>
      <c r="AX97" s="4">
        <v>40</v>
      </c>
      <c r="AY97" s="4">
        <v>0</v>
      </c>
      <c r="AZ97" s="4">
        <v>20</v>
      </c>
      <c r="BA97" s="4">
        <v>5</v>
      </c>
      <c r="BB97" s="4">
        <v>5</v>
      </c>
      <c r="BC97" s="4">
        <v>5</v>
      </c>
      <c r="BD97" s="4">
        <v>5</v>
      </c>
      <c r="BF97" s="4">
        <v>605491</v>
      </c>
      <c r="BG97" s="4">
        <v>340070</v>
      </c>
      <c r="BH97" s="4">
        <f t="shared" si="98"/>
        <v>675769.5367222002</v>
      </c>
      <c r="BI97" s="4">
        <f t="shared" si="99"/>
        <v>1823655.927</v>
      </c>
      <c r="BJ97" s="4">
        <f t="shared" si="100"/>
        <v>361109</v>
      </c>
      <c r="BK97" s="4">
        <f t="shared" si="101"/>
        <v>2277261</v>
      </c>
      <c r="BL97" s="4">
        <f t="shared" si="102"/>
        <v>565353.6000000001</v>
      </c>
      <c r="BM97" s="4">
        <f t="shared" si="103"/>
        <v>898350.6000000001</v>
      </c>
      <c r="BN97" s="4">
        <v>28.66802733655124</v>
      </c>
      <c r="BO97" s="8">
        <f t="shared" si="104"/>
        <v>0.029835820895522388</v>
      </c>
      <c r="BP97" s="4">
        <f t="shared" si="105"/>
        <v>6941569.6637222</v>
      </c>
      <c r="BQ97" s="4">
        <f t="shared" si="106"/>
        <v>7573422.516447197</v>
      </c>
      <c r="BR97" s="4">
        <f t="shared" si="107"/>
        <v>7740519.052270387</v>
      </c>
      <c r="BS97" s="4">
        <v>6105726</v>
      </c>
      <c r="BT97" s="26"/>
      <c r="BU97" s="4">
        <f t="shared" si="117"/>
        <v>10.236606394692645</v>
      </c>
      <c r="BV97" s="4">
        <f t="shared" si="118"/>
        <v>27.624873436284425</v>
      </c>
      <c r="BW97" s="4">
        <f t="shared" si="119"/>
        <v>5.470105557748249</v>
      </c>
      <c r="BX97" s="4">
        <f t="shared" si="120"/>
        <v>34.49611627664593</v>
      </c>
      <c r="BY97" s="4">
        <f t="shared" si="121"/>
        <v>8.564017705050222</v>
      </c>
      <c r="BZ97" s="4">
        <f t="shared" si="122"/>
        <v>13.608280629578532</v>
      </c>
      <c r="CB97" s="4">
        <f t="shared" si="123"/>
        <v>22.172298334628756</v>
      </c>
      <c r="CD97" s="4">
        <f t="shared" si="87"/>
        <v>2.0637585208285234</v>
      </c>
      <c r="CE97" s="4">
        <f t="shared" si="88"/>
        <v>-0.329818355529234</v>
      </c>
      <c r="CF97" s="4">
        <f t="shared" si="89"/>
        <v>-0.7367145919541596</v>
      </c>
      <c r="CG97" s="4">
        <f t="shared" si="90"/>
        <v>-10.959046434635034</v>
      </c>
      <c r="CH97" s="4">
        <f t="shared" si="91"/>
        <v>6.575278874287589</v>
      </c>
      <c r="CI97" s="4">
        <f t="shared" si="92"/>
        <v>3.386541987002305</v>
      </c>
      <c r="CK97" s="4">
        <f t="shared" si="93"/>
        <v>9.961820861289894</v>
      </c>
      <c r="CL97" s="4">
        <f t="shared" si="94"/>
        <v>0</v>
      </c>
      <c r="CM97" s="4">
        <f t="shared" si="124"/>
        <v>62.138520169022925</v>
      </c>
    </row>
    <row r="98" spans="1:91" ht="15">
      <c r="A98" s="22" t="s">
        <v>53</v>
      </c>
      <c r="B98" s="47">
        <v>7</v>
      </c>
      <c r="C98" s="23">
        <v>1435365.45</v>
      </c>
      <c r="D98" s="6">
        <v>0</v>
      </c>
      <c r="E98" s="24">
        <f t="shared" si="127"/>
        <v>0</v>
      </c>
      <c r="F98" s="25"/>
      <c r="G98" s="24">
        <f t="shared" si="108"/>
        <v>0</v>
      </c>
      <c r="H98" s="6">
        <v>0</v>
      </c>
      <c r="I98" s="6">
        <f t="shared" si="86"/>
        <v>0</v>
      </c>
      <c r="J98" s="6">
        <f t="shared" si="109"/>
        <v>0</v>
      </c>
      <c r="K98" s="6">
        <f t="shared" si="125"/>
        <v>0</v>
      </c>
      <c r="L98" s="24">
        <f t="shared" si="110"/>
        <v>0</v>
      </c>
      <c r="M98" s="24">
        <v>1550808</v>
      </c>
      <c r="N98" s="6">
        <f t="shared" si="111"/>
        <v>0</v>
      </c>
      <c r="O98" s="6">
        <f t="shared" si="112"/>
        <v>0</v>
      </c>
      <c r="P98" s="24">
        <f t="shared" si="113"/>
        <v>0</v>
      </c>
      <c r="Q98" s="24"/>
      <c r="R98" s="24">
        <f t="shared" si="114"/>
        <v>2222942.7374808216</v>
      </c>
      <c r="S98" s="24">
        <f t="shared" si="115"/>
        <v>2253845.6196789364</v>
      </c>
      <c r="T98" s="24">
        <f t="shared" si="116"/>
        <v>2492141.6670293496</v>
      </c>
      <c r="U98" s="24">
        <f t="shared" si="95"/>
        <v>2581784.0999808214</v>
      </c>
      <c r="V98" s="24">
        <f t="shared" si="96"/>
        <v>2612686.9821789362</v>
      </c>
      <c r="W98" s="24">
        <f t="shared" si="97"/>
        <v>2850983.0295293494</v>
      </c>
      <c r="X98" s="22"/>
      <c r="Y98" s="3">
        <v>725660</v>
      </c>
      <c r="Z98" s="4">
        <v>0</v>
      </c>
      <c r="AA98" s="3">
        <v>686660</v>
      </c>
      <c r="AB98" s="4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1">
        <f>22621/1000</f>
        <v>22.621</v>
      </c>
      <c r="AP98" s="1">
        <f>30584/1000</f>
        <v>30.584</v>
      </c>
      <c r="AQ98" s="1">
        <v>0</v>
      </c>
      <c r="AR98" s="1">
        <v>0</v>
      </c>
      <c r="AS98" s="3">
        <v>118</v>
      </c>
      <c r="AT98" s="3">
        <v>1488</v>
      </c>
      <c r="AU98" s="1">
        <v>0</v>
      </c>
      <c r="AV98" s="1">
        <v>0</v>
      </c>
      <c r="AW98" s="3">
        <v>1611</v>
      </c>
      <c r="AX98" s="3">
        <v>10</v>
      </c>
      <c r="AY98" s="3">
        <v>8</v>
      </c>
      <c r="AZ98" s="3">
        <v>5</v>
      </c>
      <c r="BA98" s="3">
        <v>1</v>
      </c>
      <c r="BB98" s="3">
        <v>1</v>
      </c>
      <c r="BC98" s="3">
        <v>1</v>
      </c>
      <c r="BD98" s="3">
        <v>1</v>
      </c>
      <c r="BE98" s="3">
        <v>1</v>
      </c>
      <c r="BF98" s="3">
        <v>264873</v>
      </c>
      <c r="BH98" s="4">
        <f t="shared" si="98"/>
        <v>440616.92248082155</v>
      </c>
      <c r="BI98" s="4">
        <f t="shared" si="99"/>
        <v>1107582.58</v>
      </c>
      <c r="BJ98" s="4">
        <f t="shared" si="100"/>
        <v>0</v>
      </c>
      <c r="BK98" s="4">
        <f t="shared" si="101"/>
        <v>215320.63499999998</v>
      </c>
      <c r="BL98" s="4">
        <f t="shared" si="102"/>
        <v>218094.80000000002</v>
      </c>
      <c r="BM98" s="4">
        <f t="shared" si="103"/>
        <v>241327.80000000002</v>
      </c>
      <c r="BN98" s="4">
        <v>24.38343275477602</v>
      </c>
      <c r="BO98" s="8">
        <f t="shared" si="104"/>
        <v>0.030279109106287002</v>
      </c>
      <c r="BP98" s="4">
        <f t="shared" si="105"/>
        <v>2222942.7374808216</v>
      </c>
      <c r="BQ98" s="4">
        <f t="shared" si="106"/>
        <v>2253845.6196789364</v>
      </c>
      <c r="BR98" s="4">
        <f t="shared" si="107"/>
        <v>2492141.6670293496</v>
      </c>
      <c r="BS98" s="4">
        <v>1435145</v>
      </c>
      <c r="BT98" s="26"/>
      <c r="BU98" s="4">
        <f t="shared" si="117"/>
        <v>19.82133480325977</v>
      </c>
      <c r="BV98" s="4">
        <f t="shared" si="118"/>
        <v>49.82506122740626</v>
      </c>
      <c r="BW98" s="4">
        <f t="shared" si="119"/>
        <v>0</v>
      </c>
      <c r="BX98" s="4">
        <f t="shared" si="120"/>
        <v>9.686287971772717</v>
      </c>
      <c r="BY98" s="4">
        <f t="shared" si="121"/>
        <v>9.811084933620862</v>
      </c>
      <c r="BZ98" s="4">
        <f t="shared" si="122"/>
        <v>10.856231063940399</v>
      </c>
      <c r="CB98" s="4">
        <f t="shared" si="123"/>
        <v>20.66731599756126</v>
      </c>
      <c r="CD98" s="4">
        <f t="shared" si="87"/>
        <v>-7.520969887738602</v>
      </c>
      <c r="CE98" s="4">
        <f t="shared" si="88"/>
        <v>-22.53000614665107</v>
      </c>
      <c r="CF98" s="4">
        <f t="shared" si="89"/>
        <v>4.733390965794089</v>
      </c>
      <c r="CG98" s="4">
        <f t="shared" si="90"/>
        <v>13.850781870238176</v>
      </c>
      <c r="CH98" s="4">
        <f t="shared" si="91"/>
        <v>5.32821164571695</v>
      </c>
      <c r="CI98" s="4">
        <f t="shared" si="92"/>
        <v>6.138591552640438</v>
      </c>
      <c r="CK98" s="4">
        <f t="shared" si="93"/>
        <v>11.46680319835739</v>
      </c>
      <c r="CL98" s="4">
        <f t="shared" si="94"/>
        <v>0</v>
      </c>
      <c r="CM98" s="4">
        <f t="shared" si="124"/>
        <v>30.353603969333978</v>
      </c>
    </row>
    <row r="99" spans="1:91" ht="15">
      <c r="A99" s="22" t="s">
        <v>117</v>
      </c>
      <c r="B99" s="47">
        <v>3</v>
      </c>
      <c r="C99" s="24">
        <v>1303421.1265118737</v>
      </c>
      <c r="D99" s="6">
        <v>0.4607618094393976</v>
      </c>
      <c r="E99" s="24">
        <f t="shared" si="127"/>
        <v>600566.6767131488</v>
      </c>
      <c r="F99" s="25"/>
      <c r="G99" s="24">
        <f t="shared" si="108"/>
        <v>0</v>
      </c>
      <c r="H99" s="14">
        <v>0.31174473610760134</v>
      </c>
      <c r="I99" s="6">
        <f aca="true" t="shared" si="128" ref="I99:I126">IF(CK99&lt;$CB$131,CK99-$CB$131,0)/100</f>
        <v>-0.027027486791306236</v>
      </c>
      <c r="J99" s="6">
        <f t="shared" si="109"/>
        <v>-0.014199565872982513</v>
      </c>
      <c r="K99" s="6">
        <f t="shared" si="125"/>
        <v>0.29754517023461885</v>
      </c>
      <c r="L99" s="24">
        <f t="shared" si="110"/>
        <v>387826.6609753741</v>
      </c>
      <c r="M99" s="24">
        <f t="shared" si="126"/>
        <v>702854.4497987248</v>
      </c>
      <c r="N99" s="6">
        <f t="shared" si="111"/>
        <v>0.07438629255865471</v>
      </c>
      <c r="O99" s="6">
        <f t="shared" si="112"/>
        <v>0.05</v>
      </c>
      <c r="P99" s="24">
        <f t="shared" si="113"/>
        <v>65171.05632559369</v>
      </c>
      <c r="Q99" s="24"/>
      <c r="R99" s="24">
        <f t="shared" si="114"/>
        <v>1095024.3269272079</v>
      </c>
      <c r="S99" s="24">
        <f t="shared" si="115"/>
        <v>1228178.9091358068</v>
      </c>
      <c r="T99" s="24">
        <f t="shared" si="116"/>
        <v>1077373.430706136</v>
      </c>
      <c r="U99" s="24">
        <f t="shared" si="95"/>
        <v>1420879.6085551763</v>
      </c>
      <c r="V99" s="24">
        <f t="shared" si="96"/>
        <v>1554034.1907637753</v>
      </c>
      <c r="W99" s="24">
        <f t="shared" si="97"/>
        <v>1403228.7123341043</v>
      </c>
      <c r="X99" s="22"/>
      <c r="Y99" s="3">
        <v>273667</v>
      </c>
      <c r="Z99" s="4">
        <v>0</v>
      </c>
      <c r="AA99" s="3">
        <v>0</v>
      </c>
      <c r="AB99" s="4">
        <v>0</v>
      </c>
      <c r="AC99" s="4">
        <v>0</v>
      </c>
      <c r="AD99" s="4">
        <v>0</v>
      </c>
      <c r="AE99" s="4">
        <v>1</v>
      </c>
      <c r="AF99" s="4">
        <v>50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46</v>
      </c>
      <c r="AP99" s="1">
        <v>42</v>
      </c>
      <c r="AQ99" s="1">
        <v>0</v>
      </c>
      <c r="AR99" s="4">
        <v>0</v>
      </c>
      <c r="AS99" s="4">
        <v>174</v>
      </c>
      <c r="AT99" s="4">
        <v>1588</v>
      </c>
      <c r="AU99" s="4">
        <v>0</v>
      </c>
      <c r="AV99" s="4">
        <v>0</v>
      </c>
      <c r="AW99" s="4">
        <v>1773</v>
      </c>
      <c r="AX99" s="4">
        <v>8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151718</v>
      </c>
      <c r="BH99" s="4">
        <f t="shared" si="98"/>
        <v>177544.32692720802</v>
      </c>
      <c r="BI99" s="4">
        <f t="shared" si="99"/>
        <v>0</v>
      </c>
      <c r="BJ99" s="4">
        <f t="shared" si="100"/>
        <v>56469</v>
      </c>
      <c r="BK99" s="4">
        <f t="shared" si="101"/>
        <v>356136</v>
      </c>
      <c r="BL99" s="4">
        <f t="shared" si="102"/>
        <v>239279.6</v>
      </c>
      <c r="BM99" s="4">
        <f t="shared" si="103"/>
        <v>265595.4</v>
      </c>
      <c r="BN99" s="4">
        <v>30.366647593231995</v>
      </c>
      <c r="BO99" s="8">
        <f t="shared" si="104"/>
        <v>0.020147727272727272</v>
      </c>
      <c r="BP99" s="4">
        <f t="shared" si="105"/>
        <v>1095024.3269272079</v>
      </c>
      <c r="BQ99" s="4">
        <f t="shared" si="106"/>
        <v>1228178.9091358068</v>
      </c>
      <c r="BR99" s="4">
        <f t="shared" si="107"/>
        <v>1077373.430706136</v>
      </c>
      <c r="BS99" s="4">
        <v>1220765</v>
      </c>
      <c r="BT99" s="26"/>
      <c r="BU99" s="4">
        <f t="shared" si="117"/>
        <v>16.213733572972057</v>
      </c>
      <c r="BV99" s="4">
        <f t="shared" si="118"/>
        <v>0</v>
      </c>
      <c r="BW99" s="4">
        <f t="shared" si="119"/>
        <v>5.156871734389678</v>
      </c>
      <c r="BX99" s="4">
        <f t="shared" si="120"/>
        <v>32.5231130708637</v>
      </c>
      <c r="BY99" s="4">
        <f t="shared" si="121"/>
        <v>21.851532803061296</v>
      </c>
      <c r="BZ99" s="4">
        <f t="shared" si="122"/>
        <v>24.25474881871328</v>
      </c>
      <c r="CB99" s="4">
        <f t="shared" si="123"/>
        <v>46.10628162177458</v>
      </c>
      <c r="CD99" s="4">
        <f aca="true" t="shared" si="129" ref="CD99:CD126">BU$128-BU99</f>
        <v>-3.9133686574508886</v>
      </c>
      <c r="CE99" s="4">
        <f aca="true" t="shared" si="130" ref="CE99:CE126">BV$128-BV99</f>
        <v>27.29505508075519</v>
      </c>
      <c r="CF99" s="4">
        <f aca="true" t="shared" si="131" ref="CF99:CF126">BW$128-BW99</f>
        <v>-0.4234807685955886</v>
      </c>
      <c r="CG99" s="4">
        <f aca="true" t="shared" si="132" ref="CG99:CG126">BX$128-BX99</f>
        <v>-8.986043228852807</v>
      </c>
      <c r="CH99" s="4">
        <f aca="true" t="shared" si="133" ref="CH99:CH126">BY$128-BY99</f>
        <v>-6.712236223723485</v>
      </c>
      <c r="CI99" s="4">
        <f aca="true" t="shared" si="134" ref="CI99:CI126">BZ$128-BZ99</f>
        <v>-7.259926202132444</v>
      </c>
      <c r="CK99" s="4">
        <f aca="true" t="shared" si="135" ref="CK99:CK126">$CB$128-CB99</f>
        <v>-13.972162425855927</v>
      </c>
      <c r="CL99" s="4">
        <f aca="true" t="shared" si="136" ref="CL99:CL126">IF(CK99&lt;$CB$131,(CK99-$CB$131)*0.7005*0.75,0)</f>
        <v>-1.4199565872982514</v>
      </c>
      <c r="CM99" s="4">
        <f t="shared" si="124"/>
        <v>83.78626642702795</v>
      </c>
    </row>
    <row r="100" spans="1:91" ht="15">
      <c r="A100" s="22" t="s">
        <v>204</v>
      </c>
      <c r="B100" s="47">
        <v>10</v>
      </c>
      <c r="C100" s="24">
        <v>3658206.863726138</v>
      </c>
      <c r="D100" s="6">
        <v>0</v>
      </c>
      <c r="E100" s="24">
        <f t="shared" si="127"/>
        <v>0</v>
      </c>
      <c r="F100" s="25"/>
      <c r="G100" s="24">
        <f t="shared" si="108"/>
        <v>0</v>
      </c>
      <c r="H100" s="14">
        <v>0</v>
      </c>
      <c r="I100" s="6">
        <f t="shared" si="128"/>
        <v>0</v>
      </c>
      <c r="J100" s="6">
        <f>CL100/100</f>
        <v>0</v>
      </c>
      <c r="K100" s="6">
        <f>IF(J100&lt;0,H100+J100,0)</f>
        <v>0</v>
      </c>
      <c r="L100" s="24">
        <f>IF(J100&lt;0,(H100+J100)*C100,H100*C100)</f>
        <v>0</v>
      </c>
      <c r="M100" s="4">
        <v>5241529</v>
      </c>
      <c r="N100" s="6">
        <f>IF(J100&lt;0,(H100+J100)/4,H100/4)</f>
        <v>0</v>
      </c>
      <c r="O100" s="6">
        <f>IF(N100&gt;0.05,0.05,IF(N100&gt;0.01,N100,0))</f>
        <v>0</v>
      </c>
      <c r="P100" s="24">
        <f>C100*O100</f>
        <v>0</v>
      </c>
      <c r="Q100" s="24"/>
      <c r="R100" s="24">
        <f>BP100</f>
        <v>6290786.370223484</v>
      </c>
      <c r="S100" s="24">
        <f>BQ100</f>
        <v>7491366.610550274</v>
      </c>
      <c r="T100" s="24">
        <f>BR100</f>
        <v>8423112.915210232</v>
      </c>
      <c r="U100" s="24">
        <f t="shared" si="95"/>
        <v>7205338.086155019</v>
      </c>
      <c r="V100" s="24">
        <f t="shared" si="96"/>
        <v>8405918.326481808</v>
      </c>
      <c r="W100" s="24">
        <f t="shared" si="97"/>
        <v>9337664.631141767</v>
      </c>
      <c r="X100" s="22"/>
      <c r="Y100" s="3">
        <v>752791</v>
      </c>
      <c r="Z100" s="4">
        <v>0</v>
      </c>
      <c r="AA100" s="3">
        <v>717335</v>
      </c>
      <c r="AB100" s="4">
        <v>0</v>
      </c>
      <c r="AC100" s="4">
        <v>2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f>3.6+3</f>
        <v>6.6</v>
      </c>
      <c r="AP100" s="1">
        <f>4.5+66</f>
        <v>70.5</v>
      </c>
      <c r="AQ100" s="1">
        <f>20.9+9</f>
        <v>29.9</v>
      </c>
      <c r="AR100" s="4">
        <f>3.3</f>
        <v>3.3</v>
      </c>
      <c r="AS100" s="4">
        <v>51</v>
      </c>
      <c r="AT100" s="3">
        <v>5063</v>
      </c>
      <c r="AU100" s="4">
        <v>0</v>
      </c>
      <c r="AV100" s="4">
        <v>0</v>
      </c>
      <c r="AW100" s="4">
        <v>5114</v>
      </c>
      <c r="AX100" s="4">
        <v>15</v>
      </c>
      <c r="AY100" s="4">
        <v>12</v>
      </c>
      <c r="AZ100" s="4">
        <v>7</v>
      </c>
      <c r="BA100" s="4">
        <v>8</v>
      </c>
      <c r="BB100" s="4">
        <v>5</v>
      </c>
      <c r="BC100" s="4">
        <v>3</v>
      </c>
      <c r="BD100" s="4">
        <v>4</v>
      </c>
      <c r="BE100" s="4">
        <v>17</v>
      </c>
      <c r="BF100" s="4">
        <v>185738</v>
      </c>
      <c r="BH100" s="4">
        <f t="shared" si="98"/>
        <v>455952.9152234847</v>
      </c>
      <c r="BI100" s="4">
        <f t="shared" si="99"/>
        <v>1157061.355</v>
      </c>
      <c r="BJ100" s="4">
        <f t="shared" si="100"/>
        <v>70906</v>
      </c>
      <c r="BK100" s="4">
        <f t="shared" si="101"/>
        <v>3146307.6999999993</v>
      </c>
      <c r="BL100" s="4">
        <f t="shared" si="102"/>
        <v>694481.2000000001</v>
      </c>
      <c r="BM100" s="4">
        <f t="shared" si="103"/>
        <v>766077.2000000001</v>
      </c>
      <c r="BN100" s="4">
        <v>34.2137446</v>
      </c>
      <c r="BO100" s="8">
        <f t="shared" si="104"/>
        <v>0.04636446056210335</v>
      </c>
      <c r="BP100" s="4">
        <f>SUM(BG100:BM100)</f>
        <v>6290786.370223484</v>
      </c>
      <c r="BQ100" s="4">
        <f>(0.575+0.018*BN100)*BP100</f>
        <v>7491366.610550274</v>
      </c>
      <c r="BR100" s="4">
        <f>(0.711+13.544*BO100)*BP100</f>
        <v>8423112.915210232</v>
      </c>
      <c r="BS100" s="4">
        <v>4454635</v>
      </c>
      <c r="BT100" s="26"/>
      <c r="BU100" s="4">
        <f aca="true" t="shared" si="137" ref="BU100:BZ100">(BH100/(SUM($BH100:$BM100)))*100</f>
        <v>7.247947846101896</v>
      </c>
      <c r="BV100" s="4">
        <f t="shared" si="137"/>
        <v>18.392952596145697</v>
      </c>
      <c r="BW100" s="4">
        <f t="shared" si="137"/>
        <v>1.1271404849419648</v>
      </c>
      <c r="BX100" s="4">
        <f t="shared" si="137"/>
        <v>50.01453736996358</v>
      </c>
      <c r="BY100" s="4">
        <f t="shared" si="137"/>
        <v>11.039656397922288</v>
      </c>
      <c r="BZ100" s="4">
        <f t="shared" si="137"/>
        <v>12.177765304924584</v>
      </c>
      <c r="CB100" s="4">
        <f t="shared" si="123"/>
        <v>23.21742170284687</v>
      </c>
      <c r="CD100" s="4">
        <f t="shared" si="129"/>
        <v>5.052417069419272</v>
      </c>
      <c r="CE100" s="4">
        <f t="shared" si="130"/>
        <v>8.902102484609493</v>
      </c>
      <c r="CF100" s="4">
        <f t="shared" si="131"/>
        <v>3.6062504808521245</v>
      </c>
      <c r="CG100" s="4">
        <f t="shared" si="132"/>
        <v>-26.477467527952683</v>
      </c>
      <c r="CH100" s="4">
        <f t="shared" si="133"/>
        <v>4.099640181415523</v>
      </c>
      <c r="CI100" s="4">
        <f t="shared" si="134"/>
        <v>4.817057311656253</v>
      </c>
      <c r="CK100" s="4">
        <f t="shared" si="135"/>
        <v>8.91669749307178</v>
      </c>
      <c r="CL100" s="4">
        <f t="shared" si="136"/>
        <v>0</v>
      </c>
      <c r="CM100" s="4">
        <f>SUM(BW100:BZ100)</f>
        <v>74.35909955775242</v>
      </c>
    </row>
    <row r="101" spans="1:91" ht="15">
      <c r="A101" s="22" t="s">
        <v>146</v>
      </c>
      <c r="B101" s="47">
        <v>5</v>
      </c>
      <c r="C101" s="23">
        <v>796766</v>
      </c>
      <c r="D101" s="6">
        <v>0.314413089010511</v>
      </c>
      <c r="E101" s="24">
        <f t="shared" si="127"/>
        <v>250513.65927854882</v>
      </c>
      <c r="F101" s="25"/>
      <c r="G101" s="24">
        <f t="shared" si="108"/>
        <v>0</v>
      </c>
      <c r="H101" s="6">
        <v>0.15884286946354165</v>
      </c>
      <c r="I101" s="6">
        <f t="shared" si="128"/>
        <v>0</v>
      </c>
      <c r="J101" s="6">
        <f t="shared" si="109"/>
        <v>0</v>
      </c>
      <c r="K101" s="6">
        <f t="shared" si="125"/>
        <v>0</v>
      </c>
      <c r="L101" s="24">
        <f t="shared" si="110"/>
        <v>126560.59773098823</v>
      </c>
      <c r="M101" s="24">
        <f t="shared" si="126"/>
        <v>546252.3407214512</v>
      </c>
      <c r="N101" s="6">
        <f t="shared" si="111"/>
        <v>0.03971071736588541</v>
      </c>
      <c r="O101" s="6">
        <f t="shared" si="112"/>
        <v>0.03971071736588541</v>
      </c>
      <c r="P101" s="24">
        <f t="shared" si="113"/>
        <v>31640.149432747057</v>
      </c>
      <c r="Q101" s="24"/>
      <c r="R101" s="24">
        <f t="shared" si="114"/>
        <v>877825.3716133931</v>
      </c>
      <c r="S101" s="24">
        <f t="shared" si="115"/>
        <v>504749.58867770096</v>
      </c>
      <c r="T101" s="24">
        <f t="shared" si="116"/>
        <v>877825.3716133931</v>
      </c>
      <c r="U101" s="24">
        <f t="shared" si="95"/>
        <v>1077016.871613393</v>
      </c>
      <c r="V101" s="24">
        <f t="shared" si="96"/>
        <v>703941.088677701</v>
      </c>
      <c r="W101" s="24">
        <f t="shared" si="97"/>
        <v>1077016.871613393</v>
      </c>
      <c r="X101" s="22"/>
      <c r="Y101" s="3">
        <v>386024</v>
      </c>
      <c r="Z101" s="4">
        <v>0</v>
      </c>
      <c r="AA101" s="3">
        <v>264761</v>
      </c>
      <c r="AB101" s="3">
        <v>115862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1">
        <v>0</v>
      </c>
      <c r="AQ101" s="1">
        <v>0</v>
      </c>
      <c r="AR101" s="4">
        <v>0</v>
      </c>
      <c r="AS101" s="4">
        <v>2</v>
      </c>
      <c r="AT101" s="4">
        <v>0</v>
      </c>
      <c r="AU101" s="4">
        <v>0</v>
      </c>
      <c r="AV101" s="4">
        <v>0</v>
      </c>
      <c r="AW101" s="4">
        <v>2</v>
      </c>
      <c r="AX101" s="4">
        <v>18</v>
      </c>
      <c r="AY101" s="4">
        <v>17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176106</v>
      </c>
      <c r="BH101" s="4">
        <f t="shared" si="98"/>
        <v>244655.4906133931</v>
      </c>
      <c r="BI101" s="4">
        <f t="shared" si="99"/>
        <v>632598.681</v>
      </c>
      <c r="BJ101" s="4">
        <f t="shared" si="100"/>
        <v>0</v>
      </c>
      <c r="BK101" s="4">
        <f t="shared" si="101"/>
        <v>0</v>
      </c>
      <c r="BL101" s="4">
        <f t="shared" si="102"/>
        <v>271.6</v>
      </c>
      <c r="BM101" s="4">
        <f t="shared" si="103"/>
        <v>299.6</v>
      </c>
      <c r="BN101" s="4">
        <v>0</v>
      </c>
      <c r="BO101" s="8" t="e">
        <f t="shared" si="104"/>
        <v>#DIV/0!</v>
      </c>
      <c r="BP101" s="4">
        <f t="shared" si="105"/>
        <v>877825.3716133931</v>
      </c>
      <c r="BQ101" s="4">
        <f t="shared" si="106"/>
        <v>504749.58867770096</v>
      </c>
      <c r="BR101" s="4">
        <f>BP101</f>
        <v>877825.3716133931</v>
      </c>
      <c r="BS101" s="4">
        <v>1055188</v>
      </c>
      <c r="BT101" s="26"/>
      <c r="BU101" s="4">
        <f t="shared" si="117"/>
        <v>27.870633331516746</v>
      </c>
      <c r="BV101" s="4">
        <f t="shared" si="118"/>
        <v>72.06429677890486</v>
      </c>
      <c r="BW101" s="4">
        <f t="shared" si="119"/>
        <v>0</v>
      </c>
      <c r="BX101" s="4">
        <f t="shared" si="120"/>
        <v>0</v>
      </c>
      <c r="BY101" s="4">
        <f t="shared" si="121"/>
        <v>0.030940094554434524</v>
      </c>
      <c r="BZ101" s="4">
        <f t="shared" si="122"/>
        <v>0.03412979502396385</v>
      </c>
      <c r="CB101" s="4">
        <f t="shared" si="123"/>
        <v>0.06506988957839838</v>
      </c>
      <c r="CD101" s="4">
        <f t="shared" si="129"/>
        <v>-15.570268415995578</v>
      </c>
      <c r="CE101" s="4">
        <f t="shared" si="130"/>
        <v>-44.76924169814967</v>
      </c>
      <c r="CF101" s="4">
        <f t="shared" si="131"/>
        <v>4.733390965794089</v>
      </c>
      <c r="CG101" s="4">
        <f t="shared" si="132"/>
        <v>23.537069842010894</v>
      </c>
      <c r="CH101" s="4">
        <f t="shared" si="133"/>
        <v>15.108356484783377</v>
      </c>
      <c r="CI101" s="4">
        <f t="shared" si="134"/>
        <v>16.960692821556872</v>
      </c>
      <c r="CK101" s="4">
        <f t="shared" si="135"/>
        <v>32.069049306340254</v>
      </c>
      <c r="CL101" s="4">
        <f t="shared" si="136"/>
        <v>0</v>
      </c>
      <c r="CM101" s="4">
        <f t="shared" si="124"/>
        <v>0.06506988957839838</v>
      </c>
    </row>
    <row r="102" spans="1:91" ht="15">
      <c r="A102" s="22" t="s">
        <v>162</v>
      </c>
      <c r="B102" s="47">
        <v>5</v>
      </c>
      <c r="C102" s="23">
        <v>1451605</v>
      </c>
      <c r="D102" s="6">
        <v>0.29922656580496787</v>
      </c>
      <c r="E102" s="24">
        <f t="shared" si="127"/>
        <v>434358.77905532037</v>
      </c>
      <c r="F102" s="25"/>
      <c r="G102" s="24">
        <f t="shared" si="108"/>
        <v>0</v>
      </c>
      <c r="H102" s="6">
        <v>0.14365684393209055</v>
      </c>
      <c r="I102" s="6">
        <f t="shared" si="128"/>
        <v>-0.05724170956530651</v>
      </c>
      <c r="J102" s="6">
        <f t="shared" si="109"/>
        <v>-0.030073363162872905</v>
      </c>
      <c r="K102" s="6">
        <f t="shared" si="125"/>
        <v>0.11358348076921765</v>
      </c>
      <c r="L102" s="24">
        <f t="shared" si="110"/>
        <v>164878.3486020002</v>
      </c>
      <c r="M102" s="24">
        <f t="shared" si="126"/>
        <v>1017246.2209446796</v>
      </c>
      <c r="N102" s="6">
        <f t="shared" si="111"/>
        <v>0.028395870192304412</v>
      </c>
      <c r="O102" s="6">
        <f t="shared" si="112"/>
        <v>0.028395870192304412</v>
      </c>
      <c r="P102" s="24">
        <f t="shared" si="113"/>
        <v>41219.58715050005</v>
      </c>
      <c r="Q102" s="24"/>
      <c r="R102" s="24">
        <f t="shared" si="114"/>
        <v>1331273.29</v>
      </c>
      <c r="S102" s="24">
        <f t="shared" si="115"/>
        <v>1437746.7652842766</v>
      </c>
      <c r="T102" s="24">
        <f t="shared" si="116"/>
        <v>1634709.5234741736</v>
      </c>
      <c r="U102" s="24">
        <f t="shared" si="95"/>
        <v>1694174.54</v>
      </c>
      <c r="V102" s="24">
        <f t="shared" si="96"/>
        <v>1800648.0152842766</v>
      </c>
      <c r="W102" s="24">
        <f t="shared" si="97"/>
        <v>1997610.7734741736</v>
      </c>
      <c r="X102" s="22"/>
      <c r="Z102" s="4">
        <v>0</v>
      </c>
      <c r="AA102" s="3">
        <v>269330</v>
      </c>
      <c r="AB102" s="4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4">
        <v>6</v>
      </c>
      <c r="AP102" s="1">
        <v>54</v>
      </c>
      <c r="AQ102" s="1">
        <v>0</v>
      </c>
      <c r="AR102" s="4">
        <v>0</v>
      </c>
      <c r="AS102" s="3">
        <v>7</v>
      </c>
      <c r="AT102" s="3">
        <v>2283</v>
      </c>
      <c r="AU102" s="1">
        <v>0</v>
      </c>
      <c r="AV102" s="1">
        <v>0</v>
      </c>
      <c r="AW102" s="3">
        <v>2290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12666</v>
      </c>
      <c r="BH102" s="4">
        <f t="shared" si="98"/>
        <v>0</v>
      </c>
      <c r="BI102" s="4">
        <f t="shared" si="99"/>
        <v>434429.29</v>
      </c>
      <c r="BJ102" s="4">
        <f t="shared" si="100"/>
        <v>0</v>
      </c>
      <c r="BK102" s="4">
        <f t="shared" si="101"/>
        <v>242820</v>
      </c>
      <c r="BL102" s="4">
        <f t="shared" si="102"/>
        <v>310982</v>
      </c>
      <c r="BM102" s="4">
        <f t="shared" si="103"/>
        <v>343042</v>
      </c>
      <c r="BN102" s="4">
        <v>28.054370895395305</v>
      </c>
      <c r="BO102" s="8">
        <f t="shared" si="104"/>
        <v>0.03816666666666667</v>
      </c>
      <c r="BP102" s="4">
        <f t="shared" si="105"/>
        <v>1331273.29</v>
      </c>
      <c r="BQ102" s="4">
        <f t="shared" si="106"/>
        <v>1437746.7652842766</v>
      </c>
      <c r="BR102" s="4">
        <f t="shared" si="107"/>
        <v>1634709.5234741736</v>
      </c>
      <c r="BS102" s="4">
        <v>1645479</v>
      </c>
      <c r="BT102" s="26"/>
      <c r="BU102" s="4">
        <f t="shared" si="117"/>
        <v>0</v>
      </c>
      <c r="BV102" s="4">
        <f t="shared" si="118"/>
        <v>32.6326152010456</v>
      </c>
      <c r="BW102" s="4">
        <f t="shared" si="119"/>
        <v>0</v>
      </c>
      <c r="BX102" s="4">
        <f t="shared" si="120"/>
        <v>18.23968089977979</v>
      </c>
      <c r="BY102" s="4">
        <f t="shared" si="121"/>
        <v>23.359741559901646</v>
      </c>
      <c r="BZ102" s="4">
        <f t="shared" si="122"/>
        <v>25.767962339272955</v>
      </c>
      <c r="CB102" s="4">
        <f t="shared" si="123"/>
        <v>49.127703899174605</v>
      </c>
      <c r="CD102" s="4">
        <f t="shared" si="129"/>
        <v>12.300364915521168</v>
      </c>
      <c r="CE102" s="4">
        <f t="shared" si="130"/>
        <v>-5.337560120290412</v>
      </c>
      <c r="CF102" s="4">
        <f t="shared" si="131"/>
        <v>4.733390965794089</v>
      </c>
      <c r="CG102" s="4">
        <f t="shared" si="132"/>
        <v>5.297388942231105</v>
      </c>
      <c r="CH102" s="4">
        <f t="shared" si="133"/>
        <v>-8.220444980563835</v>
      </c>
      <c r="CI102" s="4">
        <f t="shared" si="134"/>
        <v>-8.773139722692118</v>
      </c>
      <c r="CK102" s="4">
        <f t="shared" si="135"/>
        <v>-16.993584703255955</v>
      </c>
      <c r="CL102" s="4">
        <f t="shared" si="136"/>
        <v>-3.0073363162872906</v>
      </c>
      <c r="CM102" s="4">
        <f t="shared" si="124"/>
        <v>67.36738479895439</v>
      </c>
    </row>
    <row r="103" spans="1:91" ht="15">
      <c r="A103" s="22" t="s">
        <v>138</v>
      </c>
      <c r="B103" s="47">
        <v>3</v>
      </c>
      <c r="C103" s="24">
        <v>1049470.5892678853</v>
      </c>
      <c r="D103" s="6">
        <v>0</v>
      </c>
      <c r="E103" s="24">
        <f t="shared" si="127"/>
        <v>0</v>
      </c>
      <c r="F103" s="25"/>
      <c r="G103" s="24">
        <f t="shared" si="108"/>
        <v>0</v>
      </c>
      <c r="H103" s="6">
        <v>0</v>
      </c>
      <c r="I103" s="6">
        <f t="shared" si="128"/>
        <v>0</v>
      </c>
      <c r="J103" s="6">
        <f t="shared" si="109"/>
        <v>0</v>
      </c>
      <c r="K103" s="6">
        <f t="shared" si="125"/>
        <v>0</v>
      </c>
      <c r="L103" s="24">
        <f t="shared" si="110"/>
        <v>0</v>
      </c>
      <c r="M103" s="4">
        <v>1216290</v>
      </c>
      <c r="N103" s="6">
        <f t="shared" si="111"/>
        <v>0</v>
      </c>
      <c r="O103" s="6">
        <f t="shared" si="112"/>
        <v>0</v>
      </c>
      <c r="P103" s="24">
        <f t="shared" si="113"/>
        <v>0</v>
      </c>
      <c r="Q103" s="24"/>
      <c r="R103" s="24">
        <f t="shared" si="114"/>
        <v>1442708.458760835</v>
      </c>
      <c r="S103" s="24">
        <f t="shared" si="115"/>
        <v>1679616.943191734</v>
      </c>
      <c r="T103" s="24">
        <f t="shared" si="116"/>
        <v>1954573.4029949605</v>
      </c>
      <c r="U103" s="24">
        <f t="shared" si="95"/>
        <v>1705076.1060778063</v>
      </c>
      <c r="V103" s="24">
        <f t="shared" si="96"/>
        <v>1941984.5905087052</v>
      </c>
      <c r="W103" s="24">
        <f t="shared" si="97"/>
        <v>2216941.050311932</v>
      </c>
      <c r="X103" s="22"/>
      <c r="Y103" s="3">
        <v>259761</v>
      </c>
      <c r="Z103" s="4">
        <v>0</v>
      </c>
      <c r="AA103" s="4">
        <v>249656</v>
      </c>
      <c r="AB103" s="4">
        <v>0</v>
      </c>
      <c r="AC103" s="4">
        <v>2</v>
      </c>
      <c r="AD103" s="4">
        <v>48</v>
      </c>
      <c r="AE103" s="4">
        <v>1</v>
      </c>
      <c r="AF103" s="4">
        <v>60</v>
      </c>
      <c r="AG103" s="4">
        <v>1</v>
      </c>
      <c r="AH103" s="4">
        <v>120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1">
        <f>33976/1000</f>
        <v>33.976</v>
      </c>
      <c r="AQ103" s="1">
        <v>0</v>
      </c>
      <c r="AR103" s="4">
        <v>0</v>
      </c>
      <c r="AS103" s="4">
        <v>0</v>
      </c>
      <c r="AT103" s="4">
        <v>1615</v>
      </c>
      <c r="AU103" s="4">
        <v>0</v>
      </c>
      <c r="AV103" s="4">
        <v>0</v>
      </c>
      <c r="AW103" s="4">
        <v>1615</v>
      </c>
      <c r="AX103" s="4">
        <v>10</v>
      </c>
      <c r="AY103" s="4">
        <v>0</v>
      </c>
      <c r="AZ103" s="4">
        <v>4</v>
      </c>
      <c r="BA103" s="4">
        <v>0</v>
      </c>
      <c r="BB103" s="4">
        <v>1</v>
      </c>
      <c r="BC103" s="4">
        <v>2</v>
      </c>
      <c r="BD103" s="4">
        <v>2</v>
      </c>
      <c r="BE103" s="4">
        <v>1</v>
      </c>
      <c r="BF103" s="4">
        <v>170611</v>
      </c>
      <c r="BH103" s="4">
        <f t="shared" si="98"/>
        <v>169120.45876083503</v>
      </c>
      <c r="BI103" s="4">
        <f t="shared" si="99"/>
        <v>402695.128</v>
      </c>
      <c r="BJ103" s="4">
        <f t="shared" si="100"/>
        <v>272148</v>
      </c>
      <c r="BK103" s="4">
        <f t="shared" si="101"/>
        <v>137500.872</v>
      </c>
      <c r="BL103" s="4">
        <f t="shared" si="102"/>
        <v>219317.00000000003</v>
      </c>
      <c r="BM103" s="4">
        <f t="shared" si="103"/>
        <v>241927.00000000003</v>
      </c>
      <c r="BN103" s="4">
        <v>32.733940043359816</v>
      </c>
      <c r="BO103" s="8">
        <f t="shared" si="104"/>
        <v>0.04753355309630327</v>
      </c>
      <c r="BP103" s="4">
        <f t="shared" si="105"/>
        <v>1442708.458760835</v>
      </c>
      <c r="BQ103" s="4">
        <f t="shared" si="106"/>
        <v>1679616.943191734</v>
      </c>
      <c r="BR103" s="4">
        <f t="shared" si="107"/>
        <v>1954573.4029949605</v>
      </c>
      <c r="BS103" s="4">
        <v>1130257</v>
      </c>
      <c r="BT103" s="26"/>
      <c r="BU103" s="4">
        <f t="shared" si="117"/>
        <v>11.722427891363113</v>
      </c>
      <c r="BV103" s="4">
        <f t="shared" si="118"/>
        <v>27.912439658521254</v>
      </c>
      <c r="BW103" s="4">
        <f t="shared" si="119"/>
        <v>18.863686446654107</v>
      </c>
      <c r="BX103" s="4">
        <f t="shared" si="120"/>
        <v>9.530745533862168</v>
      </c>
      <c r="BY103" s="4">
        <f t="shared" si="121"/>
        <v>15.201754635054602</v>
      </c>
      <c r="BZ103" s="4">
        <f t="shared" si="122"/>
        <v>16.768945834544766</v>
      </c>
      <c r="CB103" s="4">
        <f t="shared" si="123"/>
        <v>31.970700469599368</v>
      </c>
      <c r="CD103" s="4">
        <f t="shared" si="129"/>
        <v>0.5779370241580555</v>
      </c>
      <c r="CE103" s="4">
        <f t="shared" si="130"/>
        <v>-0.6173845777660638</v>
      </c>
      <c r="CF103" s="4">
        <f t="shared" si="131"/>
        <v>-14.130295480860017</v>
      </c>
      <c r="CG103" s="4">
        <f t="shared" si="132"/>
        <v>14.006324308148725</v>
      </c>
      <c r="CH103" s="4">
        <f t="shared" si="133"/>
        <v>-0.06245805571679064</v>
      </c>
      <c r="CI103" s="4">
        <f t="shared" si="134"/>
        <v>0.22587678203607098</v>
      </c>
      <c r="CK103" s="4">
        <f t="shared" si="135"/>
        <v>0.16341872631928211</v>
      </c>
      <c r="CL103" s="4">
        <f t="shared" si="136"/>
        <v>0</v>
      </c>
      <c r="CM103" s="4">
        <f t="shared" si="124"/>
        <v>60.36513245011564</v>
      </c>
    </row>
    <row r="104" spans="1:91" ht="15">
      <c r="A104" s="22" t="s">
        <v>84</v>
      </c>
      <c r="B104" s="47">
        <v>7</v>
      </c>
      <c r="C104" s="23">
        <v>14109231</v>
      </c>
      <c r="D104" s="6">
        <v>0.29044101039711745</v>
      </c>
      <c r="E104" s="24">
        <f t="shared" si="127"/>
        <v>4097899.3075663317</v>
      </c>
      <c r="F104" s="25"/>
      <c r="G104" s="24">
        <f t="shared" si="108"/>
        <v>0</v>
      </c>
      <c r="H104" s="6">
        <v>0.1348711703272274</v>
      </c>
      <c r="I104" s="6">
        <f t="shared" si="128"/>
        <v>0</v>
      </c>
      <c r="J104" s="6">
        <f t="shared" si="109"/>
        <v>0</v>
      </c>
      <c r="K104" s="6">
        <f t="shared" si="125"/>
        <v>0</v>
      </c>
      <c r="L104" s="24">
        <f t="shared" si="110"/>
        <v>1902928.4973871969</v>
      </c>
      <c r="M104" s="24">
        <f t="shared" si="126"/>
        <v>10011331.692433668</v>
      </c>
      <c r="N104" s="6">
        <f t="shared" si="111"/>
        <v>0.03371779258180685</v>
      </c>
      <c r="O104" s="6">
        <f t="shared" si="112"/>
        <v>0.03371779258180685</v>
      </c>
      <c r="P104" s="24">
        <f t="shared" si="113"/>
        <v>475732.1243467992</v>
      </c>
      <c r="Q104" s="24"/>
      <c r="R104" s="24">
        <f t="shared" si="114"/>
        <v>14149099.026127908</v>
      </c>
      <c r="S104" s="24">
        <f t="shared" si="115"/>
        <v>14789204.131368302</v>
      </c>
      <c r="T104" s="24">
        <f t="shared" si="116"/>
        <v>16088164.486252718</v>
      </c>
      <c r="U104" s="24">
        <f t="shared" si="95"/>
        <v>17676406.77612791</v>
      </c>
      <c r="V104" s="24">
        <f t="shared" si="96"/>
        <v>18316511.8813683</v>
      </c>
      <c r="W104" s="24">
        <f t="shared" si="97"/>
        <v>19615472.236252718</v>
      </c>
      <c r="X104" s="22"/>
      <c r="Y104" s="3">
        <v>2369457</v>
      </c>
      <c r="Z104" s="4">
        <v>0</v>
      </c>
      <c r="AA104" s="4">
        <v>2330233</v>
      </c>
      <c r="AB104" s="3">
        <v>53152</v>
      </c>
      <c r="AC104" s="3">
        <v>3</v>
      </c>
      <c r="AD104" s="3">
        <v>49</v>
      </c>
      <c r="AE104" s="3">
        <v>2</v>
      </c>
      <c r="AF104" s="3">
        <v>122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4">
        <v>227</v>
      </c>
      <c r="AP104" s="1">
        <v>184</v>
      </c>
      <c r="AQ104" s="1">
        <v>36</v>
      </c>
      <c r="AR104" s="4">
        <v>0</v>
      </c>
      <c r="AS104" s="3">
        <v>4937</v>
      </c>
      <c r="AT104" s="3">
        <v>6515</v>
      </c>
      <c r="AU104" s="3">
        <v>816</v>
      </c>
      <c r="AV104" s="3">
        <v>0</v>
      </c>
      <c r="AW104" s="3">
        <v>14061</v>
      </c>
      <c r="AX104" s="3">
        <v>30</v>
      </c>
      <c r="AY104" s="3">
        <v>31</v>
      </c>
      <c r="AZ104" s="3">
        <v>21</v>
      </c>
      <c r="BA104" s="3">
        <v>5</v>
      </c>
      <c r="BB104" s="3">
        <v>6</v>
      </c>
      <c r="BC104" s="3">
        <v>4</v>
      </c>
      <c r="BD104" s="3">
        <v>6</v>
      </c>
      <c r="BE104" s="3">
        <v>7</v>
      </c>
      <c r="BF104" s="3">
        <v>1061958</v>
      </c>
      <c r="BH104" s="4">
        <f t="shared" si="98"/>
        <v>1327644.9491279058</v>
      </c>
      <c r="BI104" s="4">
        <f t="shared" si="99"/>
        <v>3852957.477</v>
      </c>
      <c r="BJ104" s="4">
        <f t="shared" si="100"/>
        <v>219297</v>
      </c>
      <c r="BK104" s="4">
        <f t="shared" si="101"/>
        <v>4736637</v>
      </c>
      <c r="BL104" s="4">
        <f t="shared" si="102"/>
        <v>1906224.8</v>
      </c>
      <c r="BM104" s="4">
        <f t="shared" si="103"/>
        <v>2106337.8000000003</v>
      </c>
      <c r="BN104" s="4">
        <v>26.124443915546877</v>
      </c>
      <c r="BO104" s="8">
        <f t="shared" si="104"/>
        <v>0.03145637583892617</v>
      </c>
      <c r="BP104" s="4">
        <f t="shared" si="105"/>
        <v>14149099.026127908</v>
      </c>
      <c r="BQ104" s="4">
        <f t="shared" si="106"/>
        <v>14789204.131368302</v>
      </c>
      <c r="BR104" s="4">
        <f t="shared" si="107"/>
        <v>16088164.486252718</v>
      </c>
      <c r="BS104" s="4">
        <v>15941748</v>
      </c>
      <c r="BT104" s="26"/>
      <c r="BU104" s="4">
        <f t="shared" si="117"/>
        <v>9.383247277273695</v>
      </c>
      <c r="BV104" s="4">
        <f t="shared" si="118"/>
        <v>27.23111535147983</v>
      </c>
      <c r="BW104" s="4">
        <f t="shared" si="119"/>
        <v>1.5499008070764317</v>
      </c>
      <c r="BX104" s="4">
        <f t="shared" si="120"/>
        <v>33.476597988700654</v>
      </c>
      <c r="BY104" s="4">
        <f t="shared" si="121"/>
        <v>13.472411186605882</v>
      </c>
      <c r="BZ104" s="4">
        <f t="shared" si="122"/>
        <v>14.886727388863488</v>
      </c>
      <c r="CB104" s="4">
        <f t="shared" si="123"/>
        <v>28.35913857546937</v>
      </c>
      <c r="CD104" s="4">
        <f t="shared" si="129"/>
        <v>2.9171176382474737</v>
      </c>
      <c r="CE104" s="4">
        <f t="shared" si="130"/>
        <v>0.0639397292753614</v>
      </c>
      <c r="CF104" s="4">
        <f t="shared" si="131"/>
        <v>3.1834901587176576</v>
      </c>
      <c r="CG104" s="4">
        <f t="shared" si="132"/>
        <v>-9.93952814668976</v>
      </c>
      <c r="CH104" s="4">
        <f t="shared" si="133"/>
        <v>1.6668853927319294</v>
      </c>
      <c r="CI104" s="4">
        <f t="shared" si="134"/>
        <v>2.1080952277173495</v>
      </c>
      <c r="CK104" s="4">
        <f t="shared" si="135"/>
        <v>3.7749806204492806</v>
      </c>
      <c r="CL104" s="4">
        <f t="shared" si="136"/>
        <v>0</v>
      </c>
      <c r="CM104" s="4">
        <f t="shared" si="124"/>
        <v>63.38563737124646</v>
      </c>
    </row>
    <row r="105" spans="1:91" ht="15">
      <c r="A105" s="22" t="s">
        <v>143</v>
      </c>
      <c r="B105" s="47">
        <v>7</v>
      </c>
      <c r="C105" s="23">
        <v>1659588</v>
      </c>
      <c r="D105" s="6">
        <v>0.323824271701851</v>
      </c>
      <c r="E105" s="24">
        <f t="shared" si="127"/>
        <v>537414.8754251315</v>
      </c>
      <c r="F105" s="25"/>
      <c r="G105" s="24">
        <f t="shared" si="108"/>
        <v>0</v>
      </c>
      <c r="H105" s="6">
        <v>0.17476700941963408</v>
      </c>
      <c r="I105" s="6">
        <f t="shared" si="128"/>
        <v>0</v>
      </c>
      <c r="J105" s="6">
        <f t="shared" si="109"/>
        <v>0</v>
      </c>
      <c r="K105" s="6">
        <f t="shared" si="125"/>
        <v>0</v>
      </c>
      <c r="L105" s="24">
        <f t="shared" si="110"/>
        <v>290041.2316287117</v>
      </c>
      <c r="M105" s="24">
        <f t="shared" si="126"/>
        <v>1122173.1245748685</v>
      </c>
      <c r="N105" s="6">
        <f t="shared" si="111"/>
        <v>0.04369175235490852</v>
      </c>
      <c r="O105" s="6">
        <f t="shared" si="112"/>
        <v>0.04369175235490852</v>
      </c>
      <c r="P105" s="24">
        <f t="shared" si="113"/>
        <v>72510.30790717792</v>
      </c>
      <c r="Q105" s="24"/>
      <c r="R105" s="24">
        <f t="shared" si="114"/>
        <v>1720021.7961058063</v>
      </c>
      <c r="S105" s="24">
        <f t="shared" si="115"/>
        <v>1948983.5277748092</v>
      </c>
      <c r="T105" s="24">
        <f t="shared" si="116"/>
        <v>1738614.8412281133</v>
      </c>
      <c r="U105" s="24">
        <f t="shared" si="95"/>
        <v>2134918.7961058063</v>
      </c>
      <c r="V105" s="24">
        <f t="shared" si="96"/>
        <v>2363880.527774809</v>
      </c>
      <c r="W105" s="24">
        <f t="shared" si="97"/>
        <v>2153511.8412281135</v>
      </c>
      <c r="X105" s="22"/>
      <c r="Y105" s="3">
        <v>442000</v>
      </c>
      <c r="Z105" s="4">
        <v>0</v>
      </c>
      <c r="AA105" s="3">
        <v>430000</v>
      </c>
      <c r="AB105" s="4">
        <v>0</v>
      </c>
      <c r="AC105" s="4">
        <v>1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f>28970/1000</f>
        <v>28.97</v>
      </c>
      <c r="AP105" s="1">
        <f>39832/1000</f>
        <v>39.832</v>
      </c>
      <c r="AQ105" s="1">
        <v>0</v>
      </c>
      <c r="AR105" s="4">
        <v>0</v>
      </c>
      <c r="AS105" s="4">
        <v>250</v>
      </c>
      <c r="AT105" s="4">
        <v>1273</v>
      </c>
      <c r="AU105" s="4">
        <v>0</v>
      </c>
      <c r="AV105" s="4">
        <v>0</v>
      </c>
      <c r="AW105" s="4">
        <v>1523</v>
      </c>
      <c r="AX105" s="4">
        <v>11</v>
      </c>
      <c r="AY105" s="4">
        <v>0</v>
      </c>
      <c r="AZ105" s="4">
        <v>6</v>
      </c>
      <c r="BA105" s="4">
        <v>1</v>
      </c>
      <c r="BB105" s="4">
        <v>1</v>
      </c>
      <c r="BC105" s="4">
        <v>2</v>
      </c>
      <c r="BD105" s="4">
        <v>1</v>
      </c>
      <c r="BE105" s="4">
        <v>0</v>
      </c>
      <c r="BF105" s="4">
        <v>136</v>
      </c>
      <c r="BH105" s="4">
        <f t="shared" si="98"/>
        <v>277568.3021058065</v>
      </c>
      <c r="BI105" s="4">
        <f t="shared" si="99"/>
        <v>693590</v>
      </c>
      <c r="BJ105" s="4">
        <f t="shared" si="100"/>
        <v>35453</v>
      </c>
      <c r="BK105" s="4">
        <f t="shared" si="101"/>
        <v>278441.69399999996</v>
      </c>
      <c r="BL105" s="4">
        <f t="shared" si="102"/>
        <v>206823.40000000002</v>
      </c>
      <c r="BM105" s="4">
        <f t="shared" si="103"/>
        <v>228145.40000000002</v>
      </c>
      <c r="BN105" s="4">
        <v>31.006422166257206</v>
      </c>
      <c r="BO105" s="8">
        <f t="shared" si="104"/>
        <v>0.02213598441905759</v>
      </c>
      <c r="BP105" s="4">
        <f t="shared" si="105"/>
        <v>1720021.7961058063</v>
      </c>
      <c r="BQ105" s="4">
        <f t="shared" si="106"/>
        <v>1948983.5277748092</v>
      </c>
      <c r="BR105" s="4">
        <f t="shared" si="107"/>
        <v>1738614.8412281133</v>
      </c>
      <c r="BS105" s="4">
        <v>1390411</v>
      </c>
      <c r="BT105" s="26"/>
      <c r="BU105" s="4">
        <f t="shared" si="117"/>
        <v>16.13748748616044</v>
      </c>
      <c r="BV105" s="4">
        <f t="shared" si="118"/>
        <v>40.32448900184368</v>
      </c>
      <c r="BW105" s="4">
        <f t="shared" si="119"/>
        <v>2.061194810453386</v>
      </c>
      <c r="BX105" s="4">
        <f t="shared" si="120"/>
        <v>16.188265441193966</v>
      </c>
      <c r="BY105" s="4">
        <f t="shared" si="121"/>
        <v>12.024463903204945</v>
      </c>
      <c r="BZ105" s="4">
        <f t="shared" si="122"/>
        <v>13.2640993571436</v>
      </c>
      <c r="CB105" s="4">
        <f t="shared" si="123"/>
        <v>25.288563260348546</v>
      </c>
      <c r="CD105" s="4">
        <f t="shared" si="129"/>
        <v>-3.83712257063927</v>
      </c>
      <c r="CE105" s="4">
        <f t="shared" si="130"/>
        <v>-13.02943392108849</v>
      </c>
      <c r="CF105" s="4">
        <f t="shared" si="131"/>
        <v>2.672196155340703</v>
      </c>
      <c r="CG105" s="4">
        <f t="shared" si="132"/>
        <v>7.3488044008169275</v>
      </c>
      <c r="CH105" s="4">
        <f t="shared" si="133"/>
        <v>3.114832676132867</v>
      </c>
      <c r="CI105" s="4">
        <f t="shared" si="134"/>
        <v>3.7307232594372373</v>
      </c>
      <c r="CK105" s="4">
        <f t="shared" si="135"/>
        <v>6.845555935570104</v>
      </c>
      <c r="CL105" s="4">
        <f t="shared" si="136"/>
        <v>0</v>
      </c>
      <c r="CM105" s="4">
        <f t="shared" si="124"/>
        <v>43.538023511995895</v>
      </c>
    </row>
    <row r="106" spans="1:91" ht="15">
      <c r="A106" s="22" t="s">
        <v>100</v>
      </c>
      <c r="B106" s="47">
        <v>3</v>
      </c>
      <c r="C106" s="24">
        <v>17643307</v>
      </c>
      <c r="D106" s="6">
        <v>0.3582955</v>
      </c>
      <c r="E106" s="24">
        <f>C106*D106</f>
        <v>6321517.5032185</v>
      </c>
      <c r="F106" s="25">
        <v>0.4418822</v>
      </c>
      <c r="G106" s="24">
        <f t="shared" si="108"/>
        <v>7796263.3124354</v>
      </c>
      <c r="H106" s="6">
        <v>0.1991312</v>
      </c>
      <c r="I106" s="6">
        <f t="shared" si="128"/>
        <v>0</v>
      </c>
      <c r="J106" s="6">
        <f t="shared" si="109"/>
        <v>0</v>
      </c>
      <c r="K106" s="6">
        <f t="shared" si="125"/>
        <v>0</v>
      </c>
      <c r="L106" s="24">
        <f t="shared" si="110"/>
        <v>3513332.8948784</v>
      </c>
      <c r="M106" s="24">
        <f t="shared" si="126"/>
        <v>11321789.4967815</v>
      </c>
      <c r="N106" s="6">
        <f t="shared" si="111"/>
        <v>0.0497828</v>
      </c>
      <c r="O106" s="6">
        <f t="shared" si="112"/>
        <v>0.0497828</v>
      </c>
      <c r="P106" s="24">
        <f t="shared" si="113"/>
        <v>878333.2237196</v>
      </c>
      <c r="Q106" s="24"/>
      <c r="R106" s="24">
        <f t="shared" si="114"/>
        <v>17306085.0964472</v>
      </c>
      <c r="S106" s="24">
        <f t="shared" si="115"/>
        <v>19348321.8378019</v>
      </c>
      <c r="T106" s="24">
        <f t="shared" si="116"/>
        <v>15095814.705251286</v>
      </c>
      <c r="U106" s="24">
        <f t="shared" si="95"/>
        <v>21716911.8464472</v>
      </c>
      <c r="V106" s="24">
        <f t="shared" si="96"/>
        <v>23759148.5878019</v>
      </c>
      <c r="W106" s="24">
        <f t="shared" si="97"/>
        <v>19506641.455251284</v>
      </c>
      <c r="X106" s="22"/>
      <c r="Y106" s="3">
        <v>3654946</v>
      </c>
      <c r="Z106" s="4">
        <v>2423570</v>
      </c>
      <c r="AA106" s="4">
        <v>1231376</v>
      </c>
      <c r="AB106" s="4">
        <v>0</v>
      </c>
      <c r="AC106" s="3">
        <v>15</v>
      </c>
      <c r="AD106" s="3">
        <v>342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4">
        <v>790</v>
      </c>
      <c r="AP106" s="1">
        <v>233</v>
      </c>
      <c r="AQ106" s="1">
        <v>11</v>
      </c>
      <c r="AR106" s="4">
        <v>0</v>
      </c>
      <c r="AS106" s="3">
        <v>4970</v>
      </c>
      <c r="AT106" s="3">
        <v>6883</v>
      </c>
      <c r="AU106" s="3">
        <v>460</v>
      </c>
      <c r="AV106" s="3">
        <v>0</v>
      </c>
      <c r="AW106" s="3">
        <v>12313</v>
      </c>
      <c r="AX106" s="3">
        <v>107</v>
      </c>
      <c r="AY106" s="3">
        <v>10</v>
      </c>
      <c r="AZ106" s="3">
        <v>50</v>
      </c>
      <c r="BA106" s="3">
        <v>117</v>
      </c>
      <c r="BB106" s="3">
        <v>0</v>
      </c>
      <c r="BC106" s="3">
        <v>0</v>
      </c>
      <c r="BD106" s="3">
        <v>0</v>
      </c>
      <c r="BE106" s="3">
        <v>0</v>
      </c>
      <c r="BF106" s="3">
        <v>1503574</v>
      </c>
      <c r="BG106" s="4">
        <f>76386+2179162</f>
        <v>2255548</v>
      </c>
      <c r="BH106" s="4">
        <f t="shared" si="98"/>
        <v>1988534.448447198</v>
      </c>
      <c r="BI106" s="4">
        <f t="shared" si="99"/>
        <v>3799039.848</v>
      </c>
      <c r="BJ106" s="4">
        <f t="shared" si="100"/>
        <v>531795</v>
      </c>
      <c r="BK106" s="4">
        <f t="shared" si="101"/>
        <v>5079151</v>
      </c>
      <c r="BL106" s="4">
        <f t="shared" si="102"/>
        <v>1807529.4000000001</v>
      </c>
      <c r="BM106" s="4">
        <f t="shared" si="103"/>
        <v>1844487.4000000001</v>
      </c>
      <c r="BN106" s="4">
        <v>30.167047714313174</v>
      </c>
      <c r="BO106" s="8">
        <f t="shared" si="104"/>
        <v>0.011908123791102515</v>
      </c>
      <c r="BP106" s="4">
        <f t="shared" si="105"/>
        <v>17306085.0964472</v>
      </c>
      <c r="BQ106" s="4">
        <f t="shared" si="106"/>
        <v>19348321.8378019</v>
      </c>
      <c r="BR106" s="4">
        <f t="shared" si="107"/>
        <v>15095814.705251286</v>
      </c>
      <c r="BS106" s="4">
        <v>13308015</v>
      </c>
      <c r="BT106" s="26"/>
      <c r="BU106" s="4">
        <f t="shared" si="117"/>
        <v>13.212381961548783</v>
      </c>
      <c r="BV106" s="4">
        <f t="shared" si="118"/>
        <v>25.241888868516156</v>
      </c>
      <c r="BW106" s="4">
        <f t="shared" si="119"/>
        <v>3.5333954967330334</v>
      </c>
      <c r="BX106" s="4">
        <f t="shared" si="120"/>
        <v>33.74730727183799</v>
      </c>
      <c r="BY106" s="4">
        <f t="shared" si="121"/>
        <v>12.009733529221904</v>
      </c>
      <c r="BZ106" s="4">
        <f t="shared" si="122"/>
        <v>12.255292872142126</v>
      </c>
      <c r="CB106" s="4">
        <f t="shared" si="123"/>
        <v>24.265026401364032</v>
      </c>
      <c r="CD106" s="4">
        <f t="shared" si="129"/>
        <v>-0.9120170460276142</v>
      </c>
      <c r="CE106" s="4">
        <f t="shared" si="130"/>
        <v>2.0531662122390344</v>
      </c>
      <c r="CF106" s="4">
        <f t="shared" si="131"/>
        <v>1.1999954690610557</v>
      </c>
      <c r="CG106" s="4">
        <f t="shared" si="132"/>
        <v>-10.210237429827096</v>
      </c>
      <c r="CH106" s="4">
        <f t="shared" si="133"/>
        <v>3.129563050115907</v>
      </c>
      <c r="CI106" s="4">
        <f t="shared" si="134"/>
        <v>4.739529744438711</v>
      </c>
      <c r="CK106" s="4">
        <f t="shared" si="135"/>
        <v>7.869092794554618</v>
      </c>
      <c r="CL106" s="4">
        <f t="shared" si="136"/>
        <v>0</v>
      </c>
      <c r="CM106" s="4">
        <f t="shared" si="124"/>
        <v>61.54572916993506</v>
      </c>
    </row>
    <row r="107" spans="1:91" ht="15">
      <c r="A107" s="22" t="s">
        <v>52</v>
      </c>
      <c r="B107" s="47">
        <v>9</v>
      </c>
      <c r="C107" s="23">
        <v>1276917</v>
      </c>
      <c r="D107" s="6">
        <v>0.18903450081220352</v>
      </c>
      <c r="E107" s="24">
        <f t="shared" si="127"/>
        <v>241381.36767361648</v>
      </c>
      <c r="F107" s="25"/>
      <c r="G107" s="24">
        <f t="shared" si="108"/>
        <v>0</v>
      </c>
      <c r="H107" s="6">
        <v>0.033464793600789466</v>
      </c>
      <c r="I107" s="6">
        <f t="shared" si="128"/>
        <v>0</v>
      </c>
      <c r="J107" s="6">
        <f t="shared" si="109"/>
        <v>0</v>
      </c>
      <c r="K107" s="6">
        <f t="shared" si="125"/>
        <v>0</v>
      </c>
      <c r="L107" s="24">
        <f t="shared" si="110"/>
        <v>42731.76385033928</v>
      </c>
      <c r="M107" s="24">
        <f t="shared" si="126"/>
        <v>1035535.6323263835</v>
      </c>
      <c r="N107" s="6">
        <f t="shared" si="111"/>
        <v>0.008366198400197367</v>
      </c>
      <c r="O107" s="6">
        <f t="shared" si="112"/>
        <v>0</v>
      </c>
      <c r="P107" s="24">
        <f t="shared" si="113"/>
        <v>0</v>
      </c>
      <c r="Q107" s="24"/>
      <c r="R107" s="24">
        <f t="shared" si="114"/>
        <v>1762899.0391309187</v>
      </c>
      <c r="S107" s="24">
        <f t="shared" si="115"/>
        <v>1746324.8957461228</v>
      </c>
      <c r="T107" s="24">
        <f t="shared" si="116"/>
        <v>1664100.5357010968</v>
      </c>
      <c r="U107" s="24">
        <f t="shared" si="95"/>
        <v>2082128.2891309187</v>
      </c>
      <c r="V107" s="24">
        <f t="shared" si="96"/>
        <v>2065554.1457461228</v>
      </c>
      <c r="W107" s="24">
        <f t="shared" si="97"/>
        <v>1983329.7857010968</v>
      </c>
      <c r="X107" s="22"/>
      <c r="Y107" s="3">
        <v>365550</v>
      </c>
      <c r="Z107" s="4">
        <v>0</v>
      </c>
      <c r="AA107" s="4">
        <v>365550</v>
      </c>
      <c r="AB107" s="4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1">
        <v>67</v>
      </c>
      <c r="AP107" s="1">
        <v>38</v>
      </c>
      <c r="AQ107" s="1">
        <v>0</v>
      </c>
      <c r="AR107" s="1">
        <v>0</v>
      </c>
      <c r="AS107" s="3">
        <v>1207</v>
      </c>
      <c r="AT107" s="3">
        <v>599</v>
      </c>
      <c r="AU107" s="1">
        <v>0</v>
      </c>
      <c r="AV107" s="1">
        <v>0</v>
      </c>
      <c r="AW107" s="3">
        <v>1806</v>
      </c>
      <c r="AX107" s="3">
        <v>12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0</v>
      </c>
      <c r="BE107" s="3">
        <v>0</v>
      </c>
      <c r="BF107" s="3">
        <v>147416</v>
      </c>
      <c r="BH107" s="4">
        <f t="shared" si="98"/>
        <v>232538.28913091845</v>
      </c>
      <c r="BI107" s="4">
        <f t="shared" si="99"/>
        <v>589632.15</v>
      </c>
      <c r="BJ107" s="4">
        <f t="shared" si="100"/>
        <v>0</v>
      </c>
      <c r="BK107" s="4">
        <f t="shared" si="101"/>
        <v>424935</v>
      </c>
      <c r="BL107" s="4">
        <f t="shared" si="102"/>
        <v>245254.80000000002</v>
      </c>
      <c r="BM107" s="4">
        <f t="shared" si="103"/>
        <v>270538.80000000005</v>
      </c>
      <c r="BN107" s="4">
        <v>23.08879773799038</v>
      </c>
      <c r="BO107" s="8">
        <f t="shared" si="104"/>
        <v>0.0172</v>
      </c>
      <c r="BP107" s="4">
        <f t="shared" si="105"/>
        <v>1762899.0391309187</v>
      </c>
      <c r="BQ107" s="4">
        <f t="shared" si="106"/>
        <v>1746324.8957461228</v>
      </c>
      <c r="BR107" s="4">
        <f t="shared" si="107"/>
        <v>1664100.5357010968</v>
      </c>
      <c r="BS107" s="4">
        <v>1456111</v>
      </c>
      <c r="BT107" s="26"/>
      <c r="BU107" s="4">
        <f t="shared" si="117"/>
        <v>13.190675357424675</v>
      </c>
      <c r="BV107" s="4">
        <f t="shared" si="118"/>
        <v>33.446733869154485</v>
      </c>
      <c r="BW107" s="4">
        <f t="shared" si="119"/>
        <v>0</v>
      </c>
      <c r="BX107" s="4">
        <f t="shared" si="120"/>
        <v>24.1043298888793</v>
      </c>
      <c r="BY107" s="4">
        <f t="shared" si="121"/>
        <v>13.912016204904551</v>
      </c>
      <c r="BZ107" s="4">
        <f t="shared" si="122"/>
        <v>15.34624467963698</v>
      </c>
      <c r="CB107" s="4">
        <f t="shared" si="123"/>
        <v>29.25826088454153</v>
      </c>
      <c r="CD107" s="4">
        <f t="shared" si="129"/>
        <v>-0.890310441903507</v>
      </c>
      <c r="CE107" s="4">
        <f t="shared" si="130"/>
        <v>-6.151678788399295</v>
      </c>
      <c r="CF107" s="4">
        <f t="shared" si="131"/>
        <v>4.733390965794089</v>
      </c>
      <c r="CG107" s="4">
        <f t="shared" si="132"/>
        <v>-0.5672600468684053</v>
      </c>
      <c r="CH107" s="4">
        <f t="shared" si="133"/>
        <v>1.2272803744332599</v>
      </c>
      <c r="CI107" s="4">
        <f t="shared" si="134"/>
        <v>1.6485779369438571</v>
      </c>
      <c r="CK107" s="4">
        <f t="shared" si="135"/>
        <v>2.875858311377119</v>
      </c>
      <c r="CL107" s="4">
        <f t="shared" si="136"/>
        <v>0</v>
      </c>
      <c r="CM107" s="4">
        <f t="shared" si="124"/>
        <v>53.362590773420834</v>
      </c>
    </row>
    <row r="108" spans="1:91" ht="15">
      <c r="A108" s="12" t="s">
        <v>211</v>
      </c>
      <c r="B108" s="47">
        <v>10</v>
      </c>
      <c r="C108" s="13">
        <v>855668.9660161567</v>
      </c>
      <c r="D108" s="6">
        <v>0</v>
      </c>
      <c r="E108" s="24">
        <f t="shared" si="127"/>
        <v>0</v>
      </c>
      <c r="F108" s="25"/>
      <c r="G108" s="24">
        <f t="shared" si="108"/>
        <v>0</v>
      </c>
      <c r="H108" s="14">
        <v>0</v>
      </c>
      <c r="I108" s="6">
        <f t="shared" si="128"/>
        <v>0</v>
      </c>
      <c r="J108" s="6">
        <f>CL108/100</f>
        <v>0</v>
      </c>
      <c r="K108" s="6">
        <f>IF(J108&lt;0,H108+J108,0)</f>
        <v>0</v>
      </c>
      <c r="L108" s="24">
        <f>IF(J108&lt;0,(H108+J108)*C108,H108*C108)</f>
        <v>0</v>
      </c>
      <c r="M108" s="24">
        <v>940662</v>
      </c>
      <c r="N108" s="6">
        <f>IF(J108&lt;0,(H108+J108)/4,H108/4)</f>
        <v>0</v>
      </c>
      <c r="O108" s="6">
        <f>IF(N108&gt;0.05,0.05,IF(N108&gt;0.01,N108,0))</f>
        <v>0</v>
      </c>
      <c r="P108" s="24">
        <f>C108*O108</f>
        <v>0</v>
      </c>
      <c r="Q108" s="24"/>
      <c r="R108" s="24">
        <f>BP108</f>
        <v>1238621.777681319</v>
      </c>
      <c r="S108" s="24">
        <f>BQ108</f>
        <v>1379641.6473158852</v>
      </c>
      <c r="T108" s="24">
        <f>BR108</f>
        <v>1511639.0932537809</v>
      </c>
      <c r="U108" s="24">
        <f t="shared" si="95"/>
        <v>1452539.0191853582</v>
      </c>
      <c r="V108" s="24">
        <f t="shared" si="96"/>
        <v>1593558.8888199243</v>
      </c>
      <c r="W108" s="24">
        <f t="shared" si="97"/>
        <v>1725556.33475782</v>
      </c>
      <c r="X108" s="22"/>
      <c r="Y108" s="3">
        <v>232000</v>
      </c>
      <c r="Z108" s="4">
        <v>0</v>
      </c>
      <c r="AA108" s="4">
        <f>227000-57000</f>
        <v>170000</v>
      </c>
      <c r="AB108" s="4">
        <v>57000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4">
        <v>22</v>
      </c>
      <c r="AP108" s="1">
        <v>27</v>
      </c>
      <c r="AQ108" s="1">
        <v>0</v>
      </c>
      <c r="AR108" s="4">
        <v>0</v>
      </c>
      <c r="AS108" s="3">
        <v>50</v>
      </c>
      <c r="AT108" s="3">
        <v>1693</v>
      </c>
      <c r="AU108" s="3">
        <v>0</v>
      </c>
      <c r="AV108" s="3">
        <v>0</v>
      </c>
      <c r="AW108" s="3">
        <v>1843</v>
      </c>
      <c r="AX108" s="3" t="s">
        <v>232</v>
      </c>
      <c r="AY108" s="3" t="s">
        <v>232</v>
      </c>
      <c r="AZ108" s="3" t="s">
        <v>232</v>
      </c>
      <c r="BA108" s="3" t="s">
        <v>232</v>
      </c>
      <c r="BB108" s="3" t="s">
        <v>232</v>
      </c>
      <c r="BC108" s="3" t="s">
        <v>232</v>
      </c>
      <c r="BD108" s="3" t="s">
        <v>232</v>
      </c>
      <c r="BE108" s="3" t="s">
        <v>232</v>
      </c>
      <c r="BF108" s="3" t="s">
        <v>232</v>
      </c>
      <c r="BH108" s="4">
        <f>1.518*(Y108)^0.9321</f>
        <v>152209.97768131908</v>
      </c>
      <c r="BI108" s="4">
        <f>0.748*Z108+1.613*AA108+1.774*AB108</f>
        <v>375328</v>
      </c>
      <c r="BJ108" s="4">
        <f>35453*AC108+56469*AE108+144773*AG108+178851*(AI108+AK108)+440*AN108</f>
        <v>0</v>
      </c>
      <c r="BK108" s="4">
        <f>4047*(AO108+AP108)+85370*(AQ108+AR108)</f>
        <v>198303</v>
      </c>
      <c r="BL108" s="4">
        <f>135.8*(AS108+AT108)+430.2*AU108+1208.1*AV108</f>
        <v>236699.40000000002</v>
      </c>
      <c r="BM108" s="4">
        <f>149.8*AW108</f>
        <v>276081.4</v>
      </c>
      <c r="BN108" s="4">
        <v>29.936235812685695</v>
      </c>
      <c r="BO108" s="8">
        <f t="shared" si="104"/>
        <v>0.03761224489795918</v>
      </c>
      <c r="BP108" s="4">
        <f>SUM(BG108:BM108)</f>
        <v>1238621.777681319</v>
      </c>
      <c r="BQ108" s="4">
        <f>(0.575+0.018*BN108)*BP108</f>
        <v>1379641.6473158852</v>
      </c>
      <c r="BR108" s="4">
        <f>(0.711+13.544*BO108)*BP108</f>
        <v>1511639.0932537809</v>
      </c>
      <c r="BS108" s="4" t="s">
        <v>232</v>
      </c>
      <c r="BT108" s="26"/>
      <c r="BU108" s="4">
        <f aca="true" t="shared" si="138" ref="BU108:BZ108">(BH108/(SUM($BH108:$BM108)))*100</f>
        <v>12.288656668563815</v>
      </c>
      <c r="BV108" s="4">
        <f t="shared" si="138"/>
        <v>30.302066923335406</v>
      </c>
      <c r="BW108" s="4">
        <f t="shared" si="138"/>
        <v>0</v>
      </c>
      <c r="BX108" s="4">
        <f t="shared" si="138"/>
        <v>16.009972016737844</v>
      </c>
      <c r="BY108" s="4">
        <f t="shared" si="138"/>
        <v>19.109901364975002</v>
      </c>
      <c r="BZ108" s="4">
        <f t="shared" si="138"/>
        <v>22.289403026387937</v>
      </c>
      <c r="CB108" s="4">
        <f t="shared" si="123"/>
        <v>41.39930439136294</v>
      </c>
      <c r="CD108" s="4">
        <f t="shared" si="129"/>
        <v>0.011708246957352841</v>
      </c>
      <c r="CE108" s="4">
        <f t="shared" si="130"/>
        <v>-3.0070118425802157</v>
      </c>
      <c r="CF108" s="4">
        <f t="shared" si="131"/>
        <v>4.733390965794089</v>
      </c>
      <c r="CG108" s="4">
        <f t="shared" si="132"/>
        <v>7.527097825273049</v>
      </c>
      <c r="CH108" s="4">
        <f t="shared" si="133"/>
        <v>-3.9706047856371907</v>
      </c>
      <c r="CI108" s="4">
        <f t="shared" si="134"/>
        <v>-5.2945804098071</v>
      </c>
      <c r="CK108" s="4">
        <f t="shared" si="135"/>
        <v>-9.265185195444289</v>
      </c>
      <c r="CL108" s="4">
        <f t="shared" si="136"/>
        <v>0</v>
      </c>
      <c r="CM108" s="4">
        <f>SUM(BW108:BZ108)</f>
        <v>57.40927640810079</v>
      </c>
    </row>
    <row r="109" spans="1:91" ht="15">
      <c r="A109" s="22" t="s">
        <v>144</v>
      </c>
      <c r="B109" s="47">
        <v>9</v>
      </c>
      <c r="C109" s="23">
        <v>1132864</v>
      </c>
      <c r="D109" s="6">
        <v>0.2447091790189071</v>
      </c>
      <c r="E109" s="24">
        <f t="shared" si="127"/>
        <v>277222.21938007517</v>
      </c>
      <c r="F109" s="25"/>
      <c r="G109" s="24">
        <f t="shared" si="108"/>
        <v>0</v>
      </c>
      <c r="H109" s="6">
        <v>0.09892970237354415</v>
      </c>
      <c r="I109" s="6">
        <f t="shared" si="128"/>
        <v>0</v>
      </c>
      <c r="J109" s="6">
        <f t="shared" si="109"/>
        <v>0</v>
      </c>
      <c r="K109" s="6">
        <f t="shared" si="125"/>
        <v>0</v>
      </c>
      <c r="L109" s="24">
        <f t="shared" si="110"/>
        <v>112073.89834970272</v>
      </c>
      <c r="M109" s="24">
        <f t="shared" si="126"/>
        <v>855641.7806199249</v>
      </c>
      <c r="N109" s="6">
        <f t="shared" si="111"/>
        <v>0.024732425593386037</v>
      </c>
      <c r="O109" s="6">
        <f t="shared" si="112"/>
        <v>0.024732425593386037</v>
      </c>
      <c r="P109" s="24">
        <f t="shared" si="113"/>
        <v>28018.47458742568</v>
      </c>
      <c r="Q109" s="24"/>
      <c r="R109" s="24">
        <f t="shared" si="114"/>
        <v>1491910.9927024564</v>
      </c>
      <c r="S109" s="24">
        <f t="shared" si="115"/>
        <v>1270002.2690924776</v>
      </c>
      <c r="T109" s="24">
        <f t="shared" si="116"/>
        <v>1357189.1132114124</v>
      </c>
      <c r="U109" s="24">
        <f t="shared" si="95"/>
        <v>1775126.9927024564</v>
      </c>
      <c r="V109" s="24">
        <f t="shared" si="96"/>
        <v>1553218.2690924776</v>
      </c>
      <c r="W109" s="24">
        <f t="shared" si="97"/>
        <v>1640405.1132114124</v>
      </c>
      <c r="X109" s="22"/>
      <c r="Y109" s="3">
        <v>327000</v>
      </c>
      <c r="Z109" s="4">
        <v>0</v>
      </c>
      <c r="AA109" s="3">
        <v>296000</v>
      </c>
      <c r="AB109" s="4">
        <v>0</v>
      </c>
      <c r="AC109" s="4">
        <v>3</v>
      </c>
      <c r="AD109" s="4">
        <v>150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70</v>
      </c>
      <c r="AP109" s="1">
        <v>15</v>
      </c>
      <c r="AQ109" s="1">
        <v>0</v>
      </c>
      <c r="AR109" s="4">
        <v>0</v>
      </c>
      <c r="AS109" s="4">
        <v>325</v>
      </c>
      <c r="AT109" s="4">
        <v>910</v>
      </c>
      <c r="AU109" s="4">
        <v>0</v>
      </c>
      <c r="AV109" s="4">
        <v>0</v>
      </c>
      <c r="AW109" s="4">
        <v>1247</v>
      </c>
      <c r="AX109" s="4">
        <v>9</v>
      </c>
      <c r="AY109" s="4">
        <v>0</v>
      </c>
      <c r="AZ109" s="4">
        <v>4</v>
      </c>
      <c r="BA109" s="4">
        <v>1</v>
      </c>
      <c r="BB109" s="4">
        <v>1</v>
      </c>
      <c r="BC109" s="4">
        <v>1</v>
      </c>
      <c r="BD109" s="4">
        <v>1</v>
      </c>
      <c r="BE109" s="4">
        <v>1</v>
      </c>
      <c r="BF109" s="4">
        <v>247840</v>
      </c>
      <c r="BH109" s="4">
        <f t="shared" si="98"/>
        <v>209595.3927024563</v>
      </c>
      <c r="BI109" s="4">
        <f t="shared" si="99"/>
        <v>477448</v>
      </c>
      <c r="BJ109" s="4">
        <f t="shared" si="100"/>
        <v>106359</v>
      </c>
      <c r="BK109" s="4">
        <f t="shared" si="101"/>
        <v>343995</v>
      </c>
      <c r="BL109" s="4">
        <f t="shared" si="102"/>
        <v>167713</v>
      </c>
      <c r="BM109" s="4">
        <f t="shared" si="103"/>
        <v>186800.6</v>
      </c>
      <c r="BN109" s="4">
        <v>15.347707675464392</v>
      </c>
      <c r="BO109" s="8">
        <f t="shared" si="104"/>
        <v>0.014670588235294118</v>
      </c>
      <c r="BP109" s="4">
        <f t="shared" si="105"/>
        <v>1491910.9927024564</v>
      </c>
      <c r="BQ109" s="4">
        <f t="shared" si="106"/>
        <v>1270002.2690924776</v>
      </c>
      <c r="BR109" s="4">
        <f t="shared" si="107"/>
        <v>1357189.1132114124</v>
      </c>
      <c r="BS109" s="4">
        <v>1235038</v>
      </c>
      <c r="BT109" s="26"/>
      <c r="BU109" s="4">
        <f t="shared" si="117"/>
        <v>14.048786672105281</v>
      </c>
      <c r="BV109" s="4">
        <f t="shared" si="118"/>
        <v>32.00244534261041</v>
      </c>
      <c r="BW109" s="4">
        <f t="shared" si="119"/>
        <v>7.129044595840177</v>
      </c>
      <c r="BX109" s="4">
        <f t="shared" si="120"/>
        <v>23.05734066459859</v>
      </c>
      <c r="BY109" s="4">
        <f t="shared" si="121"/>
        <v>11.241488320707637</v>
      </c>
      <c r="BZ109" s="4">
        <f t="shared" si="122"/>
        <v>12.520894404137897</v>
      </c>
      <c r="CB109" s="4">
        <f t="shared" si="123"/>
        <v>23.762382724845533</v>
      </c>
      <c r="CD109" s="4">
        <f t="shared" si="129"/>
        <v>-1.7484217565841131</v>
      </c>
      <c r="CE109" s="4">
        <f t="shared" si="130"/>
        <v>-4.707390261855217</v>
      </c>
      <c r="CF109" s="4">
        <f t="shared" si="131"/>
        <v>-2.3956536300460876</v>
      </c>
      <c r="CG109" s="4">
        <f t="shared" si="132"/>
        <v>0.4797291774123025</v>
      </c>
      <c r="CH109" s="4">
        <f t="shared" si="133"/>
        <v>3.8978082586301745</v>
      </c>
      <c r="CI109" s="4">
        <f t="shared" si="134"/>
        <v>4.4739282124429405</v>
      </c>
      <c r="CK109" s="4">
        <f t="shared" si="135"/>
        <v>8.371736471073117</v>
      </c>
      <c r="CL109" s="4">
        <f t="shared" si="136"/>
        <v>0</v>
      </c>
      <c r="CM109" s="4">
        <f t="shared" si="124"/>
        <v>53.948767985284306</v>
      </c>
    </row>
    <row r="110" spans="1:91" ht="15">
      <c r="A110" s="22" t="s">
        <v>47</v>
      </c>
      <c r="B110" s="47">
        <v>8</v>
      </c>
      <c r="C110" s="23">
        <v>986038</v>
      </c>
      <c r="D110" s="6">
        <v>0.24735838903773455</v>
      </c>
      <c r="E110" s="24">
        <f t="shared" si="127"/>
        <v>243904.7712099897</v>
      </c>
      <c r="F110" s="25"/>
      <c r="G110" s="24">
        <f t="shared" si="108"/>
        <v>0</v>
      </c>
      <c r="H110" s="6">
        <v>0.10415604959003433</v>
      </c>
      <c r="I110" s="6">
        <f t="shared" si="128"/>
        <v>0</v>
      </c>
      <c r="J110" s="6">
        <f t="shared" si="109"/>
        <v>0</v>
      </c>
      <c r="K110" s="6">
        <f t="shared" si="125"/>
        <v>0</v>
      </c>
      <c r="L110" s="24">
        <f t="shared" si="110"/>
        <v>102701.82282565827</v>
      </c>
      <c r="M110" s="24">
        <f t="shared" si="126"/>
        <v>742133.2287900103</v>
      </c>
      <c r="N110" s="6">
        <f t="shared" si="111"/>
        <v>0.026039012397508582</v>
      </c>
      <c r="O110" s="6">
        <f t="shared" si="112"/>
        <v>0.026039012397508582</v>
      </c>
      <c r="P110" s="24">
        <f t="shared" si="113"/>
        <v>25675.455706414567</v>
      </c>
      <c r="Q110" s="24"/>
      <c r="R110" s="24">
        <f t="shared" si="114"/>
        <v>1233504.1582267422</v>
      </c>
      <c r="S110" s="24">
        <f t="shared" si="115"/>
        <v>1278361.9519683393</v>
      </c>
      <c r="T110" s="24">
        <f t="shared" si="116"/>
        <v>1053152.8459090686</v>
      </c>
      <c r="U110" s="24">
        <f t="shared" si="95"/>
        <v>1480013.6582267422</v>
      </c>
      <c r="V110" s="24">
        <f t="shared" si="96"/>
        <v>1524871.4519683393</v>
      </c>
      <c r="W110" s="24">
        <f t="shared" si="97"/>
        <v>1299662.3459090686</v>
      </c>
      <c r="X110" s="22"/>
      <c r="Y110" s="1">
        <v>406741</v>
      </c>
      <c r="Z110" s="4">
        <v>0</v>
      </c>
      <c r="AA110" s="1">
        <v>0</v>
      </c>
      <c r="AB110" s="4">
        <v>0</v>
      </c>
      <c r="AC110" s="3">
        <v>2</v>
      </c>
      <c r="AD110" s="3">
        <v>28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1">
        <v>88</v>
      </c>
      <c r="AP110" s="1">
        <v>41</v>
      </c>
      <c r="AQ110" s="1">
        <v>0</v>
      </c>
      <c r="AR110" s="1">
        <v>0</v>
      </c>
      <c r="AS110" s="3">
        <v>363</v>
      </c>
      <c r="AT110" s="3">
        <v>962</v>
      </c>
      <c r="AU110" s="3">
        <v>0</v>
      </c>
      <c r="AV110" s="3">
        <v>0</v>
      </c>
      <c r="AW110" s="3">
        <v>1360</v>
      </c>
      <c r="AX110" s="3">
        <v>8</v>
      </c>
      <c r="AY110" s="3">
        <v>0</v>
      </c>
      <c r="AZ110" s="3">
        <v>2</v>
      </c>
      <c r="BA110" s="3">
        <v>9</v>
      </c>
      <c r="BB110" s="3">
        <v>0</v>
      </c>
      <c r="BC110" s="3">
        <v>0</v>
      </c>
      <c r="BD110" s="3">
        <v>0</v>
      </c>
      <c r="BE110" s="3">
        <v>1</v>
      </c>
      <c r="BF110" s="3">
        <v>152403</v>
      </c>
      <c r="BH110" s="4">
        <f t="shared" si="98"/>
        <v>256872.15822674212</v>
      </c>
      <c r="BI110" s="4">
        <f t="shared" si="99"/>
        <v>0</v>
      </c>
      <c r="BJ110" s="4">
        <f t="shared" si="100"/>
        <v>70906</v>
      </c>
      <c r="BK110" s="4">
        <f t="shared" si="101"/>
        <v>522063</v>
      </c>
      <c r="BL110" s="4">
        <f t="shared" si="102"/>
        <v>179935.00000000003</v>
      </c>
      <c r="BM110" s="4">
        <f t="shared" si="103"/>
        <v>203728.00000000003</v>
      </c>
      <c r="BN110" s="4">
        <v>25.631452620047366</v>
      </c>
      <c r="BO110" s="8">
        <f t="shared" si="104"/>
        <v>0.010542635658914728</v>
      </c>
      <c r="BP110" s="4">
        <f t="shared" si="105"/>
        <v>1233504.1582267422</v>
      </c>
      <c r="BQ110" s="4">
        <f t="shared" si="106"/>
        <v>1278361.9519683393</v>
      </c>
      <c r="BR110" s="4">
        <f t="shared" si="107"/>
        <v>1053152.8459090686</v>
      </c>
      <c r="BS110" s="4">
        <v>1138528</v>
      </c>
      <c r="BT110" s="26"/>
      <c r="BU110" s="4">
        <f t="shared" si="117"/>
        <v>20.824587944317575</v>
      </c>
      <c r="BV110" s="4">
        <f t="shared" si="118"/>
        <v>0</v>
      </c>
      <c r="BW110" s="4">
        <f t="shared" si="119"/>
        <v>5.748338951846978</v>
      </c>
      <c r="BX110" s="4">
        <f t="shared" si="120"/>
        <v>42.3235703356287</v>
      </c>
      <c r="BY110" s="4">
        <f t="shared" si="121"/>
        <v>14.587303885434041</v>
      </c>
      <c r="BZ110" s="4">
        <f t="shared" si="122"/>
        <v>16.516198882772702</v>
      </c>
      <c r="CB110" s="4">
        <f t="shared" si="123"/>
        <v>31.103502768206745</v>
      </c>
      <c r="CD110" s="4">
        <f t="shared" si="129"/>
        <v>-8.524223028796406</v>
      </c>
      <c r="CE110" s="4">
        <f t="shared" si="130"/>
        <v>27.29505508075519</v>
      </c>
      <c r="CF110" s="4">
        <f t="shared" si="131"/>
        <v>-1.0149479860528885</v>
      </c>
      <c r="CG110" s="4">
        <f t="shared" si="132"/>
        <v>-18.786500493617808</v>
      </c>
      <c r="CH110" s="4">
        <f t="shared" si="133"/>
        <v>0.5519926939037703</v>
      </c>
      <c r="CI110" s="4">
        <f t="shared" si="134"/>
        <v>0.47862373380813494</v>
      </c>
      <c r="CK110" s="4">
        <f t="shared" si="135"/>
        <v>1.0306164277119052</v>
      </c>
      <c r="CL110" s="4">
        <f t="shared" si="136"/>
        <v>0</v>
      </c>
      <c r="CM110" s="4">
        <f t="shared" si="124"/>
        <v>79.17541205568241</v>
      </c>
    </row>
    <row r="111" spans="1:91" ht="15">
      <c r="A111" s="22" t="s">
        <v>130</v>
      </c>
      <c r="B111" s="47">
        <v>9</v>
      </c>
      <c r="C111" s="23">
        <v>1971577</v>
      </c>
      <c r="D111" s="6">
        <v>0.16978545425997027</v>
      </c>
      <c r="E111" s="24">
        <f t="shared" si="127"/>
        <v>334745.0965535094</v>
      </c>
      <c r="F111" s="25"/>
      <c r="G111" s="24">
        <f t="shared" si="108"/>
        <v>0</v>
      </c>
      <c r="H111" s="6">
        <v>0.023096187593503292</v>
      </c>
      <c r="I111" s="6">
        <f t="shared" si="128"/>
        <v>0</v>
      </c>
      <c r="J111" s="6">
        <f t="shared" si="109"/>
        <v>0</v>
      </c>
      <c r="K111" s="6">
        <f t="shared" si="125"/>
        <v>0</v>
      </c>
      <c r="L111" s="24">
        <f t="shared" si="110"/>
        <v>45535.91224703644</v>
      </c>
      <c r="M111" s="24">
        <f t="shared" si="126"/>
        <v>1636831.9034464906</v>
      </c>
      <c r="N111" s="6">
        <f t="shared" si="111"/>
        <v>0.005774046898375823</v>
      </c>
      <c r="O111" s="6">
        <f t="shared" si="112"/>
        <v>0</v>
      </c>
      <c r="P111" s="24">
        <f t="shared" si="113"/>
        <v>0</v>
      </c>
      <c r="Q111" s="24"/>
      <c r="R111" s="24">
        <f t="shared" si="114"/>
        <v>2503862.693865956</v>
      </c>
      <c r="S111" s="24">
        <f t="shared" si="115"/>
        <v>2880506.1860698303</v>
      </c>
      <c r="T111" s="24">
        <f t="shared" si="116"/>
        <v>2462195.770877178</v>
      </c>
      <c r="U111" s="24">
        <f t="shared" si="95"/>
        <v>2996756.943865956</v>
      </c>
      <c r="V111" s="24">
        <f t="shared" si="96"/>
        <v>3373400.4360698303</v>
      </c>
      <c r="W111" s="24">
        <f t="shared" si="97"/>
        <v>2955090.020877178</v>
      </c>
      <c r="X111" s="22"/>
      <c r="Y111" s="3">
        <v>347140</v>
      </c>
      <c r="Z111" s="4">
        <v>0</v>
      </c>
      <c r="AA111" s="3">
        <v>321448</v>
      </c>
      <c r="AB111" s="4">
        <v>0</v>
      </c>
      <c r="AC111" s="4">
        <v>0</v>
      </c>
      <c r="AD111" s="4">
        <v>0</v>
      </c>
      <c r="AE111" s="4">
        <v>1</v>
      </c>
      <c r="AF111" s="4">
        <v>60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174</v>
      </c>
      <c r="AP111" s="1">
        <v>0</v>
      </c>
      <c r="AQ111" s="1">
        <v>0</v>
      </c>
      <c r="AR111" s="4">
        <v>0</v>
      </c>
      <c r="AS111" s="4">
        <v>3527</v>
      </c>
      <c r="AT111" s="4">
        <v>0</v>
      </c>
      <c r="AU111" s="4">
        <v>0</v>
      </c>
      <c r="AV111" s="4">
        <v>0</v>
      </c>
      <c r="AW111" s="4">
        <v>3499</v>
      </c>
      <c r="AX111" s="4">
        <v>11</v>
      </c>
      <c r="AY111" s="4">
        <v>1</v>
      </c>
      <c r="AZ111" s="4">
        <v>0</v>
      </c>
      <c r="BA111" s="4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197611</v>
      </c>
      <c r="BH111" s="4">
        <f t="shared" si="98"/>
        <v>221603.2698659556</v>
      </c>
      <c r="BI111" s="4">
        <f t="shared" si="99"/>
        <v>518495.624</v>
      </c>
      <c r="BJ111" s="4">
        <f t="shared" si="100"/>
        <v>56469</v>
      </c>
      <c r="BK111" s="4">
        <f t="shared" si="101"/>
        <v>704178</v>
      </c>
      <c r="BL111" s="4">
        <f t="shared" si="102"/>
        <v>478966.60000000003</v>
      </c>
      <c r="BM111" s="4">
        <f t="shared" si="103"/>
        <v>524150.2</v>
      </c>
      <c r="BN111" s="4">
        <v>31.96805436803678</v>
      </c>
      <c r="BO111" s="8">
        <f t="shared" si="104"/>
        <v>0.02010919540229885</v>
      </c>
      <c r="BP111" s="4">
        <f t="shared" si="105"/>
        <v>2503862.693865956</v>
      </c>
      <c r="BQ111" s="4">
        <f t="shared" si="106"/>
        <v>2880506.1860698303</v>
      </c>
      <c r="BR111" s="4">
        <f t="shared" si="107"/>
        <v>2462195.770877178</v>
      </c>
      <c r="BS111" s="4">
        <v>2175673</v>
      </c>
      <c r="BT111" s="26"/>
      <c r="BU111" s="4">
        <f t="shared" si="117"/>
        <v>8.850456153560117</v>
      </c>
      <c r="BV111" s="4">
        <f t="shared" si="118"/>
        <v>20.70782975720783</v>
      </c>
      <c r="BW111" s="4">
        <f t="shared" si="119"/>
        <v>2.2552754245805726</v>
      </c>
      <c r="BX111" s="4">
        <f t="shared" si="120"/>
        <v>28.12366675397649</v>
      </c>
      <c r="BY111" s="4">
        <f t="shared" si="121"/>
        <v>19.12910804467785</v>
      </c>
      <c r="BZ111" s="4">
        <f t="shared" si="122"/>
        <v>20.933663865997136</v>
      </c>
      <c r="CB111" s="4">
        <f t="shared" si="123"/>
        <v>40.06277191067498</v>
      </c>
      <c r="CD111" s="4">
        <f t="shared" si="129"/>
        <v>3.4499087619610513</v>
      </c>
      <c r="CE111" s="4">
        <f t="shared" si="130"/>
        <v>6.5872253235473615</v>
      </c>
      <c r="CF111" s="4">
        <f t="shared" si="131"/>
        <v>2.4781155412135165</v>
      </c>
      <c r="CG111" s="4">
        <f t="shared" si="132"/>
        <v>-4.5865969119655965</v>
      </c>
      <c r="CH111" s="4">
        <f t="shared" si="133"/>
        <v>-3.989811465340038</v>
      </c>
      <c r="CI111" s="4">
        <f t="shared" si="134"/>
        <v>-3.938841249416299</v>
      </c>
      <c r="CK111" s="4">
        <f t="shared" si="135"/>
        <v>-7.928652714756332</v>
      </c>
      <c r="CL111" s="4">
        <f t="shared" si="136"/>
        <v>0</v>
      </c>
      <c r="CM111" s="4">
        <f t="shared" si="124"/>
        <v>70.44171408923205</v>
      </c>
    </row>
    <row r="112" spans="1:91" ht="15">
      <c r="A112" s="22" t="s">
        <v>124</v>
      </c>
      <c r="B112" s="47">
        <v>9</v>
      </c>
      <c r="C112" s="23">
        <v>3694332</v>
      </c>
      <c r="D112" s="6">
        <v>0.7428610451444547</v>
      </c>
      <c r="E112" s="24">
        <f t="shared" si="127"/>
        <v>2744375.3306306037</v>
      </c>
      <c r="F112" s="25"/>
      <c r="G112" s="24">
        <f t="shared" si="108"/>
        <v>0</v>
      </c>
      <c r="H112" s="6">
        <v>0.5872912161006674</v>
      </c>
      <c r="I112" s="6">
        <f t="shared" si="128"/>
        <v>-0.16960554879622783</v>
      </c>
      <c r="J112" s="6">
        <f t="shared" si="109"/>
        <v>-0.08910651519881821</v>
      </c>
      <c r="K112" s="6">
        <f t="shared" si="125"/>
        <v>0.4981847009018492</v>
      </c>
      <c r="L112" s="24">
        <f t="shared" si="110"/>
        <v>1840459.6824521304</v>
      </c>
      <c r="M112" s="24">
        <f t="shared" si="126"/>
        <v>949956.6693693963</v>
      </c>
      <c r="N112" s="6">
        <f t="shared" si="111"/>
        <v>0.1245461752254623</v>
      </c>
      <c r="O112" s="6">
        <f t="shared" si="112"/>
        <v>0.05</v>
      </c>
      <c r="P112" s="24">
        <f t="shared" si="113"/>
        <v>184716.6</v>
      </c>
      <c r="Q112" s="24"/>
      <c r="R112" s="24">
        <f t="shared" si="114"/>
        <v>1126047</v>
      </c>
      <c r="S112" s="24">
        <f t="shared" si="115"/>
        <v>1301676.3633295214</v>
      </c>
      <c r="T112" s="24">
        <f t="shared" si="116"/>
        <v>1526575.6120368</v>
      </c>
      <c r="U112" s="24">
        <f t="shared" si="95"/>
        <v>2049630</v>
      </c>
      <c r="V112" s="24">
        <f t="shared" si="96"/>
        <v>2225259.3633295214</v>
      </c>
      <c r="W112" s="24">
        <f t="shared" si="97"/>
        <v>2450158.6120368</v>
      </c>
      <c r="X112" s="22"/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7</v>
      </c>
      <c r="AP112" s="1">
        <v>40</v>
      </c>
      <c r="AQ112" s="1">
        <v>3</v>
      </c>
      <c r="AR112" s="4">
        <v>0</v>
      </c>
      <c r="AS112" s="4">
        <v>2060</v>
      </c>
      <c r="AT112" s="4">
        <v>320</v>
      </c>
      <c r="AU112" s="4">
        <v>0</v>
      </c>
      <c r="AV112" s="4">
        <v>0</v>
      </c>
      <c r="AW112" s="4">
        <v>2380</v>
      </c>
      <c r="AX112" s="4">
        <v>15</v>
      </c>
      <c r="AY112" s="4">
        <v>1</v>
      </c>
      <c r="AZ112" s="4">
        <v>9</v>
      </c>
      <c r="BA112" s="4">
        <v>0</v>
      </c>
      <c r="BB112" s="4">
        <v>1</v>
      </c>
      <c r="BC112" s="4">
        <v>4</v>
      </c>
      <c r="BD112" s="4">
        <v>1</v>
      </c>
      <c r="BE112" s="4">
        <v>0</v>
      </c>
      <c r="BF112" s="4">
        <v>1102</v>
      </c>
      <c r="BH112" s="4">
        <f t="shared" si="98"/>
        <v>0</v>
      </c>
      <c r="BI112" s="4">
        <f t="shared" si="99"/>
        <v>0</v>
      </c>
      <c r="BJ112" s="4">
        <f t="shared" si="100"/>
        <v>0</v>
      </c>
      <c r="BK112" s="4">
        <f t="shared" si="101"/>
        <v>446319</v>
      </c>
      <c r="BL112" s="4">
        <f t="shared" si="102"/>
        <v>323204</v>
      </c>
      <c r="BM112" s="4">
        <f t="shared" si="103"/>
        <v>356524</v>
      </c>
      <c r="BN112" s="4">
        <v>32.27610187227835</v>
      </c>
      <c r="BO112" s="8">
        <f t="shared" si="104"/>
        <v>0.0476</v>
      </c>
      <c r="BP112" s="4">
        <f t="shared" si="105"/>
        <v>1126047</v>
      </c>
      <c r="BQ112" s="4">
        <f t="shared" si="106"/>
        <v>1301676.3633295214</v>
      </c>
      <c r="BR112" s="4">
        <f t="shared" si="107"/>
        <v>1526575.6120368</v>
      </c>
      <c r="BS112" s="4">
        <v>3628355</v>
      </c>
      <c r="BT112" s="26"/>
      <c r="BU112" s="4">
        <f t="shared" si="117"/>
        <v>0</v>
      </c>
      <c r="BV112" s="4">
        <f t="shared" si="118"/>
        <v>0</v>
      </c>
      <c r="BW112" s="4">
        <f t="shared" si="119"/>
        <v>0</v>
      </c>
      <c r="BX112" s="4">
        <f t="shared" si="120"/>
        <v>39.63591217773326</v>
      </c>
      <c r="BY112" s="4">
        <f t="shared" si="121"/>
        <v>28.70253195470526</v>
      </c>
      <c r="BZ112" s="4">
        <f t="shared" si="122"/>
        <v>31.661555867561482</v>
      </c>
      <c r="CB112" s="4">
        <f t="shared" si="123"/>
        <v>60.36408782226674</v>
      </c>
      <c r="CD112" s="4">
        <f t="shared" si="129"/>
        <v>12.300364915521168</v>
      </c>
      <c r="CE112" s="4">
        <f t="shared" si="130"/>
        <v>27.29505508075519</v>
      </c>
      <c r="CF112" s="4">
        <f t="shared" si="131"/>
        <v>4.733390965794089</v>
      </c>
      <c r="CG112" s="4">
        <f t="shared" si="132"/>
        <v>-16.098842335722367</v>
      </c>
      <c r="CH112" s="4">
        <f t="shared" si="133"/>
        <v>-13.56323537536745</v>
      </c>
      <c r="CI112" s="4">
        <f t="shared" si="134"/>
        <v>-14.666733250980645</v>
      </c>
      <c r="CK112" s="4">
        <f t="shared" si="135"/>
        <v>-28.22996862634809</v>
      </c>
      <c r="CL112" s="4">
        <f t="shared" si="136"/>
        <v>-8.91065151988182</v>
      </c>
      <c r="CM112" s="4">
        <f t="shared" si="124"/>
        <v>100</v>
      </c>
    </row>
    <row r="113" spans="1:91" ht="15">
      <c r="A113" s="22" t="s">
        <v>58</v>
      </c>
      <c r="B113" s="47">
        <v>3</v>
      </c>
      <c r="C113" s="24">
        <v>51756734.10359635</v>
      </c>
      <c r="D113" s="58">
        <v>0.09785602</v>
      </c>
      <c r="E113" s="24">
        <f t="shared" si="127"/>
        <v>5064708.007576207</v>
      </c>
      <c r="F113" s="25"/>
      <c r="G113" s="24">
        <f t="shared" si="108"/>
        <v>0</v>
      </c>
      <c r="H113" s="6">
        <v>0</v>
      </c>
      <c r="I113" s="6">
        <f t="shared" si="128"/>
        <v>0</v>
      </c>
      <c r="J113" s="6">
        <f t="shared" si="109"/>
        <v>0</v>
      </c>
      <c r="K113" s="6">
        <f t="shared" si="125"/>
        <v>0</v>
      </c>
      <c r="L113" s="24">
        <f t="shared" si="110"/>
        <v>0</v>
      </c>
      <c r="M113" s="24">
        <f t="shared" si="126"/>
        <v>46692026.09602015</v>
      </c>
      <c r="N113" s="6">
        <f t="shared" si="111"/>
        <v>0</v>
      </c>
      <c r="O113" s="6">
        <f t="shared" si="112"/>
        <v>0</v>
      </c>
      <c r="P113" s="24">
        <f t="shared" si="113"/>
        <v>0</v>
      </c>
      <c r="Q113" s="24"/>
      <c r="R113" s="24">
        <f t="shared" si="114"/>
        <v>54718389.16076443</v>
      </c>
      <c r="S113" s="24">
        <f t="shared" si="115"/>
        <v>57451466.106792286</v>
      </c>
      <c r="T113" s="24">
        <f t="shared" si="116"/>
        <v>75033870.59585577</v>
      </c>
      <c r="U113" s="24">
        <f t="shared" si="95"/>
        <v>67657572.68666352</v>
      </c>
      <c r="V113" s="24">
        <f t="shared" si="96"/>
        <v>70390649.63269137</v>
      </c>
      <c r="W113" s="24">
        <f t="shared" si="97"/>
        <v>87973054.12175485</v>
      </c>
      <c r="X113" s="22"/>
      <c r="Y113" s="3">
        <v>9911928</v>
      </c>
      <c r="Z113" s="4">
        <v>0</v>
      </c>
      <c r="AA113" s="4">
        <v>9266600</v>
      </c>
      <c r="AB113" s="4">
        <v>0</v>
      </c>
      <c r="AC113" s="3">
        <v>3</v>
      </c>
      <c r="AD113" s="3">
        <v>72</v>
      </c>
      <c r="AE113" s="3">
        <v>3</v>
      </c>
      <c r="AF113" s="3">
        <v>181</v>
      </c>
      <c r="AG113" s="3">
        <v>3</v>
      </c>
      <c r="AH113" s="3">
        <v>443</v>
      </c>
      <c r="AI113" s="3">
        <v>3</v>
      </c>
      <c r="AJ113" s="3">
        <v>1000</v>
      </c>
      <c r="AK113" s="3">
        <v>0</v>
      </c>
      <c r="AL113" s="3">
        <v>0</v>
      </c>
      <c r="AM113" s="3">
        <v>4</v>
      </c>
      <c r="AN113" s="3">
        <v>3538</v>
      </c>
      <c r="AO113" s="4">
        <v>229</v>
      </c>
      <c r="AP113" s="1">
        <v>602</v>
      </c>
      <c r="AQ113" s="1">
        <v>158</v>
      </c>
      <c r="AR113" s="4">
        <v>12</v>
      </c>
      <c r="AS113" s="3">
        <v>2478</v>
      </c>
      <c r="AT113" s="3">
        <v>24108</v>
      </c>
      <c r="AU113" s="3">
        <v>5837</v>
      </c>
      <c r="AV113" s="3">
        <v>514</v>
      </c>
      <c r="AW113" s="3">
        <v>48799</v>
      </c>
      <c r="AX113" s="3">
        <v>127</v>
      </c>
      <c r="AY113" s="3">
        <v>455</v>
      </c>
      <c r="AZ113" s="3">
        <v>112</v>
      </c>
      <c r="BA113" s="3">
        <v>0</v>
      </c>
      <c r="BB113" s="3">
        <v>24</v>
      </c>
      <c r="BC113" s="3">
        <v>11</v>
      </c>
      <c r="BD113" s="3">
        <v>24</v>
      </c>
      <c r="BE113" s="3">
        <v>16</v>
      </c>
      <c r="BF113" s="3">
        <v>3172000</v>
      </c>
      <c r="BH113" s="4">
        <f t="shared" si="98"/>
        <v>5039538.560764431</v>
      </c>
      <c r="BI113" s="4">
        <f t="shared" si="99"/>
        <v>14947025.8</v>
      </c>
      <c r="BJ113" s="4">
        <f t="shared" si="100"/>
        <v>2803358</v>
      </c>
      <c r="BK113" s="4">
        <f t="shared" si="101"/>
        <v>17875957</v>
      </c>
      <c r="BL113" s="4">
        <f t="shared" si="102"/>
        <v>6742419.6</v>
      </c>
      <c r="BM113" s="4">
        <f t="shared" si="103"/>
        <v>7310090.2</v>
      </c>
      <c r="BN113" s="4">
        <v>26.386002887741352</v>
      </c>
      <c r="BO113" s="8">
        <f t="shared" si="104"/>
        <v>0.048750249750249754</v>
      </c>
      <c r="BP113" s="4">
        <f t="shared" si="105"/>
        <v>54718389.16076443</v>
      </c>
      <c r="BQ113" s="4">
        <f t="shared" si="106"/>
        <v>57451466.106792286</v>
      </c>
      <c r="BR113" s="4">
        <f t="shared" si="107"/>
        <v>75033870.59585577</v>
      </c>
      <c r="BS113" s="4">
        <v>46886562</v>
      </c>
      <c r="BT113" s="26"/>
      <c r="BU113" s="4">
        <f t="shared" si="117"/>
        <v>9.2099541635959</v>
      </c>
      <c r="BV113" s="4">
        <f t="shared" si="118"/>
        <v>27.316275258186323</v>
      </c>
      <c r="BW113" s="4">
        <f t="shared" si="119"/>
        <v>5.1232465776060065</v>
      </c>
      <c r="BX113" s="4">
        <f t="shared" si="120"/>
        <v>32.669011778617694</v>
      </c>
      <c r="BY113" s="4">
        <f t="shared" si="121"/>
        <v>12.322035979879722</v>
      </c>
      <c r="BZ113" s="4">
        <f t="shared" si="122"/>
        <v>13.359476242114354</v>
      </c>
      <c r="CB113" s="4">
        <f t="shared" si="123"/>
        <v>25.681512221994076</v>
      </c>
      <c r="CD113" s="4">
        <f t="shared" si="129"/>
        <v>3.090410751925269</v>
      </c>
      <c r="CE113" s="4">
        <f t="shared" si="130"/>
        <v>-0.02122017743113247</v>
      </c>
      <c r="CF113" s="4">
        <f t="shared" si="131"/>
        <v>-0.3898556118119174</v>
      </c>
      <c r="CG113" s="4">
        <f t="shared" si="132"/>
        <v>-9.1319419366068</v>
      </c>
      <c r="CH113" s="4">
        <f t="shared" si="133"/>
        <v>2.8172605994580895</v>
      </c>
      <c r="CI113" s="4">
        <f t="shared" si="134"/>
        <v>3.635346374466483</v>
      </c>
      <c r="CK113" s="4">
        <f t="shared" si="135"/>
        <v>6.452606973924574</v>
      </c>
      <c r="CL113" s="4">
        <f t="shared" si="136"/>
        <v>0</v>
      </c>
      <c r="CM113" s="4">
        <f t="shared" si="124"/>
        <v>63.473770578217774</v>
      </c>
    </row>
    <row r="114" spans="1:91" ht="15">
      <c r="A114" s="22" t="s">
        <v>112</v>
      </c>
      <c r="B114" s="47">
        <v>9</v>
      </c>
      <c r="C114" s="23">
        <v>648894.65</v>
      </c>
      <c r="D114" s="6">
        <v>0.32005703210675707</v>
      </c>
      <c r="E114" s="24">
        <f>C114*D114</f>
        <v>207683.2958289529</v>
      </c>
      <c r="F114" s="25"/>
      <c r="G114" s="24">
        <f t="shared" si="108"/>
        <v>0</v>
      </c>
      <c r="H114" s="6">
        <v>0.16448792230026865</v>
      </c>
      <c r="I114" s="6">
        <f t="shared" si="128"/>
        <v>0</v>
      </c>
      <c r="J114" s="6">
        <f t="shared" si="109"/>
        <v>0</v>
      </c>
      <c r="K114" s="6">
        <f t="shared" si="125"/>
        <v>0</v>
      </c>
      <c r="L114" s="24">
        <f t="shared" si="110"/>
        <v>106735.33277026002</v>
      </c>
      <c r="M114" s="24">
        <f t="shared" si="126"/>
        <v>441211.3541710471</v>
      </c>
      <c r="N114" s="6">
        <f t="shared" si="111"/>
        <v>0.04112198057506716</v>
      </c>
      <c r="O114" s="6">
        <f t="shared" si="112"/>
        <v>0.04112198057506716</v>
      </c>
      <c r="P114" s="24">
        <f t="shared" si="113"/>
        <v>26683.833192565005</v>
      </c>
      <c r="Q114" s="24"/>
      <c r="R114" s="24">
        <f t="shared" si="114"/>
        <v>709024.51985485</v>
      </c>
      <c r="S114" s="24">
        <f t="shared" si="115"/>
        <v>705579.064431115</v>
      </c>
      <c r="T114" s="24">
        <f t="shared" si="116"/>
        <v>709024.51985485</v>
      </c>
      <c r="U114" s="24">
        <f t="shared" si="95"/>
        <v>871248.18235485</v>
      </c>
      <c r="V114" s="24">
        <f t="shared" si="96"/>
        <v>867802.726931115</v>
      </c>
      <c r="W114" s="24">
        <f t="shared" si="97"/>
        <v>871248.18235485</v>
      </c>
      <c r="X114" s="22"/>
      <c r="Y114" s="3">
        <v>293828</v>
      </c>
      <c r="Z114" s="4">
        <v>0</v>
      </c>
      <c r="AA114" s="3">
        <v>293828</v>
      </c>
      <c r="AB114" s="4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4">
        <v>11</v>
      </c>
      <c r="AP114" s="1">
        <v>0</v>
      </c>
      <c r="AQ114" s="1">
        <v>0</v>
      </c>
      <c r="AR114" s="4">
        <v>0</v>
      </c>
      <c r="AS114" s="3">
        <v>0</v>
      </c>
      <c r="AT114" s="3">
        <v>3</v>
      </c>
      <c r="AU114" s="3">
        <v>0</v>
      </c>
      <c r="AV114" s="3">
        <v>0</v>
      </c>
      <c r="AW114" s="3">
        <v>3</v>
      </c>
      <c r="AX114" s="3">
        <v>14</v>
      </c>
      <c r="AY114" s="3">
        <v>0</v>
      </c>
      <c r="AZ114" s="3">
        <v>0</v>
      </c>
      <c r="BA114" s="3">
        <v>0</v>
      </c>
      <c r="BB114" s="3">
        <v>0</v>
      </c>
      <c r="BC114" s="3">
        <v>0</v>
      </c>
      <c r="BD114" s="3">
        <v>0</v>
      </c>
      <c r="BE114" s="3">
        <v>0</v>
      </c>
      <c r="BF114" s="3">
        <v>147631</v>
      </c>
      <c r="BH114" s="4">
        <f t="shared" si="98"/>
        <v>189706.15585485</v>
      </c>
      <c r="BI114" s="4">
        <f t="shared" si="99"/>
        <v>473944.564</v>
      </c>
      <c r="BJ114" s="4">
        <f t="shared" si="100"/>
        <v>0</v>
      </c>
      <c r="BK114" s="4">
        <f t="shared" si="101"/>
        <v>44517</v>
      </c>
      <c r="BL114" s="4">
        <f t="shared" si="102"/>
        <v>407.40000000000003</v>
      </c>
      <c r="BM114" s="4">
        <f t="shared" si="103"/>
        <v>449.40000000000003</v>
      </c>
      <c r="BN114" s="4">
        <v>23.34114274634048</v>
      </c>
      <c r="BO114" s="8">
        <f t="shared" si="104"/>
        <v>0.00027272727272727274</v>
      </c>
      <c r="BP114" s="4">
        <f t="shared" si="105"/>
        <v>709024.51985485</v>
      </c>
      <c r="BQ114" s="4">
        <f t="shared" si="106"/>
        <v>705579.064431115</v>
      </c>
      <c r="BR114" s="4">
        <f>BP114</f>
        <v>709024.51985485</v>
      </c>
      <c r="BS114" s="4">
        <v>683047</v>
      </c>
      <c r="BT114" s="26"/>
      <c r="BU114" s="4">
        <f t="shared" si="117"/>
        <v>26.75593728319667</v>
      </c>
      <c r="BV114" s="4">
        <f t="shared" si="118"/>
        <v>66.84459433039423</v>
      </c>
      <c r="BW114" s="4">
        <f t="shared" si="119"/>
        <v>0</v>
      </c>
      <c r="BX114" s="4">
        <f t="shared" si="120"/>
        <v>6.278626303236089</v>
      </c>
      <c r="BY114" s="4">
        <f t="shared" si="121"/>
        <v>0.057459225822458444</v>
      </c>
      <c r="BZ114" s="4">
        <f t="shared" si="122"/>
        <v>0.06338285735054695</v>
      </c>
      <c r="CB114" s="4">
        <f t="shared" si="123"/>
        <v>0.1208420831730054</v>
      </c>
      <c r="CD114" s="4">
        <f t="shared" si="129"/>
        <v>-14.4555723676755</v>
      </c>
      <c r="CE114" s="4">
        <f t="shared" si="130"/>
        <v>-39.54953924963904</v>
      </c>
      <c r="CF114" s="4">
        <f t="shared" si="131"/>
        <v>4.733390965794089</v>
      </c>
      <c r="CG114" s="4">
        <f t="shared" si="132"/>
        <v>17.258443538774806</v>
      </c>
      <c r="CH114" s="4">
        <f t="shared" si="133"/>
        <v>15.081837353515352</v>
      </c>
      <c r="CI114" s="4">
        <f t="shared" si="134"/>
        <v>16.93143975923029</v>
      </c>
      <c r="CK114" s="4">
        <f t="shared" si="135"/>
        <v>32.01327711274565</v>
      </c>
      <c r="CL114" s="4">
        <f t="shared" si="136"/>
        <v>0</v>
      </c>
      <c r="CM114" s="4">
        <f t="shared" si="124"/>
        <v>6.399468386409094</v>
      </c>
    </row>
    <row r="115" spans="1:91" ht="15">
      <c r="A115" s="22" t="s">
        <v>61</v>
      </c>
      <c r="B115" s="47">
        <v>5</v>
      </c>
      <c r="C115" s="23">
        <v>1336310</v>
      </c>
      <c r="D115" s="6">
        <v>0.32685602859777274</v>
      </c>
      <c r="E115" s="24">
        <f t="shared" si="127"/>
        <v>436780.9795754897</v>
      </c>
      <c r="F115" s="25"/>
      <c r="G115" s="24">
        <f t="shared" si="108"/>
        <v>0</v>
      </c>
      <c r="H115" s="6">
        <v>0.17128596671904572</v>
      </c>
      <c r="I115" s="6">
        <f t="shared" si="128"/>
        <v>0</v>
      </c>
      <c r="J115" s="6">
        <f t="shared" si="109"/>
        <v>0</v>
      </c>
      <c r="K115" s="6">
        <f t="shared" si="125"/>
        <v>0</v>
      </c>
      <c r="L115" s="24">
        <f t="shared" si="110"/>
        <v>228891.15018632798</v>
      </c>
      <c r="M115" s="24">
        <f t="shared" si="126"/>
        <v>899529.0204245104</v>
      </c>
      <c r="N115" s="6">
        <f t="shared" si="111"/>
        <v>0.04282149167976143</v>
      </c>
      <c r="O115" s="6">
        <f t="shared" si="112"/>
        <v>0.04282149167976143</v>
      </c>
      <c r="P115" s="24">
        <f t="shared" si="113"/>
        <v>57222.787546581996</v>
      </c>
      <c r="Q115" s="24"/>
      <c r="R115" s="24">
        <f t="shared" si="114"/>
        <v>1545365.7206093948</v>
      </c>
      <c r="S115" s="24">
        <f t="shared" si="115"/>
        <v>1416627.225667248</v>
      </c>
      <c r="T115" s="24">
        <f t="shared" si="116"/>
        <v>1445539.25941197</v>
      </c>
      <c r="U115" s="24">
        <f t="shared" si="95"/>
        <v>1879443.2206093948</v>
      </c>
      <c r="V115" s="24">
        <f t="shared" si="96"/>
        <v>1750704.725667248</v>
      </c>
      <c r="W115" s="24">
        <f t="shared" si="97"/>
        <v>1779616.75941197</v>
      </c>
      <c r="X115" s="22"/>
      <c r="Y115" s="3">
        <v>222035</v>
      </c>
      <c r="Z115" s="3">
        <v>209383</v>
      </c>
      <c r="AA115" s="4">
        <v>209383</v>
      </c>
      <c r="AB115" s="4">
        <v>0</v>
      </c>
      <c r="AC115" s="3">
        <v>2</v>
      </c>
      <c r="AD115" s="3">
        <v>30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4">
        <v>51</v>
      </c>
      <c r="AP115" s="1">
        <v>44</v>
      </c>
      <c r="AQ115" s="1">
        <v>0</v>
      </c>
      <c r="AR115" s="4">
        <v>0</v>
      </c>
      <c r="AS115" s="3">
        <v>171</v>
      </c>
      <c r="AT115" s="3">
        <v>1403</v>
      </c>
      <c r="AU115" s="1">
        <v>0</v>
      </c>
      <c r="AV115" s="1">
        <v>0</v>
      </c>
      <c r="AW115" s="3">
        <v>1574</v>
      </c>
      <c r="AX115" s="3">
        <v>10</v>
      </c>
      <c r="AY115" s="3">
        <v>50</v>
      </c>
      <c r="AZ115" s="3">
        <v>4</v>
      </c>
      <c r="BA115" s="3">
        <v>1</v>
      </c>
      <c r="BB115" s="3">
        <v>1</v>
      </c>
      <c r="BC115" s="3">
        <v>1</v>
      </c>
      <c r="BD115" s="3">
        <v>1</v>
      </c>
      <c r="BE115" s="3">
        <v>2</v>
      </c>
      <c r="BF115" s="3">
        <v>88000</v>
      </c>
      <c r="BH115" s="4">
        <f t="shared" si="98"/>
        <v>146107.05760939483</v>
      </c>
      <c r="BI115" s="4">
        <f t="shared" si="99"/>
        <v>494353.263</v>
      </c>
      <c r="BJ115" s="4">
        <f t="shared" si="100"/>
        <v>70906</v>
      </c>
      <c r="BK115" s="4">
        <f t="shared" si="101"/>
        <v>384465</v>
      </c>
      <c r="BL115" s="4">
        <f t="shared" si="102"/>
        <v>213749.2</v>
      </c>
      <c r="BM115" s="4">
        <f t="shared" si="103"/>
        <v>235785.2</v>
      </c>
      <c r="BN115" s="4">
        <v>18.982990717010043</v>
      </c>
      <c r="BO115" s="8">
        <f t="shared" si="104"/>
        <v>0.01656842105263158</v>
      </c>
      <c r="BP115" s="4">
        <f t="shared" si="105"/>
        <v>1545365.7206093948</v>
      </c>
      <c r="BQ115" s="4">
        <f t="shared" si="106"/>
        <v>1416627.225667248</v>
      </c>
      <c r="BR115" s="4">
        <f t="shared" si="107"/>
        <v>1445539.25941197</v>
      </c>
      <c r="BS115" s="4">
        <v>1039423</v>
      </c>
      <c r="BT115" s="26"/>
      <c r="BU115" s="4">
        <f t="shared" si="117"/>
        <v>9.45452947874238</v>
      </c>
      <c r="BV115" s="4">
        <f t="shared" si="118"/>
        <v>31.98940266418348</v>
      </c>
      <c r="BW115" s="4">
        <f t="shared" si="119"/>
        <v>4.588299006143293</v>
      </c>
      <c r="BX115" s="4">
        <f t="shared" si="120"/>
        <v>24.878576952541128</v>
      </c>
      <c r="BY115" s="4">
        <f t="shared" si="121"/>
        <v>13.831625559528446</v>
      </c>
      <c r="BZ115" s="4">
        <f t="shared" si="122"/>
        <v>15.257566338861276</v>
      </c>
      <c r="CB115" s="4">
        <f t="shared" si="123"/>
        <v>29.08919189838972</v>
      </c>
      <c r="CD115" s="4">
        <f t="shared" si="129"/>
        <v>2.8458354367787884</v>
      </c>
      <c r="CE115" s="4">
        <f t="shared" si="130"/>
        <v>-4.694347583428289</v>
      </c>
      <c r="CF115" s="4">
        <f t="shared" si="131"/>
        <v>0.14509195965079602</v>
      </c>
      <c r="CG115" s="4">
        <f t="shared" si="132"/>
        <v>-1.3415071105302339</v>
      </c>
      <c r="CH115" s="4">
        <f t="shared" si="133"/>
        <v>1.3076710198093657</v>
      </c>
      <c r="CI115" s="4">
        <f t="shared" si="134"/>
        <v>1.7372562777195615</v>
      </c>
      <c r="CK115" s="4">
        <f t="shared" si="135"/>
        <v>3.044927297528929</v>
      </c>
      <c r="CL115" s="4">
        <f t="shared" si="136"/>
        <v>0</v>
      </c>
      <c r="CM115" s="4">
        <f t="shared" si="124"/>
        <v>58.55606785707414</v>
      </c>
    </row>
    <row r="116" spans="1:91" ht="15">
      <c r="A116" s="22" t="s">
        <v>63</v>
      </c>
      <c r="B116" s="47">
        <v>8</v>
      </c>
      <c r="C116" s="23">
        <v>4382277</v>
      </c>
      <c r="D116" s="6">
        <v>0.9372592091459905</v>
      </c>
      <c r="E116" s="24">
        <f t="shared" si="127"/>
        <v>4107329.475278664</v>
      </c>
      <c r="F116" s="25"/>
      <c r="G116" s="24">
        <f t="shared" si="108"/>
        <v>0</v>
      </c>
      <c r="H116" s="6">
        <v>0.7938790769917561</v>
      </c>
      <c r="I116" s="6">
        <f t="shared" si="128"/>
        <v>0</v>
      </c>
      <c r="J116" s="6">
        <f t="shared" si="109"/>
        <v>0</v>
      </c>
      <c r="K116" s="6">
        <f t="shared" si="125"/>
        <v>0</v>
      </c>
      <c r="L116" s="24">
        <f t="shared" si="110"/>
        <v>3478998.0198822017</v>
      </c>
      <c r="M116" s="24">
        <f t="shared" si="126"/>
        <v>274947.5247213361</v>
      </c>
      <c r="N116" s="6">
        <f t="shared" si="111"/>
        <v>0.19846976924793902</v>
      </c>
      <c r="O116" s="6">
        <f t="shared" si="112"/>
        <v>0.05</v>
      </c>
      <c r="P116" s="24">
        <f>C116*O116</f>
        <v>219113.85</v>
      </c>
      <c r="Q116" s="24"/>
      <c r="R116" s="24">
        <f t="shared" si="114"/>
        <v>479402.8</v>
      </c>
      <c r="S116" s="24">
        <f t="shared" si="115"/>
        <v>275656.61</v>
      </c>
      <c r="T116" s="24">
        <f t="shared" si="116"/>
        <v>341125.93378013326</v>
      </c>
      <c r="U116" s="24">
        <f t="shared" si="95"/>
        <v>1574972.05</v>
      </c>
      <c r="V116" s="24">
        <f t="shared" si="96"/>
        <v>1371225.8599999999</v>
      </c>
      <c r="W116" s="24">
        <f t="shared" si="97"/>
        <v>1436695.1837801333</v>
      </c>
      <c r="X116" s="22"/>
      <c r="Z116" s="4">
        <v>0</v>
      </c>
      <c r="AA116" s="3">
        <v>0</v>
      </c>
      <c r="AB116" s="4">
        <v>0</v>
      </c>
      <c r="AC116" s="3">
        <v>6</v>
      </c>
      <c r="AD116" s="3">
        <v>100</v>
      </c>
      <c r="AE116" s="3">
        <v>3</v>
      </c>
      <c r="AF116" s="3">
        <v>200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4">
        <v>24</v>
      </c>
      <c r="AP116" s="1">
        <v>0</v>
      </c>
      <c r="AQ116" s="1">
        <v>0</v>
      </c>
      <c r="AR116" s="4">
        <v>0</v>
      </c>
      <c r="AS116" s="3">
        <v>0</v>
      </c>
      <c r="AT116" s="3">
        <v>0</v>
      </c>
      <c r="AU116" s="1">
        <v>0</v>
      </c>
      <c r="AV116" s="1">
        <v>0</v>
      </c>
      <c r="AW116" s="4">
        <v>1</v>
      </c>
      <c r="AX116" s="3">
        <v>0</v>
      </c>
      <c r="AY116" s="3">
        <v>0</v>
      </c>
      <c r="AZ116" s="3">
        <v>0</v>
      </c>
      <c r="BA116" s="3">
        <v>0</v>
      </c>
      <c r="BB116" s="3">
        <v>0</v>
      </c>
      <c r="BC116" s="3">
        <v>0</v>
      </c>
      <c r="BD116" s="3">
        <v>0</v>
      </c>
      <c r="BE116" s="3">
        <v>0</v>
      </c>
      <c r="BF116" s="4">
        <v>0</v>
      </c>
      <c r="BH116" s="4">
        <f t="shared" si="98"/>
        <v>0</v>
      </c>
      <c r="BI116" s="4">
        <f t="shared" si="99"/>
        <v>0</v>
      </c>
      <c r="BJ116" s="4">
        <f t="shared" si="100"/>
        <v>382125</v>
      </c>
      <c r="BK116" s="4">
        <f t="shared" si="101"/>
        <v>97128</v>
      </c>
      <c r="BL116" s="4">
        <f t="shared" si="102"/>
        <v>0</v>
      </c>
      <c r="BM116" s="4">
        <f t="shared" si="103"/>
        <v>149.8</v>
      </c>
      <c r="BO116" s="8">
        <f t="shared" si="104"/>
        <v>4.1666666666666665E-05</v>
      </c>
      <c r="BP116" s="4">
        <f t="shared" si="105"/>
        <v>479402.8</v>
      </c>
      <c r="BQ116" s="4">
        <f t="shared" si="106"/>
        <v>275656.61</v>
      </c>
      <c r="BR116" s="4">
        <f t="shared" si="107"/>
        <v>341125.93378013326</v>
      </c>
      <c r="BS116" s="4">
        <v>1781758</v>
      </c>
      <c r="BT116" s="26"/>
      <c r="BU116" s="4">
        <f t="shared" si="117"/>
        <v>0</v>
      </c>
      <c r="BV116" s="4">
        <f t="shared" si="118"/>
        <v>0</v>
      </c>
      <c r="BW116" s="4">
        <f t="shared" si="119"/>
        <v>79.70854571562786</v>
      </c>
      <c r="BX116" s="4">
        <f t="shared" si="120"/>
        <v>20.26020707430161</v>
      </c>
      <c r="BY116" s="4">
        <f t="shared" si="121"/>
        <v>0</v>
      </c>
      <c r="BZ116" s="4">
        <f t="shared" si="122"/>
        <v>0.03124721007052942</v>
      </c>
      <c r="CB116" s="4">
        <f t="shared" si="123"/>
        <v>0.03124721007052942</v>
      </c>
      <c r="CD116" s="4">
        <f t="shared" si="129"/>
        <v>12.300364915521168</v>
      </c>
      <c r="CE116" s="4">
        <f t="shared" si="130"/>
        <v>27.29505508075519</v>
      </c>
      <c r="CF116" s="4">
        <f t="shared" si="131"/>
        <v>-74.97515474983378</v>
      </c>
      <c r="CG116" s="4">
        <f t="shared" si="132"/>
        <v>3.2768627677092823</v>
      </c>
      <c r="CH116" s="4">
        <f t="shared" si="133"/>
        <v>15.139296579337811</v>
      </c>
      <c r="CI116" s="4">
        <f t="shared" si="134"/>
        <v>16.96357540651031</v>
      </c>
      <c r="CK116" s="4">
        <f t="shared" si="135"/>
        <v>32.10287198584812</v>
      </c>
      <c r="CL116" s="4">
        <f t="shared" si="136"/>
        <v>0</v>
      </c>
      <c r="CM116" s="4">
        <f t="shared" si="124"/>
        <v>100.00000000000001</v>
      </c>
    </row>
    <row r="117" spans="1:91" ht="15">
      <c r="A117" s="22" t="s">
        <v>54</v>
      </c>
      <c r="B117" s="47">
        <v>9</v>
      </c>
      <c r="C117" s="23">
        <v>2333645</v>
      </c>
      <c r="D117" s="6">
        <v>0.4960013385753057</v>
      </c>
      <c r="E117" s="24">
        <f t="shared" si="127"/>
        <v>1157491.0437595693</v>
      </c>
      <c r="F117" s="25"/>
      <c r="G117" s="24">
        <f t="shared" si="108"/>
        <v>0</v>
      </c>
      <c r="H117" s="6">
        <v>0.34043157619539766</v>
      </c>
      <c r="I117" s="6">
        <f t="shared" si="128"/>
        <v>0</v>
      </c>
      <c r="J117" s="6">
        <f t="shared" si="109"/>
        <v>0</v>
      </c>
      <c r="K117" s="6">
        <f t="shared" si="125"/>
        <v>0</v>
      </c>
      <c r="L117" s="24">
        <f t="shared" si="110"/>
        <v>794446.4456305087</v>
      </c>
      <c r="M117" s="24">
        <f t="shared" si="126"/>
        <v>1176153.9562404307</v>
      </c>
      <c r="N117" s="6">
        <f t="shared" si="111"/>
        <v>0.08510789404884941</v>
      </c>
      <c r="O117" s="6">
        <f t="shared" si="112"/>
        <v>0.05</v>
      </c>
      <c r="P117" s="24">
        <f t="shared" si="113"/>
        <v>116682.25</v>
      </c>
      <c r="Q117" s="24"/>
      <c r="R117" s="24">
        <f t="shared" si="114"/>
        <v>1493569.1885685173</v>
      </c>
      <c r="S117" s="24">
        <f t="shared" si="115"/>
        <v>1646283.6333860161</v>
      </c>
      <c r="T117" s="24">
        <f t="shared" si="116"/>
        <v>1890074.1336127024</v>
      </c>
      <c r="U117" s="24">
        <f t="shared" si="95"/>
        <v>2076980.4385685173</v>
      </c>
      <c r="V117" s="24">
        <f t="shared" si="96"/>
        <v>2229694.883386016</v>
      </c>
      <c r="W117" s="24">
        <f t="shared" si="97"/>
        <v>2473485.3836127026</v>
      </c>
      <c r="X117" s="22"/>
      <c r="Y117" s="3">
        <v>330450</v>
      </c>
      <c r="Z117" s="4">
        <v>0</v>
      </c>
      <c r="AA117" s="3">
        <v>318381</v>
      </c>
      <c r="AB117" s="4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4">
        <v>2</v>
      </c>
      <c r="AP117" s="1">
        <v>47</v>
      </c>
      <c r="AQ117" s="1">
        <v>0</v>
      </c>
      <c r="AR117" s="4">
        <v>0</v>
      </c>
      <c r="AS117" s="3">
        <v>0</v>
      </c>
      <c r="AT117" s="3">
        <v>1985</v>
      </c>
      <c r="AU117" s="1">
        <v>0</v>
      </c>
      <c r="AV117" s="1">
        <v>0</v>
      </c>
      <c r="AW117" s="3">
        <v>2006</v>
      </c>
      <c r="AX117" s="3">
        <v>6</v>
      </c>
      <c r="AY117" s="3">
        <v>14</v>
      </c>
      <c r="AZ117" s="3">
        <v>10</v>
      </c>
      <c r="BA117" s="3">
        <v>3</v>
      </c>
      <c r="BB117" s="3">
        <v>1</v>
      </c>
      <c r="BC117" s="3">
        <v>1</v>
      </c>
      <c r="BD117" s="3">
        <v>2</v>
      </c>
      <c r="BE117" s="3">
        <v>3</v>
      </c>
      <c r="BF117" s="3">
        <v>178417</v>
      </c>
      <c r="BH117" s="4">
        <f t="shared" si="98"/>
        <v>211655.83556851727</v>
      </c>
      <c r="BI117" s="4">
        <f t="shared" si="99"/>
        <v>513548.553</v>
      </c>
      <c r="BJ117" s="4">
        <f t="shared" si="100"/>
        <v>0</v>
      </c>
      <c r="BK117" s="4">
        <f t="shared" si="101"/>
        <v>198303</v>
      </c>
      <c r="BL117" s="4">
        <f t="shared" si="102"/>
        <v>269563</v>
      </c>
      <c r="BM117" s="4">
        <f t="shared" si="103"/>
        <v>300498.80000000005</v>
      </c>
      <c r="BN117" s="4">
        <v>29.29155490181747</v>
      </c>
      <c r="BO117" s="8">
        <f t="shared" si="104"/>
        <v>0.040938775510204084</v>
      </c>
      <c r="BP117" s="4">
        <f t="shared" si="105"/>
        <v>1493569.1885685173</v>
      </c>
      <c r="BQ117" s="4">
        <f t="shared" si="106"/>
        <v>1646283.6333860161</v>
      </c>
      <c r="BR117" s="4">
        <f t="shared" si="107"/>
        <v>1890074.1336127024</v>
      </c>
      <c r="BS117" s="4">
        <v>2473596</v>
      </c>
      <c r="BT117" s="26"/>
      <c r="BU117" s="4">
        <f t="shared" si="117"/>
        <v>14.171143673054393</v>
      </c>
      <c r="BV117" s="4">
        <f t="shared" si="118"/>
        <v>34.38398146738691</v>
      </c>
      <c r="BW117" s="4">
        <f t="shared" si="119"/>
        <v>0</v>
      </c>
      <c r="BX117" s="4">
        <f t="shared" si="120"/>
        <v>13.277121777670017</v>
      </c>
      <c r="BY117" s="4">
        <f t="shared" si="121"/>
        <v>18.048243232598917</v>
      </c>
      <c r="BZ117" s="4">
        <f t="shared" si="122"/>
        <v>20.119509849289763</v>
      </c>
      <c r="CB117" s="4">
        <f t="shared" si="123"/>
        <v>38.16775308188868</v>
      </c>
      <c r="CD117" s="4">
        <f t="shared" si="129"/>
        <v>-1.870778757533225</v>
      </c>
      <c r="CE117" s="4">
        <f t="shared" si="130"/>
        <v>-7.088926386631719</v>
      </c>
      <c r="CF117" s="4">
        <f t="shared" si="131"/>
        <v>4.733390965794089</v>
      </c>
      <c r="CG117" s="4">
        <f t="shared" si="132"/>
        <v>10.259948064340877</v>
      </c>
      <c r="CH117" s="4">
        <f t="shared" si="133"/>
        <v>-2.908946653261106</v>
      </c>
      <c r="CI117" s="4">
        <f t="shared" si="134"/>
        <v>-3.1246872327089257</v>
      </c>
      <c r="CK117" s="4">
        <f t="shared" si="135"/>
        <v>-6.033633885970026</v>
      </c>
      <c r="CL117" s="4">
        <f t="shared" si="136"/>
        <v>0</v>
      </c>
      <c r="CM117" s="4">
        <f t="shared" si="124"/>
        <v>51.444874859558695</v>
      </c>
    </row>
    <row r="118" spans="1:91" ht="15">
      <c r="A118" s="22" t="s">
        <v>95</v>
      </c>
      <c r="B118" s="47">
        <v>8</v>
      </c>
      <c r="C118" s="23">
        <v>7752562</v>
      </c>
      <c r="D118" s="6">
        <v>0.322428046879216</v>
      </c>
      <c r="E118" s="24">
        <f t="shared" si="127"/>
        <v>2499643.4239700288</v>
      </c>
      <c r="F118" s="25"/>
      <c r="G118" s="24">
        <f t="shared" si="108"/>
        <v>0</v>
      </c>
      <c r="H118" s="6">
        <v>0.16685825796921383</v>
      </c>
      <c r="I118" s="6">
        <f t="shared" si="128"/>
        <v>0</v>
      </c>
      <c r="J118" s="6">
        <f t="shared" si="109"/>
        <v>0</v>
      </c>
      <c r="K118" s="6">
        <f t="shared" si="125"/>
        <v>0</v>
      </c>
      <c r="L118" s="24">
        <f t="shared" si="110"/>
        <v>1293578.9901183243</v>
      </c>
      <c r="M118" s="24">
        <f t="shared" si="126"/>
        <v>5252918.576029971</v>
      </c>
      <c r="N118" s="6">
        <f t="shared" si="111"/>
        <v>0.04171456449230346</v>
      </c>
      <c r="O118" s="6">
        <f t="shared" si="112"/>
        <v>0.04171456449230346</v>
      </c>
      <c r="P118" s="24">
        <f t="shared" si="113"/>
        <v>323394.7475295811</v>
      </c>
      <c r="Q118" s="33"/>
      <c r="R118" s="24">
        <f t="shared" si="114"/>
        <v>8948434.812029567</v>
      </c>
      <c r="S118" s="24">
        <f t="shared" si="115"/>
        <v>8804437.156666998</v>
      </c>
      <c r="T118" s="24">
        <f t="shared" si="116"/>
        <v>8441415.99942913</v>
      </c>
      <c r="U118" s="24">
        <f t="shared" si="95"/>
        <v>10886575.312029567</v>
      </c>
      <c r="V118" s="24">
        <f t="shared" si="96"/>
        <v>10742577.656666998</v>
      </c>
      <c r="W118" s="24">
        <f t="shared" si="97"/>
        <v>10379556.49942913</v>
      </c>
      <c r="X118" s="22"/>
      <c r="Y118" s="3">
        <v>1548519</v>
      </c>
      <c r="Z118" s="4">
        <v>0</v>
      </c>
      <c r="AA118" s="4">
        <v>1424126</v>
      </c>
      <c r="AB118" s="4">
        <v>0</v>
      </c>
      <c r="AC118" s="3">
        <v>5</v>
      </c>
      <c r="AD118" s="3">
        <v>95</v>
      </c>
      <c r="AE118" s="3">
        <v>2</v>
      </c>
      <c r="AF118" s="3">
        <v>128</v>
      </c>
      <c r="AG118" s="3">
        <v>2</v>
      </c>
      <c r="AH118" s="3">
        <v>206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4">
        <v>323</v>
      </c>
      <c r="AP118" s="1">
        <v>175</v>
      </c>
      <c r="AQ118" s="1">
        <v>7</v>
      </c>
      <c r="AR118" s="4">
        <v>0</v>
      </c>
      <c r="AS118" s="3">
        <v>1386</v>
      </c>
      <c r="AT118" s="3">
        <v>6882</v>
      </c>
      <c r="AU118" s="3">
        <v>337</v>
      </c>
      <c r="AV118" s="3">
        <v>0</v>
      </c>
      <c r="AW118" s="3">
        <v>8663</v>
      </c>
      <c r="AX118" s="3">
        <v>30</v>
      </c>
      <c r="AY118" s="3">
        <v>20</v>
      </c>
      <c r="AZ118" s="3">
        <v>4</v>
      </c>
      <c r="BA118" s="3">
        <v>3</v>
      </c>
      <c r="BB118" s="3">
        <v>4</v>
      </c>
      <c r="BC118" s="3">
        <v>14</v>
      </c>
      <c r="BD118" s="3">
        <v>4</v>
      </c>
      <c r="BE118" s="3">
        <v>4</v>
      </c>
      <c r="BF118" s="3">
        <v>812011</v>
      </c>
      <c r="BH118" s="4">
        <f t="shared" si="98"/>
        <v>893085.374029567</v>
      </c>
      <c r="BI118" s="4">
        <f t="shared" si="99"/>
        <v>2297115.238</v>
      </c>
      <c r="BJ118" s="4">
        <f t="shared" si="100"/>
        <v>579749</v>
      </c>
      <c r="BK118" s="4">
        <f t="shared" si="101"/>
        <v>2612996</v>
      </c>
      <c r="BL118" s="4">
        <f t="shared" si="102"/>
        <v>1267771.8</v>
      </c>
      <c r="BM118" s="4">
        <f t="shared" si="103"/>
        <v>1297717.4000000001</v>
      </c>
      <c r="BN118" s="4">
        <v>22.717114573123197</v>
      </c>
      <c r="BO118" s="8">
        <f t="shared" si="104"/>
        <v>0.017154455445544555</v>
      </c>
      <c r="BP118" s="4">
        <f t="shared" si="105"/>
        <v>8948434.812029567</v>
      </c>
      <c r="BQ118" s="4">
        <f t="shared" si="106"/>
        <v>8804437.156666998</v>
      </c>
      <c r="BR118" s="4">
        <f t="shared" si="107"/>
        <v>8441415.99942913</v>
      </c>
      <c r="BS118" s="4">
        <v>7189261</v>
      </c>
      <c r="BT118" s="26"/>
      <c r="BU118" s="4">
        <f t="shared" si="117"/>
        <v>9.980352908521766</v>
      </c>
      <c r="BV118" s="4">
        <f t="shared" si="118"/>
        <v>25.67058135029313</v>
      </c>
      <c r="BW118" s="4">
        <f t="shared" si="119"/>
        <v>6.4787754750208535</v>
      </c>
      <c r="BX118" s="4">
        <f t="shared" si="120"/>
        <v>29.200592672221237</v>
      </c>
      <c r="BY118" s="4">
        <f t="shared" si="121"/>
        <v>14.167525680532512</v>
      </c>
      <c r="BZ118" s="4">
        <f t="shared" si="122"/>
        <v>14.502171913410509</v>
      </c>
      <c r="CB118" s="4">
        <f t="shared" si="123"/>
        <v>28.66969759394302</v>
      </c>
      <c r="CD118" s="4">
        <f t="shared" si="129"/>
        <v>2.320012006999402</v>
      </c>
      <c r="CE118" s="4">
        <f t="shared" si="130"/>
        <v>1.6244737304620607</v>
      </c>
      <c r="CF118" s="4">
        <f t="shared" si="131"/>
        <v>-1.7453845092267644</v>
      </c>
      <c r="CG118" s="4">
        <f t="shared" si="132"/>
        <v>-5.6635228302103435</v>
      </c>
      <c r="CH118" s="4">
        <f t="shared" si="133"/>
        <v>0.9717708988052998</v>
      </c>
      <c r="CI118" s="4">
        <f t="shared" si="134"/>
        <v>2.4926507031703284</v>
      </c>
      <c r="CK118" s="4">
        <f t="shared" si="135"/>
        <v>3.46442160197563</v>
      </c>
      <c r="CL118" s="4">
        <f t="shared" si="136"/>
        <v>0</v>
      </c>
      <c r="CM118" s="4">
        <f t="shared" si="124"/>
        <v>64.34906574118511</v>
      </c>
    </row>
    <row r="119" spans="1:91" ht="15">
      <c r="A119" s="22" t="s">
        <v>48</v>
      </c>
      <c r="B119" s="47">
        <v>9</v>
      </c>
      <c r="C119" s="23">
        <v>550582</v>
      </c>
      <c r="D119" s="6">
        <v>0</v>
      </c>
      <c r="E119" s="24">
        <f t="shared" si="127"/>
        <v>0</v>
      </c>
      <c r="F119" s="25"/>
      <c r="G119" s="24">
        <f t="shared" si="108"/>
        <v>0</v>
      </c>
      <c r="H119" s="6">
        <v>0</v>
      </c>
      <c r="I119" s="6">
        <f t="shared" si="128"/>
        <v>0</v>
      </c>
      <c r="J119" s="6">
        <f t="shared" si="109"/>
        <v>0</v>
      </c>
      <c r="K119" s="6">
        <f t="shared" si="125"/>
        <v>0</v>
      </c>
      <c r="L119" s="24">
        <f t="shared" si="110"/>
        <v>0</v>
      </c>
      <c r="M119" s="24">
        <v>644425</v>
      </c>
      <c r="N119" s="6">
        <f t="shared" si="111"/>
        <v>0</v>
      </c>
      <c r="O119" s="6">
        <f t="shared" si="112"/>
        <v>0</v>
      </c>
      <c r="P119" s="24">
        <f t="shared" si="113"/>
        <v>0</v>
      </c>
      <c r="Q119" s="24"/>
      <c r="R119" s="24">
        <f t="shared" si="114"/>
        <v>1017696.6617144453</v>
      </c>
      <c r="S119" s="24">
        <f t="shared" si="115"/>
        <v>1125081.846813382</v>
      </c>
      <c r="T119" s="24">
        <f t="shared" si="116"/>
        <v>925168.6989280297</v>
      </c>
      <c r="U119" s="24">
        <f t="shared" si="95"/>
        <v>1155342.1617144453</v>
      </c>
      <c r="V119" s="24">
        <f t="shared" si="96"/>
        <v>1262727.346813382</v>
      </c>
      <c r="W119" s="24">
        <f t="shared" si="97"/>
        <v>1062814.1989280297</v>
      </c>
      <c r="X119" s="22"/>
      <c r="Y119" s="3">
        <v>219862</v>
      </c>
      <c r="Z119" s="4">
        <v>0</v>
      </c>
      <c r="AA119" s="3">
        <v>217990</v>
      </c>
      <c r="AB119" s="4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1">
        <v>47</v>
      </c>
      <c r="AP119" s="1">
        <v>17</v>
      </c>
      <c r="AQ119" s="1">
        <v>0</v>
      </c>
      <c r="AR119" s="1">
        <v>0</v>
      </c>
      <c r="AS119" s="3">
        <v>597</v>
      </c>
      <c r="AT119" s="3">
        <v>302</v>
      </c>
      <c r="AU119" s="1">
        <v>0</v>
      </c>
      <c r="AV119" s="1">
        <v>0</v>
      </c>
      <c r="AW119" s="3">
        <v>936</v>
      </c>
      <c r="AX119" s="3">
        <v>10</v>
      </c>
      <c r="AY119" s="3">
        <v>0</v>
      </c>
      <c r="AZ119" s="3">
        <v>4</v>
      </c>
      <c r="BA119" s="3">
        <v>1</v>
      </c>
      <c r="BB119" s="3">
        <v>1</v>
      </c>
      <c r="BC119" s="3">
        <v>1</v>
      </c>
      <c r="BD119" s="3">
        <v>1</v>
      </c>
      <c r="BE119" s="3">
        <v>2</v>
      </c>
      <c r="BF119" s="3">
        <v>113010</v>
      </c>
      <c r="BH119" s="4">
        <f t="shared" si="98"/>
        <v>144773.79171444528</v>
      </c>
      <c r="BI119" s="4">
        <f t="shared" si="99"/>
        <v>351617.87</v>
      </c>
      <c r="BJ119" s="4">
        <f t="shared" si="100"/>
        <v>0</v>
      </c>
      <c r="BK119" s="4">
        <f t="shared" si="101"/>
        <v>259008</v>
      </c>
      <c r="BL119" s="4">
        <f t="shared" si="102"/>
        <v>122084.20000000001</v>
      </c>
      <c r="BM119" s="4">
        <f t="shared" si="103"/>
        <v>140212.80000000002</v>
      </c>
      <c r="BN119" s="4">
        <v>29.473215057249003</v>
      </c>
      <c r="BO119" s="8">
        <f t="shared" si="104"/>
        <v>0.014625</v>
      </c>
      <c r="BP119" s="4">
        <f t="shared" si="105"/>
        <v>1017696.6617144453</v>
      </c>
      <c r="BQ119" s="4">
        <f t="shared" si="106"/>
        <v>1125081.846813382</v>
      </c>
      <c r="BR119" s="4">
        <f t="shared" si="107"/>
        <v>925168.6989280297</v>
      </c>
      <c r="BS119" s="4">
        <v>543773</v>
      </c>
      <c r="BT119" s="26"/>
      <c r="BU119" s="4">
        <f t="shared" si="117"/>
        <v>14.225632957324885</v>
      </c>
      <c r="BV119" s="4">
        <f t="shared" si="118"/>
        <v>34.550360950153156</v>
      </c>
      <c r="BW119" s="4">
        <f t="shared" si="119"/>
        <v>0</v>
      </c>
      <c r="BX119" s="4">
        <f t="shared" si="120"/>
        <v>25.45041265672097</v>
      </c>
      <c r="BY119" s="4">
        <f t="shared" si="121"/>
        <v>11.99612857079957</v>
      </c>
      <c r="BZ119" s="4">
        <f t="shared" si="122"/>
        <v>13.777464865001415</v>
      </c>
      <c r="CB119" s="4">
        <f t="shared" si="123"/>
        <v>25.773593435800983</v>
      </c>
      <c r="CD119" s="4">
        <f t="shared" si="129"/>
        <v>-1.925268041803717</v>
      </c>
      <c r="CE119" s="4">
        <f t="shared" si="130"/>
        <v>-7.255305869397965</v>
      </c>
      <c r="CF119" s="4">
        <f t="shared" si="131"/>
        <v>4.733390965794089</v>
      </c>
      <c r="CG119" s="4">
        <f t="shared" si="132"/>
        <v>-1.9133428147100773</v>
      </c>
      <c r="CH119" s="4">
        <f t="shared" si="133"/>
        <v>3.1431680085382414</v>
      </c>
      <c r="CI119" s="4">
        <f t="shared" si="134"/>
        <v>3.2173577515794225</v>
      </c>
      <c r="CK119" s="4">
        <f t="shared" si="135"/>
        <v>6.3605257601176675</v>
      </c>
      <c r="CL119" s="4">
        <f t="shared" si="136"/>
        <v>0</v>
      </c>
      <c r="CM119" s="4">
        <f t="shared" si="124"/>
        <v>51.224006092521954</v>
      </c>
    </row>
    <row r="120" spans="1:91" ht="15">
      <c r="A120" s="22" t="s">
        <v>213</v>
      </c>
      <c r="B120" s="47">
        <v>10</v>
      </c>
      <c r="C120" s="23">
        <v>11145546.299999999</v>
      </c>
      <c r="D120" s="6">
        <v>0.05903833</v>
      </c>
      <c r="E120" s="24">
        <f>C120*D120</f>
        <v>658014.4404896789</v>
      </c>
      <c r="F120" s="25"/>
      <c r="G120" s="24">
        <f>C120*F120</f>
        <v>0</v>
      </c>
      <c r="H120" s="6">
        <v>0</v>
      </c>
      <c r="I120" s="6">
        <f t="shared" si="128"/>
        <v>0</v>
      </c>
      <c r="J120" s="6">
        <f>CL120/100</f>
        <v>0</v>
      </c>
      <c r="K120" s="6">
        <f>IF(J120&lt;0,H120+J120,0)</f>
        <v>0</v>
      </c>
      <c r="L120" s="24">
        <f>IF(J120&lt;0,(H120+J120)*C120,H120*C120)</f>
        <v>0</v>
      </c>
      <c r="M120" s="24">
        <f t="shared" si="126"/>
        <v>10487531.85951032</v>
      </c>
      <c r="N120" s="6">
        <f>IF(J120&lt;0,(H120+J120)/4,H120/4)</f>
        <v>0</v>
      </c>
      <c r="O120" s="6">
        <f>IF(N120&gt;0.05,0.05,IF(N120&gt;0.01,N120,0))</f>
        <v>0</v>
      </c>
      <c r="P120" s="24">
        <f>C120*O120</f>
        <v>0</v>
      </c>
      <c r="Q120" s="24"/>
      <c r="R120" s="24">
        <f>BP120</f>
        <v>14817760.812156599</v>
      </c>
      <c r="S120" s="24">
        <f>BQ120</f>
        <v>15740523.123600332</v>
      </c>
      <c r="T120" s="24">
        <f>BR120</f>
        <v>16853414.942823775</v>
      </c>
      <c r="U120" s="24">
        <f aca="true" t="shared" si="139" ref="U120:U126">R120+(0.25*C120)</f>
        <v>17604147.3871566</v>
      </c>
      <c r="V120" s="24">
        <f aca="true" t="shared" si="140" ref="V120:V126">S120+(0.25*C120)</f>
        <v>18526909.698600333</v>
      </c>
      <c r="W120" s="24">
        <f aca="true" t="shared" si="141" ref="W120:W126">T120+(0.25*C120)</f>
        <v>19639801.517823774</v>
      </c>
      <c r="X120" s="22"/>
      <c r="Y120" s="3">
        <v>2543274</v>
      </c>
      <c r="Z120" s="4">
        <v>0</v>
      </c>
      <c r="AA120" s="3">
        <f>1129380+329642+459168+604890</f>
        <v>2523080</v>
      </c>
      <c r="AB120" s="4">
        <v>0</v>
      </c>
      <c r="AC120" s="3">
        <v>3</v>
      </c>
      <c r="AD120" s="3">
        <v>72</v>
      </c>
      <c r="AE120" s="3">
        <v>1</v>
      </c>
      <c r="AF120" s="3">
        <v>82</v>
      </c>
      <c r="AG120" s="3">
        <v>1</v>
      </c>
      <c r="AH120" s="3">
        <v>120</v>
      </c>
      <c r="AI120" s="3">
        <v>2</v>
      </c>
      <c r="AJ120" s="3">
        <v>720</v>
      </c>
      <c r="AK120" s="3">
        <v>0</v>
      </c>
      <c r="AL120" s="3">
        <v>0</v>
      </c>
      <c r="AM120" s="3">
        <v>1</v>
      </c>
      <c r="AN120" s="3">
        <v>1064</v>
      </c>
      <c r="AO120" s="1">
        <f>50.8+42</f>
        <v>92.8</v>
      </c>
      <c r="AP120" s="1">
        <f>144.9+66</f>
        <v>210.9</v>
      </c>
      <c r="AQ120" s="1">
        <f>24.3+15</f>
        <v>39.3</v>
      </c>
      <c r="AR120" s="1">
        <v>0</v>
      </c>
      <c r="AS120" s="3">
        <v>765</v>
      </c>
      <c r="AT120" s="3">
        <v>8101</v>
      </c>
      <c r="AU120" s="1">
        <v>1838</v>
      </c>
      <c r="AV120" s="1">
        <v>0</v>
      </c>
      <c r="AW120" s="3">
        <v>10798</v>
      </c>
      <c r="AX120" s="3">
        <v>55</v>
      </c>
      <c r="AY120" s="3">
        <v>8</v>
      </c>
      <c r="AZ120" s="3">
        <v>30</v>
      </c>
      <c r="BA120" s="3">
        <v>4</v>
      </c>
      <c r="BB120" s="3">
        <v>4</v>
      </c>
      <c r="BC120" s="3">
        <v>4</v>
      </c>
      <c r="BD120" s="3">
        <v>4</v>
      </c>
      <c r="BE120" s="3">
        <v>10</v>
      </c>
      <c r="BF120" s="3">
        <v>974053</v>
      </c>
      <c r="BH120" s="4">
        <f>1.518*(Y120)^0.9321</f>
        <v>1418204.0721565983</v>
      </c>
      <c r="BI120" s="4">
        <f>0.748*Z120+1.613*AA120+1.774*AB120</f>
        <v>4069728.04</v>
      </c>
      <c r="BJ120" s="4">
        <f>35453*AC120+56469*AE120+144773*AG120+178851*(AI120+AK120)+440*AN120</f>
        <v>1133463</v>
      </c>
      <c r="BK120" s="4">
        <f>4047*(AO120+AP120)+85370*(AQ120+AR120)</f>
        <v>4584114.899999999</v>
      </c>
      <c r="BL120" s="4">
        <f>135.8*(AS120+AT120)+430.2*AU120+1208.1*AV120</f>
        <v>1994710.4</v>
      </c>
      <c r="BM120" s="4">
        <f>149.8*AW120</f>
        <v>1617540.4000000001</v>
      </c>
      <c r="BN120" s="4">
        <v>27.070781806829682</v>
      </c>
      <c r="BO120" s="8">
        <f t="shared" si="104"/>
        <v>0.03148104956268222</v>
      </c>
      <c r="BP120" s="4">
        <f>SUM(BG120:BM120)</f>
        <v>14817760.812156599</v>
      </c>
      <c r="BQ120" s="4">
        <f>(0.575+0.018*BN120)*BP120</f>
        <v>15740523.123600332</v>
      </c>
      <c r="BR120" s="4">
        <f>(0.711+13.544*BO120)*BP120</f>
        <v>16853414.942823775</v>
      </c>
      <c r="BS120" s="4">
        <v>12079924</v>
      </c>
      <c r="BT120" s="26"/>
      <c r="BU120" s="4">
        <f aca="true" t="shared" si="142" ref="BU120:BZ120">(BH120/(SUM($BH120:$BM120)))*100</f>
        <v>9.570974252689336</v>
      </c>
      <c r="BV120" s="4">
        <f t="shared" si="142"/>
        <v>27.465202682048727</v>
      </c>
      <c r="BW120" s="4">
        <f t="shared" si="142"/>
        <v>7.649354139055198</v>
      </c>
      <c r="BX120" s="4">
        <f t="shared" si="142"/>
        <v>30.936623678249404</v>
      </c>
      <c r="BY120" s="4">
        <f t="shared" si="142"/>
        <v>13.461618292309893</v>
      </c>
      <c r="BZ120" s="4">
        <f t="shared" si="142"/>
        <v>10.91622695564743</v>
      </c>
      <c r="CB120" s="4">
        <f t="shared" si="123"/>
        <v>24.377845247957325</v>
      </c>
      <c r="CD120" s="4">
        <f t="shared" si="129"/>
        <v>2.7293906628318325</v>
      </c>
      <c r="CE120" s="4">
        <f t="shared" si="130"/>
        <v>-0.1701476012935359</v>
      </c>
      <c r="CF120" s="4">
        <f t="shared" si="131"/>
        <v>-2.915963173261109</v>
      </c>
      <c r="CG120" s="4">
        <f t="shared" si="132"/>
        <v>-7.3995538362385105</v>
      </c>
      <c r="CH120" s="4">
        <f t="shared" si="133"/>
        <v>1.677678287027918</v>
      </c>
      <c r="CI120" s="4">
        <f t="shared" si="134"/>
        <v>6.0785956609334075</v>
      </c>
      <c r="CK120" s="4">
        <f t="shared" si="135"/>
        <v>7.756273947961326</v>
      </c>
      <c r="CL120" s="4">
        <f t="shared" si="136"/>
        <v>0</v>
      </c>
      <c r="CM120" s="4">
        <f>SUM(BW120:BZ120)</f>
        <v>62.96382306526193</v>
      </c>
    </row>
    <row r="121" spans="1:91" ht="15">
      <c r="A121" s="22" t="s">
        <v>72</v>
      </c>
      <c r="B121" s="47">
        <v>3</v>
      </c>
      <c r="C121" s="23">
        <v>14363377.230271885</v>
      </c>
      <c r="D121" s="58">
        <v>0.06514687</v>
      </c>
      <c r="E121" s="24">
        <f t="shared" si="127"/>
        <v>935729.0691814825</v>
      </c>
      <c r="F121" s="25"/>
      <c r="G121" s="24">
        <f t="shared" si="108"/>
        <v>0</v>
      </c>
      <c r="H121" s="6">
        <v>0</v>
      </c>
      <c r="I121" s="6">
        <f t="shared" si="128"/>
        <v>0</v>
      </c>
      <c r="J121" s="6">
        <f t="shared" si="109"/>
        <v>0</v>
      </c>
      <c r="K121" s="6">
        <f t="shared" si="125"/>
        <v>0</v>
      </c>
      <c r="L121" s="24">
        <f t="shared" si="110"/>
        <v>0</v>
      </c>
      <c r="M121" s="24">
        <f t="shared" si="126"/>
        <v>13427648.161090402</v>
      </c>
      <c r="N121" s="6">
        <f t="shared" si="111"/>
        <v>0</v>
      </c>
      <c r="O121" s="6">
        <f t="shared" si="112"/>
        <v>0</v>
      </c>
      <c r="P121" s="24">
        <f t="shared" si="113"/>
        <v>0</v>
      </c>
      <c r="Q121" s="24"/>
      <c r="R121" s="24">
        <f t="shared" si="114"/>
        <v>21598550.602899067</v>
      </c>
      <c r="S121" s="24">
        <f t="shared" si="115"/>
        <v>23332292.68993295</v>
      </c>
      <c r="T121" s="24">
        <f t="shared" si="116"/>
        <v>19954770.422550134</v>
      </c>
      <c r="U121" s="24">
        <f t="shared" si="139"/>
        <v>25189394.91046704</v>
      </c>
      <c r="V121" s="24">
        <f t="shared" si="140"/>
        <v>26923136.997500923</v>
      </c>
      <c r="W121" s="24">
        <f t="shared" si="141"/>
        <v>23545614.730118107</v>
      </c>
      <c r="X121" s="22"/>
      <c r="Y121" s="3">
        <v>3868110</v>
      </c>
      <c r="Z121" s="4">
        <v>0</v>
      </c>
      <c r="AA121" s="4">
        <v>3850383</v>
      </c>
      <c r="AB121" s="4">
        <v>0</v>
      </c>
      <c r="AC121" s="3">
        <v>15</v>
      </c>
      <c r="AD121" s="3">
        <v>228</v>
      </c>
      <c r="AE121" s="3">
        <v>5</v>
      </c>
      <c r="AF121" s="3">
        <v>366</v>
      </c>
      <c r="AG121" s="3">
        <v>1</v>
      </c>
      <c r="AH121" s="3">
        <v>144</v>
      </c>
      <c r="AI121" s="3">
        <v>0</v>
      </c>
      <c r="AJ121" s="3">
        <v>0</v>
      </c>
      <c r="AK121" s="3">
        <v>0</v>
      </c>
      <c r="AL121" s="3">
        <v>0</v>
      </c>
      <c r="AM121" s="3">
        <v>1</v>
      </c>
      <c r="AN121" s="3">
        <v>1350</v>
      </c>
      <c r="AO121" s="4">
        <v>688</v>
      </c>
      <c r="AP121" s="1">
        <v>353</v>
      </c>
      <c r="AQ121" s="1">
        <v>29</v>
      </c>
      <c r="AR121" s="4">
        <v>0</v>
      </c>
      <c r="AS121" s="3">
        <v>2366</v>
      </c>
      <c r="AT121" s="3">
        <v>13790</v>
      </c>
      <c r="AU121" s="3">
        <v>782</v>
      </c>
      <c r="AV121" s="3">
        <v>0</v>
      </c>
      <c r="AW121" s="3">
        <v>16819</v>
      </c>
      <c r="AX121" s="3">
        <v>90</v>
      </c>
      <c r="AY121" s="3">
        <v>19</v>
      </c>
      <c r="AZ121" s="3">
        <v>50</v>
      </c>
      <c r="BA121" s="3">
        <v>8</v>
      </c>
      <c r="BB121" s="3">
        <v>7</v>
      </c>
      <c r="BC121" s="3">
        <v>5</v>
      </c>
      <c r="BD121" s="3">
        <v>9</v>
      </c>
      <c r="BE121" s="3">
        <v>10</v>
      </c>
      <c r="BF121" s="3">
        <v>2014558</v>
      </c>
      <c r="BH121" s="4">
        <f t="shared" si="98"/>
        <v>2096425.4238990694</v>
      </c>
      <c r="BI121" s="4">
        <f t="shared" si="99"/>
        <v>6210667.779</v>
      </c>
      <c r="BJ121" s="4">
        <f t="shared" si="100"/>
        <v>1552913</v>
      </c>
      <c r="BK121" s="4">
        <f t="shared" si="101"/>
        <v>6688657</v>
      </c>
      <c r="BL121" s="4">
        <f t="shared" si="102"/>
        <v>2530401.2</v>
      </c>
      <c r="BM121" s="4">
        <f t="shared" si="103"/>
        <v>2519486.2</v>
      </c>
      <c r="BN121" s="4">
        <v>28.070623538870382</v>
      </c>
      <c r="BO121" s="8">
        <f t="shared" si="104"/>
        <v>0.01571869158878505</v>
      </c>
      <c r="BP121" s="4">
        <f t="shared" si="105"/>
        <v>21598550.602899067</v>
      </c>
      <c r="BQ121" s="4">
        <f t="shared" si="106"/>
        <v>23332292.68993295</v>
      </c>
      <c r="BR121" s="4">
        <f t="shared" si="107"/>
        <v>19954770.422550134</v>
      </c>
      <c r="BS121" s="4">
        <v>15152130</v>
      </c>
      <c r="BT121" s="26"/>
      <c r="BU121" s="4">
        <f t="shared" si="117"/>
        <v>9.706324569842554</v>
      </c>
      <c r="BV121" s="4">
        <f t="shared" si="118"/>
        <v>28.755021080749614</v>
      </c>
      <c r="BW121" s="4">
        <f t="shared" si="119"/>
        <v>7.189894491307023</v>
      </c>
      <c r="BX121" s="4">
        <f t="shared" si="120"/>
        <v>30.96808264116674</v>
      </c>
      <c r="BY121" s="4">
        <f t="shared" si="121"/>
        <v>11.715606507690183</v>
      </c>
      <c r="BZ121" s="4">
        <f t="shared" si="122"/>
        <v>11.665070709243896</v>
      </c>
      <c r="CB121" s="4">
        <f t="shared" si="123"/>
        <v>23.380677216934078</v>
      </c>
      <c r="CD121" s="4">
        <f t="shared" si="129"/>
        <v>2.5940403456786143</v>
      </c>
      <c r="CE121" s="4">
        <f t="shared" si="130"/>
        <v>-1.4599659999944237</v>
      </c>
      <c r="CF121" s="4">
        <f t="shared" si="131"/>
        <v>-2.456503525512934</v>
      </c>
      <c r="CG121" s="4">
        <f t="shared" si="132"/>
        <v>-7.431012799155845</v>
      </c>
      <c r="CH121" s="4">
        <f t="shared" si="133"/>
        <v>3.423690071647629</v>
      </c>
      <c r="CI121" s="4">
        <f t="shared" si="134"/>
        <v>5.3297519073369415</v>
      </c>
      <c r="CK121" s="4">
        <f t="shared" si="135"/>
        <v>8.753441978984572</v>
      </c>
      <c r="CL121" s="4">
        <f t="shared" si="136"/>
        <v>0</v>
      </c>
      <c r="CM121" s="4">
        <f t="shared" si="124"/>
        <v>61.538654349407835</v>
      </c>
    </row>
    <row r="122" spans="1:91" ht="15">
      <c r="A122" s="22" t="s">
        <v>132</v>
      </c>
      <c r="B122" s="47">
        <v>3</v>
      </c>
      <c r="C122" s="24">
        <v>2177393.0425829366</v>
      </c>
      <c r="D122" s="6">
        <v>0.2949853333780351</v>
      </c>
      <c r="E122" s="24">
        <f t="shared" si="127"/>
        <v>642299.0125613417</v>
      </c>
      <c r="F122" s="25"/>
      <c r="G122" s="24">
        <f t="shared" si="108"/>
        <v>0</v>
      </c>
      <c r="H122" s="6">
        <v>0.1394155757819967</v>
      </c>
      <c r="I122" s="6">
        <f t="shared" si="128"/>
        <v>0</v>
      </c>
      <c r="J122" s="6">
        <f t="shared" si="109"/>
        <v>0</v>
      </c>
      <c r="K122" s="6">
        <f t="shared" si="125"/>
        <v>0</v>
      </c>
      <c r="L122" s="24">
        <f t="shared" si="110"/>
        <v>303562.50473541376</v>
      </c>
      <c r="M122" s="24">
        <f t="shared" si="126"/>
        <v>1535094.0300215948</v>
      </c>
      <c r="N122" s="6">
        <f t="shared" si="111"/>
        <v>0.034853893945499176</v>
      </c>
      <c r="O122" s="6">
        <f t="shared" si="112"/>
        <v>0.034853893945499176</v>
      </c>
      <c r="P122" s="24">
        <f t="shared" si="113"/>
        <v>75890.62618385344</v>
      </c>
      <c r="Q122" s="24"/>
      <c r="R122" s="24">
        <f t="shared" si="114"/>
        <v>2676615.21415065</v>
      </c>
      <c r="S122" s="24">
        <f t="shared" si="115"/>
        <v>2609070.4279667865</v>
      </c>
      <c r="T122" s="24">
        <f t="shared" si="116"/>
        <v>2466888.6064224206</v>
      </c>
      <c r="U122" s="24">
        <f t="shared" si="139"/>
        <v>3220963.474796384</v>
      </c>
      <c r="V122" s="24">
        <f t="shared" si="140"/>
        <v>3153418.6886125207</v>
      </c>
      <c r="W122" s="24">
        <f t="shared" si="141"/>
        <v>3011236.8670681547</v>
      </c>
      <c r="X122" s="22"/>
      <c r="Y122" s="3">
        <v>420000</v>
      </c>
      <c r="Z122" s="4">
        <v>0</v>
      </c>
      <c r="AA122" s="4">
        <v>393785</v>
      </c>
      <c r="AB122" s="4">
        <v>0</v>
      </c>
      <c r="AC122" s="4">
        <v>4</v>
      </c>
      <c r="AD122" s="4">
        <v>75</v>
      </c>
      <c r="AE122" s="4">
        <v>1</v>
      </c>
      <c r="AF122" s="4">
        <v>82</v>
      </c>
      <c r="AG122" s="4">
        <v>2</v>
      </c>
      <c r="AH122" s="4">
        <v>240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95</v>
      </c>
      <c r="AP122" s="1">
        <v>57</v>
      </c>
      <c r="AQ122" s="1">
        <v>0</v>
      </c>
      <c r="AR122" s="4">
        <v>0</v>
      </c>
      <c r="AS122" s="4">
        <v>311</v>
      </c>
      <c r="AT122" s="4">
        <v>2043</v>
      </c>
      <c r="AU122" s="4">
        <v>0</v>
      </c>
      <c r="AV122" s="4">
        <v>0</v>
      </c>
      <c r="AW122" s="4">
        <v>2364</v>
      </c>
      <c r="AX122" s="4">
        <v>15</v>
      </c>
      <c r="AY122" s="4">
        <v>9</v>
      </c>
      <c r="AZ122" s="4">
        <v>2</v>
      </c>
      <c r="BA122" s="4">
        <v>2</v>
      </c>
      <c r="BB122" s="4">
        <v>1</v>
      </c>
      <c r="BC122" s="4">
        <v>2</v>
      </c>
      <c r="BD122" s="4">
        <v>0</v>
      </c>
      <c r="BE122" s="4">
        <v>2</v>
      </c>
      <c r="BF122" s="4">
        <v>186204</v>
      </c>
      <c r="BH122" s="4">
        <f>1.518*(Y122)^0.9321</f>
        <v>264668.6091506497</v>
      </c>
      <c r="BI122" s="4">
        <f>0.748*Z122+1.613*AA122+1.774*AB122</f>
        <v>635175.205</v>
      </c>
      <c r="BJ122" s="4">
        <f>35453*AC122+56469*AE122+144773*AG122+178851*(AI122+AK122)+440*AN122</f>
        <v>487827</v>
      </c>
      <c r="BK122" s="4">
        <f>4047*(AO122+AP122)+85370*(AQ122+AR122)</f>
        <v>615144</v>
      </c>
      <c r="BL122" s="4">
        <f>135.8*(AS122+AT122)+430.2*AU122+1208.1*AV122</f>
        <v>319673.2</v>
      </c>
      <c r="BM122" s="4">
        <f>149.8*AW122</f>
        <v>354127.2</v>
      </c>
      <c r="BN122" s="4">
        <v>22.209158338263073</v>
      </c>
      <c r="BO122" s="8">
        <f>AW122/(SUM(AO122:AR122)*1000)</f>
        <v>0.015552631578947368</v>
      </c>
      <c r="BP122" s="4">
        <f>SUM(BG122:BM122)</f>
        <v>2676615.21415065</v>
      </c>
      <c r="BQ122" s="4">
        <f>(0.575+0.018*BN122)*BP122</f>
        <v>2609070.4279667865</v>
      </c>
      <c r="BR122" s="4">
        <f>(0.711+13.544*BO122)*BP122</f>
        <v>2466888.6064224206</v>
      </c>
      <c r="BS122" s="4">
        <v>1500581</v>
      </c>
      <c r="BT122" s="26"/>
      <c r="BU122" s="4">
        <f t="shared" si="117"/>
        <v>9.888182946559054</v>
      </c>
      <c r="BV122" s="4">
        <f t="shared" si="118"/>
        <v>23.730538541437504</v>
      </c>
      <c r="BW122" s="4">
        <f t="shared" si="119"/>
        <v>18.22551846156185</v>
      </c>
      <c r="BX122" s="4">
        <f t="shared" si="120"/>
        <v>22.982160332492878</v>
      </c>
      <c r="BY122" s="4">
        <f t="shared" si="121"/>
        <v>11.943188483348717</v>
      </c>
      <c r="BZ122" s="4">
        <f t="shared" si="122"/>
        <v>13.230411234599984</v>
      </c>
      <c r="CB122" s="4">
        <f t="shared" si="123"/>
        <v>25.1735997179487</v>
      </c>
      <c r="CD122" s="4">
        <f t="shared" si="129"/>
        <v>2.4121819689621145</v>
      </c>
      <c r="CE122" s="4">
        <f t="shared" si="130"/>
        <v>3.5645165393176867</v>
      </c>
      <c r="CF122" s="4">
        <f t="shared" si="131"/>
        <v>-13.492127495767761</v>
      </c>
      <c r="CG122" s="4">
        <f t="shared" si="132"/>
        <v>0.5549095095180157</v>
      </c>
      <c r="CH122" s="4">
        <f t="shared" si="133"/>
        <v>3.1961080959890946</v>
      </c>
      <c r="CI122" s="4">
        <f t="shared" si="134"/>
        <v>3.764411381980853</v>
      </c>
      <c r="CK122" s="4">
        <f t="shared" si="135"/>
        <v>6.9605194779699495</v>
      </c>
      <c r="CL122" s="4">
        <f t="shared" si="136"/>
        <v>0</v>
      </c>
      <c r="CM122" s="4">
        <f t="shared" si="124"/>
        <v>66.38127851200343</v>
      </c>
    </row>
    <row r="123" spans="1:91" ht="15">
      <c r="A123" s="22" t="s">
        <v>49</v>
      </c>
      <c r="B123" s="47">
        <v>9</v>
      </c>
      <c r="C123" s="23">
        <v>1275105</v>
      </c>
      <c r="D123" s="6">
        <v>0.43523877981034975</v>
      </c>
      <c r="E123" s="24">
        <f>C123*D123</f>
        <v>554975.1443300761</v>
      </c>
      <c r="F123" s="25"/>
      <c r="G123" s="24">
        <f>C123*F123</f>
        <v>0</v>
      </c>
      <c r="H123" s="6">
        <v>0.28617224173073386</v>
      </c>
      <c r="I123" s="6">
        <f t="shared" si="128"/>
        <v>0</v>
      </c>
      <c r="J123" s="6">
        <f>CL123/100</f>
        <v>0</v>
      </c>
      <c r="K123" s="6">
        <f t="shared" si="125"/>
        <v>0</v>
      </c>
      <c r="L123" s="24">
        <f>IF(J123&lt;0,(H123+J123)*C123,H123*C123)</f>
        <v>364899.6562920674</v>
      </c>
      <c r="M123" s="24">
        <f>IF(D123&gt;0,C123-E123,"Over front")</f>
        <v>720129.8556699239</v>
      </c>
      <c r="N123" s="6">
        <f>IF(J123&lt;0,(H123+J123)/4,H123/4)</f>
        <v>0.07154306043268346</v>
      </c>
      <c r="O123" s="6">
        <f>IF(N123&gt;0.05,0.05,IF(N123&gt;0.01,N123,0))</f>
        <v>0.05</v>
      </c>
      <c r="P123" s="24">
        <f>C123*O123</f>
        <v>63755.25</v>
      </c>
      <c r="Q123" s="24"/>
      <c r="R123" s="24">
        <f aca="true" t="shared" si="143" ref="R123:T126">BP123</f>
        <v>1102125.3891162407</v>
      </c>
      <c r="S123" s="24">
        <f t="shared" si="143"/>
        <v>1255809.937104169</v>
      </c>
      <c r="T123" s="24">
        <f t="shared" si="143"/>
        <v>1107819.1622317466</v>
      </c>
      <c r="U123" s="24">
        <f t="shared" si="139"/>
        <v>1420901.6391162407</v>
      </c>
      <c r="V123" s="24">
        <f t="shared" si="140"/>
        <v>1574586.187104169</v>
      </c>
      <c r="W123" s="24">
        <f t="shared" si="141"/>
        <v>1426595.4122317466</v>
      </c>
      <c r="X123" s="22"/>
      <c r="Y123" s="3">
        <v>222498</v>
      </c>
      <c r="Z123" s="4">
        <v>0</v>
      </c>
      <c r="AA123" s="4">
        <v>185336</v>
      </c>
      <c r="AB123" s="4">
        <v>0</v>
      </c>
      <c r="AC123" s="3">
        <v>2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1">
        <v>18</v>
      </c>
      <c r="AP123" s="1">
        <v>39</v>
      </c>
      <c r="AQ123" s="1">
        <v>0</v>
      </c>
      <c r="AR123" s="1">
        <v>0</v>
      </c>
      <c r="AS123" s="3">
        <v>250</v>
      </c>
      <c r="AT123" s="3">
        <v>1000</v>
      </c>
      <c r="AU123" s="1">
        <v>0</v>
      </c>
      <c r="AV123" s="1">
        <v>0</v>
      </c>
      <c r="AW123" s="3">
        <v>1238</v>
      </c>
      <c r="AX123" s="3">
        <v>0</v>
      </c>
      <c r="AY123" s="3">
        <v>0</v>
      </c>
      <c r="AZ123" s="3">
        <v>0</v>
      </c>
      <c r="BA123" s="3">
        <v>0</v>
      </c>
      <c r="BB123" s="3">
        <v>0</v>
      </c>
      <c r="BC123" s="3">
        <v>0</v>
      </c>
      <c r="BD123" s="3">
        <v>0</v>
      </c>
      <c r="BE123" s="3">
        <v>0</v>
      </c>
      <c r="BF123" s="3">
        <v>0</v>
      </c>
      <c r="BH123" s="4">
        <f>1.518*(Y123)^0.9321</f>
        <v>146391.02111624065</v>
      </c>
      <c r="BI123" s="4">
        <f>0.748*Z123+1.613*AA123+1.774*AB123</f>
        <v>298946.968</v>
      </c>
      <c r="BJ123" s="4">
        <f>35453*AC123+56469*AE123+144773*AG123+178851*(AI123+AK123)+440*AN123</f>
        <v>70906</v>
      </c>
      <c r="BK123" s="4">
        <f>4047*(AO123+AP123)+85370*(AQ123+AR123)</f>
        <v>230679</v>
      </c>
      <c r="BL123" s="4">
        <f>135.8*(AS123+AT123)+430.2*AU123+1208.1*AV123</f>
        <v>169750</v>
      </c>
      <c r="BM123" s="4">
        <f>149.8*AW123</f>
        <v>185452.40000000002</v>
      </c>
      <c r="BN123" s="4">
        <v>31.357988669770904</v>
      </c>
      <c r="BO123" s="8">
        <f>AW123/(SUM(AO123:AR123)*1000)</f>
        <v>0.021719298245614034</v>
      </c>
      <c r="BP123" s="4">
        <f>SUM(BG123:BM123)</f>
        <v>1102125.3891162407</v>
      </c>
      <c r="BQ123" s="4">
        <f>(0.575+0.018*BN123)*BP123</f>
        <v>1255809.937104169</v>
      </c>
      <c r="BR123" s="4">
        <f>(0.711+13.544*BO123)*BP123</f>
        <v>1107819.1622317466</v>
      </c>
      <c r="BS123" s="4">
        <v>1043781</v>
      </c>
      <c r="BT123" s="26"/>
      <c r="BU123" s="4">
        <f aca="true" t="shared" si="144" ref="BU123:BZ126">(BH123/(SUM($BH123:$BM123)))*100</f>
        <v>13.28261036011764</v>
      </c>
      <c r="BV123" s="4">
        <f t="shared" si="144"/>
        <v>27.12458772406251</v>
      </c>
      <c r="BW123" s="4">
        <f t="shared" si="144"/>
        <v>6.433569238147872</v>
      </c>
      <c r="BX123" s="4">
        <f t="shared" si="144"/>
        <v>20.93037709483983</v>
      </c>
      <c r="BY123" s="4">
        <f t="shared" si="144"/>
        <v>15.402058756319652</v>
      </c>
      <c r="BZ123" s="4">
        <f t="shared" si="144"/>
        <v>16.826796826512492</v>
      </c>
      <c r="CB123" s="4">
        <f>BY123+BZ123</f>
        <v>32.228855582832146</v>
      </c>
      <c r="CD123" s="4">
        <f t="shared" si="129"/>
        <v>-0.9822454445964723</v>
      </c>
      <c r="CE123" s="4">
        <f t="shared" si="130"/>
        <v>0.17046735669267932</v>
      </c>
      <c r="CF123" s="4">
        <f t="shared" si="131"/>
        <v>-1.7001782723537833</v>
      </c>
      <c r="CG123" s="4">
        <f t="shared" si="132"/>
        <v>2.6066927471710635</v>
      </c>
      <c r="CH123" s="4">
        <f t="shared" si="133"/>
        <v>-0.2627621769818411</v>
      </c>
      <c r="CI123" s="4">
        <f t="shared" si="134"/>
        <v>0.16802579006834506</v>
      </c>
      <c r="CK123" s="4">
        <f t="shared" si="135"/>
        <v>-0.09473638691349606</v>
      </c>
      <c r="CL123" s="4">
        <f t="shared" si="136"/>
        <v>0</v>
      </c>
      <c r="CM123" s="4">
        <f>SUM(BW123:BZ123)</f>
        <v>59.59280191581985</v>
      </c>
    </row>
    <row r="124" spans="1:91" ht="15">
      <c r="A124" s="22" t="s">
        <v>168</v>
      </c>
      <c r="B124" s="47">
        <v>9</v>
      </c>
      <c r="C124" s="23">
        <v>1315621</v>
      </c>
      <c r="D124" s="6">
        <v>0.3979600764999124</v>
      </c>
      <c r="E124" s="24">
        <f>C124*D124</f>
        <v>523564.63380489126</v>
      </c>
      <c r="F124" s="25"/>
      <c r="G124" s="24">
        <f>C124*F124</f>
        <v>0</v>
      </c>
      <c r="H124" s="6">
        <v>0.24862156715732986</v>
      </c>
      <c r="I124" s="6">
        <f t="shared" si="128"/>
        <v>0</v>
      </c>
      <c r="J124" s="6">
        <f>CL124/100</f>
        <v>0</v>
      </c>
      <c r="K124" s="6">
        <f>IF(J124&lt;0,H124+J124,0)</f>
        <v>0</v>
      </c>
      <c r="L124" s="24">
        <f>IF(J124&lt;0,(H124+J124)*C124,H124*C124)</f>
        <v>327091.75480509346</v>
      </c>
      <c r="M124" s="24">
        <f>IF(D124&gt;0,C124-E124,"Over front")</f>
        <v>792056.3661951087</v>
      </c>
      <c r="N124" s="6">
        <f>IF(J124&lt;0,(H124+J124)/4,H124/4)</f>
        <v>0.062155391789332465</v>
      </c>
      <c r="O124" s="6">
        <f>IF(N124&gt;0.05,0.05,IF(N124&gt;0.01,N124,0))</f>
        <v>0.05</v>
      </c>
      <c r="P124" s="24">
        <f>C124*O124</f>
        <v>65781.05</v>
      </c>
      <c r="Q124" s="24"/>
      <c r="R124" s="24">
        <f t="shared" si="143"/>
        <v>1061248.330864679</v>
      </c>
      <c r="S124" s="24">
        <f t="shared" si="143"/>
        <v>1417113.9453079533</v>
      </c>
      <c r="T124" s="24">
        <f t="shared" si="143"/>
        <v>1162824.7546763306</v>
      </c>
      <c r="U124" s="24">
        <f t="shared" si="139"/>
        <v>1390153.580864679</v>
      </c>
      <c r="V124" s="24">
        <f t="shared" si="140"/>
        <v>1746019.1953079533</v>
      </c>
      <c r="W124" s="24">
        <f t="shared" si="141"/>
        <v>1491730.0046763306</v>
      </c>
      <c r="X124" s="22"/>
      <c r="Y124" s="3">
        <v>243584</v>
      </c>
      <c r="Z124" s="4">
        <v>0</v>
      </c>
      <c r="AA124" s="3">
        <v>243584</v>
      </c>
      <c r="AB124" s="4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1">
        <v>22</v>
      </c>
      <c r="AP124" s="1">
        <v>20</v>
      </c>
      <c r="AQ124" s="1">
        <v>0</v>
      </c>
      <c r="AR124" s="1">
        <v>0</v>
      </c>
      <c r="AS124" s="3">
        <v>62</v>
      </c>
      <c r="AT124" s="3">
        <v>1119</v>
      </c>
      <c r="AU124" s="1">
        <v>0</v>
      </c>
      <c r="AV124" s="1">
        <v>0</v>
      </c>
      <c r="AW124" s="3">
        <v>1193</v>
      </c>
      <c r="AX124" s="3">
        <v>5</v>
      </c>
      <c r="AY124" s="3">
        <v>0</v>
      </c>
      <c r="AZ124" s="3">
        <v>0</v>
      </c>
      <c r="BA124" s="3">
        <v>1</v>
      </c>
      <c r="BB124" s="3">
        <v>1</v>
      </c>
      <c r="BC124" s="3">
        <v>0</v>
      </c>
      <c r="BD124" s="3">
        <v>1</v>
      </c>
      <c r="BE124" s="3">
        <v>0</v>
      </c>
      <c r="BF124" s="3">
        <v>124870</v>
      </c>
      <c r="BH124" s="4">
        <f>1.518*(Y124)^0.9321</f>
        <v>159282.13886467903</v>
      </c>
      <c r="BI124" s="4">
        <f>0.748*Z124+1.613*AA124+1.774*AB124</f>
        <v>392900.99199999997</v>
      </c>
      <c r="BJ124" s="4">
        <f>35453*AC124+56469*AE124+144773*AG124+178851*(AI124+AK124)+440*AN124</f>
        <v>0</v>
      </c>
      <c r="BK124" s="4">
        <f>4047*(AO124+AP124)+85370*(AQ124+AR124)</f>
        <v>169974</v>
      </c>
      <c r="BL124" s="4">
        <f>135.8*(AS124+AT124)+430.2*AU124+1208.1*AV124</f>
        <v>160379.80000000002</v>
      </c>
      <c r="BM124" s="4">
        <f>149.8*AW124</f>
        <v>178711.40000000002</v>
      </c>
      <c r="BN124" s="4">
        <v>42.24040958775219</v>
      </c>
      <c r="BO124" s="8">
        <f>AW124/(SUM(AO124:AR124)*1000)</f>
        <v>0.028404761904761905</v>
      </c>
      <c r="BP124" s="4">
        <f>SUM(BG124:BM124)</f>
        <v>1061248.330864679</v>
      </c>
      <c r="BQ124" s="4">
        <f>(0.575+0.018*BN124)*BP124</f>
        <v>1417113.9453079533</v>
      </c>
      <c r="BR124" s="4">
        <f>(0.711+13.544*BO124)*BP124</f>
        <v>1162824.7546763306</v>
      </c>
      <c r="BS124" s="4">
        <v>1518571</v>
      </c>
      <c r="BT124" s="26"/>
      <c r="BU124" s="4">
        <f t="shared" si="144"/>
        <v>15.008941284732092</v>
      </c>
      <c r="BV124" s="4">
        <f t="shared" si="144"/>
        <v>37.022530973487974</v>
      </c>
      <c r="BW124" s="4">
        <f t="shared" si="144"/>
        <v>0</v>
      </c>
      <c r="BX124" s="4">
        <f t="shared" si="144"/>
        <v>16.01642095036412</v>
      </c>
      <c r="BY124" s="4">
        <f t="shared" si="144"/>
        <v>15.1123724142234</v>
      </c>
      <c r="BZ124" s="4">
        <f t="shared" si="144"/>
        <v>16.83973437719241</v>
      </c>
      <c r="CB124" s="4">
        <f>BY124+BZ124</f>
        <v>31.952106791415808</v>
      </c>
      <c r="CD124" s="4">
        <f t="shared" si="129"/>
        <v>-2.708576369210924</v>
      </c>
      <c r="CE124" s="4">
        <f t="shared" si="130"/>
        <v>-9.727475892732784</v>
      </c>
      <c r="CF124" s="4">
        <f t="shared" si="131"/>
        <v>4.733390965794089</v>
      </c>
      <c r="CG124" s="4">
        <f t="shared" si="132"/>
        <v>7.520648891646772</v>
      </c>
      <c r="CH124" s="4">
        <f t="shared" si="133"/>
        <v>0.02692416511441209</v>
      </c>
      <c r="CI124" s="4">
        <f t="shared" si="134"/>
        <v>0.15508823938842653</v>
      </c>
      <c r="CK124" s="4">
        <f t="shared" si="135"/>
        <v>0.18201240450284217</v>
      </c>
      <c r="CL124" s="4">
        <f t="shared" si="136"/>
        <v>0</v>
      </c>
      <c r="CM124" s="4">
        <f>SUM(BW124:BZ124)</f>
        <v>47.96852774177994</v>
      </c>
    </row>
    <row r="125" spans="1:91" ht="15">
      <c r="A125" s="22" t="s">
        <v>64</v>
      </c>
      <c r="B125" s="47">
        <v>9</v>
      </c>
      <c r="C125" s="23">
        <v>1641624</v>
      </c>
      <c r="D125" s="6">
        <v>0</v>
      </c>
      <c r="E125" s="24">
        <f>C125*D125</f>
        <v>0</v>
      </c>
      <c r="F125" s="25"/>
      <c r="G125" s="24">
        <f>C125*F125</f>
        <v>0</v>
      </c>
      <c r="H125" s="6">
        <v>0</v>
      </c>
      <c r="I125" s="6">
        <f t="shared" si="128"/>
        <v>0</v>
      </c>
      <c r="J125" s="6">
        <f>CL125/100</f>
        <v>0</v>
      </c>
      <c r="K125" s="6">
        <f>IF(J125&lt;0,H125+J125,0)</f>
        <v>0</v>
      </c>
      <c r="L125" s="24">
        <f>IF(J125&lt;0,(H125+J125)*C125,H125*C125)</f>
        <v>0</v>
      </c>
      <c r="M125" s="24">
        <v>1657466</v>
      </c>
      <c r="N125" s="6">
        <f>IF(J125&lt;0,(H125+J125)/4,H125/4)</f>
        <v>0</v>
      </c>
      <c r="O125" s="6">
        <f>IF(N125&gt;0.05,0.05,IF(N125&gt;0.01,N125,0))</f>
        <v>0</v>
      </c>
      <c r="P125" s="24">
        <f>C125*O125</f>
        <v>0</v>
      </c>
      <c r="Q125" s="24"/>
      <c r="R125" s="24">
        <f t="shared" si="143"/>
        <v>2723488.14489339</v>
      </c>
      <c r="S125" s="24">
        <f t="shared" si="143"/>
        <v>2863903.362487036</v>
      </c>
      <c r="T125" s="24">
        <f t="shared" si="143"/>
        <v>2519962.7269155523</v>
      </c>
      <c r="U125" s="24">
        <f t="shared" si="139"/>
        <v>3133894.14489339</v>
      </c>
      <c r="V125" s="24">
        <f t="shared" si="140"/>
        <v>3274309.362487036</v>
      </c>
      <c r="W125" s="24">
        <f t="shared" si="141"/>
        <v>2930368.7269155523</v>
      </c>
      <c r="X125" s="22"/>
      <c r="Y125" s="3">
        <v>744079</v>
      </c>
      <c r="Z125" s="4">
        <v>0</v>
      </c>
      <c r="AA125" s="3">
        <v>729138</v>
      </c>
      <c r="AB125" s="4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4">
        <v>94</v>
      </c>
      <c r="AP125" s="1">
        <v>34</v>
      </c>
      <c r="AQ125" s="1">
        <v>0</v>
      </c>
      <c r="AR125" s="4">
        <v>0</v>
      </c>
      <c r="AS125" s="3">
        <v>317</v>
      </c>
      <c r="AT125" s="3">
        <v>1708</v>
      </c>
      <c r="AU125" s="1">
        <v>0</v>
      </c>
      <c r="AV125" s="1">
        <v>0</v>
      </c>
      <c r="AW125" s="3">
        <v>2025</v>
      </c>
      <c r="AX125" s="3">
        <v>0</v>
      </c>
      <c r="AY125" s="3">
        <v>0</v>
      </c>
      <c r="AZ125" s="3">
        <v>0</v>
      </c>
      <c r="BA125" s="3">
        <v>0</v>
      </c>
      <c r="BB125" s="3">
        <v>0</v>
      </c>
      <c r="BC125" s="3">
        <v>0</v>
      </c>
      <c r="BD125" s="3">
        <v>0</v>
      </c>
      <c r="BE125" s="3">
        <v>0</v>
      </c>
      <c r="BF125" s="3">
        <v>311845</v>
      </c>
      <c r="BH125" s="4">
        <f>1.518*(Y125)^0.9321</f>
        <v>451032.5508933904</v>
      </c>
      <c r="BI125" s="4">
        <f>0.748*Z125+1.613*AA125+1.774*AB125</f>
        <v>1176099.594</v>
      </c>
      <c r="BJ125" s="4">
        <f>35453*AC125+56469*AE125+144773*AG125+178851*(AI125+AK125)+440*AN125</f>
        <v>0</v>
      </c>
      <c r="BK125" s="4">
        <f>4047*(AO125+AP125)+85370*(AQ125+AR125)</f>
        <v>518016</v>
      </c>
      <c r="BL125" s="4">
        <f>135.8*(AS125+AT125)+430.2*AU125+1208.1*AV125</f>
        <v>274995</v>
      </c>
      <c r="BM125" s="4">
        <f>149.8*AW125</f>
        <v>303345</v>
      </c>
      <c r="BN125" s="4">
        <v>26.475395810310552</v>
      </c>
      <c r="BO125" s="8">
        <f>AW125/(SUM(AO125:AR125)*1000)</f>
        <v>0.0158203125</v>
      </c>
      <c r="BP125" s="4">
        <f>SUM(BG125:BM125)</f>
        <v>2723488.14489339</v>
      </c>
      <c r="BQ125" s="4">
        <f>(0.575+0.018*BN125)*BP125</f>
        <v>2863903.362487036</v>
      </c>
      <c r="BR125" s="4">
        <f>(0.711+13.544*BO125)*BP125</f>
        <v>2519962.7269155523</v>
      </c>
      <c r="BS125" s="4">
        <v>2898110</v>
      </c>
      <c r="BT125" s="26"/>
      <c r="BU125" s="4">
        <f t="shared" si="144"/>
        <v>16.560841351157997</v>
      </c>
      <c r="BV125" s="4">
        <f t="shared" si="144"/>
        <v>43.18357677470404</v>
      </c>
      <c r="BW125" s="4">
        <f t="shared" si="144"/>
        <v>0</v>
      </c>
      <c r="BX125" s="4">
        <f t="shared" si="144"/>
        <v>19.02031411340245</v>
      </c>
      <c r="BY125" s="4">
        <f t="shared" si="144"/>
        <v>10.097161631330126</v>
      </c>
      <c r="BZ125" s="4">
        <f t="shared" si="144"/>
        <v>11.138106129405397</v>
      </c>
      <c r="CB125" s="4">
        <f>BY125+BZ125</f>
        <v>21.235267760735525</v>
      </c>
      <c r="CD125" s="4">
        <f t="shared" si="129"/>
        <v>-4.2604764356368285</v>
      </c>
      <c r="CE125" s="4">
        <f t="shared" si="130"/>
        <v>-15.888521693948853</v>
      </c>
      <c r="CF125" s="4">
        <f t="shared" si="131"/>
        <v>4.733390965794089</v>
      </c>
      <c r="CG125" s="4">
        <f t="shared" si="132"/>
        <v>4.5167557286084445</v>
      </c>
      <c r="CH125" s="4">
        <f t="shared" si="133"/>
        <v>5.042134948007686</v>
      </c>
      <c r="CI125" s="4">
        <f t="shared" si="134"/>
        <v>5.85671648717544</v>
      </c>
      <c r="CK125" s="4">
        <f t="shared" si="135"/>
        <v>10.898851435183126</v>
      </c>
      <c r="CL125" s="4">
        <f t="shared" si="136"/>
        <v>0</v>
      </c>
      <c r="CM125" s="4">
        <f>SUM(BW125:BZ125)</f>
        <v>40.255581874137974</v>
      </c>
    </row>
    <row r="126" spans="1:91" ht="15">
      <c r="A126" s="22" t="s">
        <v>148</v>
      </c>
      <c r="B126" s="47">
        <v>8</v>
      </c>
      <c r="C126" s="23">
        <v>257603</v>
      </c>
      <c r="D126" s="6">
        <v>0.04988283</v>
      </c>
      <c r="E126" s="24">
        <f>C126*D126</f>
        <v>12849.96665649</v>
      </c>
      <c r="F126" s="25"/>
      <c r="G126" s="24">
        <f>C126*F126</f>
        <v>0</v>
      </c>
      <c r="H126" s="6">
        <v>0</v>
      </c>
      <c r="I126" s="6">
        <f t="shared" si="128"/>
        <v>0</v>
      </c>
      <c r="J126" s="6">
        <f>CL126/100</f>
        <v>0</v>
      </c>
      <c r="K126" s="6">
        <f>IF(J126&lt;0,H126+J126,0)</f>
        <v>0</v>
      </c>
      <c r="L126" s="24">
        <f>IF(J126&lt;0,(H126+J126)*C126,H126*C126)</f>
        <v>0</v>
      </c>
      <c r="M126" s="24">
        <f>IF(D126&gt;0,C126-E126,"Over front")</f>
        <v>244753.03334351</v>
      </c>
      <c r="N126" s="6">
        <f>IF(J126&lt;0,(H126+J126)/4,H126/4)</f>
        <v>0</v>
      </c>
      <c r="O126" s="6">
        <f>IF(N126&gt;0.05,0.05,IF(N126&gt;0.01,N126,0))</f>
        <v>0</v>
      </c>
      <c r="P126" s="24">
        <f>C126*O126</f>
        <v>0</v>
      </c>
      <c r="Q126" s="24"/>
      <c r="R126" s="24">
        <f t="shared" si="143"/>
        <v>393316.92039799294</v>
      </c>
      <c r="S126" s="24">
        <f t="shared" si="143"/>
        <v>271467.3384586947</v>
      </c>
      <c r="T126" s="24">
        <f t="shared" si="143"/>
        <v>393316.92039799294</v>
      </c>
      <c r="U126" s="24">
        <f t="shared" si="139"/>
        <v>457717.67039799294</v>
      </c>
      <c r="V126" s="24">
        <f t="shared" si="140"/>
        <v>335868.0884586947</v>
      </c>
      <c r="W126" s="24">
        <f t="shared" si="141"/>
        <v>457717.67039799294</v>
      </c>
      <c r="X126" s="22"/>
      <c r="Y126" s="3">
        <v>579466</v>
      </c>
      <c r="Z126" s="4">
        <v>0</v>
      </c>
      <c r="AA126" s="4">
        <v>0</v>
      </c>
      <c r="AB126" s="4">
        <v>0</v>
      </c>
      <c r="AC126" s="4">
        <v>1</v>
      </c>
      <c r="AD126" s="4">
        <v>-3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1">
        <v>0</v>
      </c>
      <c r="AQ126" s="1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4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116843</v>
      </c>
      <c r="BH126" s="4">
        <f>1.518*(Y126)^0.9321</f>
        <v>357264.72039799293</v>
      </c>
      <c r="BI126" s="4">
        <f>0.748*Z126+1.613*AA126+1.774*AB126</f>
        <v>0</v>
      </c>
      <c r="BJ126" s="4">
        <f>35453*AC126+56469*AE126+144773*AG126+178851*(AI126+AK126)+440*AN126</f>
        <v>35453</v>
      </c>
      <c r="BK126" s="4">
        <f>4047*(AO126+AP126)+85370*(AQ126+AR126)</f>
        <v>0</v>
      </c>
      <c r="BL126" s="4">
        <f>135.8*(AS126+AT126)+430.2*AU126+1208.1*AV126</f>
        <v>0</v>
      </c>
      <c r="BM126" s="4">
        <f>149.8*AW126</f>
        <v>599.2</v>
      </c>
      <c r="BN126" s="4">
        <v>6.4</v>
      </c>
      <c r="BO126" s="8" t="e">
        <f>AW126/(SUM(AO126:AR126)*1000)</f>
        <v>#DIV/0!</v>
      </c>
      <c r="BP126" s="4">
        <f>SUM(BG126:BM126)</f>
        <v>393316.92039799294</v>
      </c>
      <c r="BQ126" s="4">
        <f>(0.575+0.018*BN126)*BP126</f>
        <v>271467.3384586947</v>
      </c>
      <c r="BR126" s="4">
        <f>BP126</f>
        <v>393316.92039799294</v>
      </c>
      <c r="BS126" s="4">
        <v>293373</v>
      </c>
      <c r="BT126" s="26"/>
      <c r="BU126" s="4">
        <f t="shared" si="144"/>
        <v>90.83380395546695</v>
      </c>
      <c r="BV126" s="4">
        <f t="shared" si="144"/>
        <v>0</v>
      </c>
      <c r="BW126" s="4">
        <f t="shared" si="144"/>
        <v>9.013850704446051</v>
      </c>
      <c r="BX126" s="4">
        <f t="shared" si="144"/>
        <v>0</v>
      </c>
      <c r="BY126" s="4">
        <f t="shared" si="144"/>
        <v>0</v>
      </c>
      <c r="BZ126" s="4">
        <f t="shared" si="144"/>
        <v>0.1523453400869905</v>
      </c>
      <c r="CB126" s="4">
        <f>BY126+BZ126</f>
        <v>0.1523453400869905</v>
      </c>
      <c r="CD126" s="4">
        <f t="shared" si="129"/>
        <v>-78.53343903994578</v>
      </c>
      <c r="CE126" s="4">
        <f t="shared" si="130"/>
        <v>27.29505508075519</v>
      </c>
      <c r="CF126" s="4">
        <f t="shared" si="131"/>
        <v>-4.280459738651962</v>
      </c>
      <c r="CG126" s="4">
        <f t="shared" si="132"/>
        <v>23.537069842010894</v>
      </c>
      <c r="CH126" s="4">
        <f t="shared" si="133"/>
        <v>15.139296579337811</v>
      </c>
      <c r="CI126" s="4">
        <f t="shared" si="134"/>
        <v>16.842477276493845</v>
      </c>
      <c r="CK126" s="4">
        <f t="shared" si="135"/>
        <v>31.98177385583166</v>
      </c>
      <c r="CL126" s="4">
        <f t="shared" si="136"/>
        <v>0</v>
      </c>
      <c r="CM126" s="4">
        <f>SUM(BW126:BZ126)</f>
        <v>9.166196044533041</v>
      </c>
    </row>
    <row r="128" spans="17:80" ht="15">
      <c r="Q128" s="26"/>
      <c r="BO128" s="8"/>
      <c r="BT128" s="39" t="s">
        <v>174</v>
      </c>
      <c r="BU128" s="40">
        <v>12.300364915521168</v>
      </c>
      <c r="BV128" s="40">
        <v>27.29505508075519</v>
      </c>
      <c r="BW128" s="40">
        <v>4.733390965794089</v>
      </c>
      <c r="BX128" s="40">
        <v>23.537069842010894</v>
      </c>
      <c r="BY128" s="40">
        <v>15.139296579337811</v>
      </c>
      <c r="BZ128" s="40">
        <v>16.994822616580837</v>
      </c>
      <c r="CA128" s="40"/>
      <c r="CB128" s="41">
        <v>32.13411919591865</v>
      </c>
    </row>
    <row r="129" spans="3:80" ht="15">
      <c r="C129" s="23"/>
      <c r="Q129" s="26"/>
      <c r="BO129" s="8"/>
      <c r="BT129" s="42" t="s">
        <v>175</v>
      </c>
      <c r="BU129" s="4">
        <v>67.58585009572676</v>
      </c>
      <c r="BV129" s="4">
        <v>211.96626037066602</v>
      </c>
      <c r="BW129" s="4">
        <v>51.89226457499078</v>
      </c>
      <c r="BX129" s="4">
        <v>99.48999009084724</v>
      </c>
      <c r="BY129" s="4">
        <v>31.918180698961233</v>
      </c>
      <c r="BZ129" s="4">
        <v>45.03257970208463</v>
      </c>
      <c r="CA129" s="4"/>
      <c r="CB129" s="43">
        <v>126.99968619488124</v>
      </c>
    </row>
    <row r="130" spans="17:80" ht="15">
      <c r="Q130" s="26"/>
      <c r="BT130" s="42" t="s">
        <v>176</v>
      </c>
      <c r="BU130" s="4">
        <v>8.22106137282327</v>
      </c>
      <c r="BV130" s="4">
        <v>14.55906110883068</v>
      </c>
      <c r="BW130" s="4">
        <v>7.203628570032659</v>
      </c>
      <c r="BX130" s="4">
        <v>9.974466907601991</v>
      </c>
      <c r="BY130" s="4">
        <v>5.6496177480393515</v>
      </c>
      <c r="BZ130" s="4">
        <v>6.710631840749769</v>
      </c>
      <c r="CA130" s="4"/>
      <c r="CB130" s="43">
        <v>11.269413746725304</v>
      </c>
    </row>
    <row r="131" spans="17:80" ht="15">
      <c r="Q131" s="26"/>
      <c r="BT131" s="44" t="s">
        <v>177</v>
      </c>
      <c r="BU131" s="45">
        <v>-8.221061372823266</v>
      </c>
      <c r="BV131" s="45">
        <v>-14.55906110883068</v>
      </c>
      <c r="BW131" s="45">
        <v>-7.203628570032659</v>
      </c>
      <c r="BX131" s="45">
        <v>-9.974466907601991</v>
      </c>
      <c r="BY131" s="45">
        <v>-5.6496177480393515</v>
      </c>
      <c r="BZ131" s="45">
        <v>-6.710631840749769</v>
      </c>
      <c r="CA131" s="45"/>
      <c r="CB131" s="46">
        <v>-11.269413746725304</v>
      </c>
    </row>
    <row r="132" ht="15">
      <c r="Q132" s="26"/>
    </row>
    <row r="133" spans="1:79" ht="15">
      <c r="A133" s="35" t="s">
        <v>205</v>
      </c>
      <c r="C133" s="4" t="s">
        <v>182</v>
      </c>
      <c r="E133" s="4" t="s">
        <v>220</v>
      </c>
      <c r="F133" s="2" t="s">
        <v>221</v>
      </c>
      <c r="G133" s="4" t="s">
        <v>222</v>
      </c>
      <c r="H133" s="2" t="s">
        <v>229</v>
      </c>
      <c r="I133" s="2" t="s">
        <v>223</v>
      </c>
      <c r="M133" s="4" t="s">
        <v>230</v>
      </c>
      <c r="CA133" s="36"/>
    </row>
    <row r="134" spans="1:79" ht="15">
      <c r="A134" s="37" t="s">
        <v>206</v>
      </c>
      <c r="E134" s="4">
        <v>0.36075016079501915</v>
      </c>
      <c r="CA134" s="36"/>
    </row>
    <row r="135" spans="1:79" ht="15">
      <c r="A135" s="12" t="s">
        <v>207</v>
      </c>
      <c r="C135" s="13">
        <v>2623646.020744379</v>
      </c>
      <c r="F135" s="2">
        <f>C135/BP135</f>
        <v>0.749844819374558</v>
      </c>
      <c r="G135" s="49">
        <f>(1-$E$134/F135)</f>
        <v>0.518900242458274</v>
      </c>
      <c r="H135" s="15">
        <f>IF(G135&gt;0.055,0.05,G135)</f>
        <v>0.05</v>
      </c>
      <c r="I135" s="4">
        <f>H135*C135</f>
        <v>131182.30103721897</v>
      </c>
      <c r="M135" s="50">
        <f>C135*(1-G135)</f>
        <v>1262235.4644554348</v>
      </c>
      <c r="Y135" s="4">
        <v>825477</v>
      </c>
      <c r="AA135" s="4">
        <v>798725</v>
      </c>
      <c r="AC135" s="4">
        <v>2</v>
      </c>
      <c r="AO135" s="4">
        <v>150</v>
      </c>
      <c r="AP135" s="4">
        <v>13</v>
      </c>
      <c r="AS135" s="4">
        <v>1667</v>
      </c>
      <c r="AT135" s="4">
        <v>1724</v>
      </c>
      <c r="AW135" s="4">
        <v>3489</v>
      </c>
      <c r="BH135" s="4">
        <f>1.518*(Y135)^0.9321</f>
        <v>496858.2218378208</v>
      </c>
      <c r="BI135" s="4">
        <f>0.748*Z135+1.613*AA135+1.774*AB135</f>
        <v>1288343.425</v>
      </c>
      <c r="BJ135" s="4">
        <f>35453*AC135+56469*AE135+144773*AG135+178851*(AI135+AK135)+440*AN135</f>
        <v>70906</v>
      </c>
      <c r="BK135" s="4">
        <f>4047*(AO135+AP135)+85370*(AQ135+AR135)</f>
        <v>659661</v>
      </c>
      <c r="BL135" s="4">
        <f>135.8*(AS135+AT135)+430.2*AU135+1208.1*AV135</f>
        <v>460497.80000000005</v>
      </c>
      <c r="BM135" s="4">
        <f>149.8*AW135</f>
        <v>522652.2</v>
      </c>
      <c r="BP135" s="4">
        <f>SUM(BG135:BM135)</f>
        <v>3498918.646837821</v>
      </c>
      <c r="CA135" s="36"/>
    </row>
    <row r="136" spans="1:79" ht="15">
      <c r="A136" s="12" t="s">
        <v>208</v>
      </c>
      <c r="C136" s="13">
        <v>1192823.2470023448</v>
      </c>
      <c r="F136" s="2">
        <f>C136/BP136</f>
        <v>1.2920906759032253</v>
      </c>
      <c r="G136" s="49">
        <f>(1-$E$134/F136)</f>
        <v>0.7208012041857359</v>
      </c>
      <c r="H136" s="15">
        <f>IF(G136&gt;0.055,0.05,G136)</f>
        <v>0.05</v>
      </c>
      <c r="I136" s="4">
        <f>H136*C136</f>
        <v>59641.16235011724</v>
      </c>
      <c r="M136" s="50">
        <f aca="true" t="shared" si="145" ref="M136:M147">C136*(1-G136)</f>
        <v>333034.8141823152</v>
      </c>
      <c r="Y136" s="4">
        <v>315656</v>
      </c>
      <c r="AA136" s="4">
        <v>308500</v>
      </c>
      <c r="AW136" s="4">
        <v>1487</v>
      </c>
      <c r="BH136" s="4">
        <f>1.518*(Y136)^0.9321</f>
        <v>202809.91660621582</v>
      </c>
      <c r="BI136" s="4">
        <f>0.748*Z136+1.613*AA136+1.774*AB136</f>
        <v>497610.5</v>
      </c>
      <c r="BJ136" s="4">
        <f>35453*AC136+56469*AE136+144773*AG136+178851*(AI136+AK136)+440*AN136</f>
        <v>0</v>
      </c>
      <c r="BK136" s="4">
        <f>4047*(AO136+AP136)+85370*(AQ136+AR136)</f>
        <v>0</v>
      </c>
      <c r="BL136" s="4">
        <f>135.8*(AS136+AT136)+430.2*AU136+1208.1*AV136</f>
        <v>0</v>
      </c>
      <c r="BM136" s="4">
        <f>149.8*AW136</f>
        <v>222752.6</v>
      </c>
      <c r="BP136" s="4">
        <f>SUM(BG136:BM136)</f>
        <v>923173.0166062157</v>
      </c>
      <c r="CA136" s="36"/>
    </row>
    <row r="137" spans="1:76" ht="15">
      <c r="A137" s="12" t="s">
        <v>209</v>
      </c>
      <c r="C137" s="13">
        <v>459570.6775286622</v>
      </c>
      <c r="F137" s="2">
        <f>C137/BP137</f>
        <v>0.9532414528401719</v>
      </c>
      <c r="G137" s="49">
        <f>(1-$E$134/F137)</f>
        <v>0.6215542665290434</v>
      </c>
      <c r="H137" s="15">
        <f>IF(G137&gt;0.055,0.05,G137)</f>
        <v>0.05</v>
      </c>
      <c r="I137" s="4">
        <f>H137*C137</f>
        <v>22978.53387643311</v>
      </c>
      <c r="M137" s="50">
        <f t="shared" si="145"/>
        <v>173922.56213907903</v>
      </c>
      <c r="Y137" s="4">
        <v>234438</v>
      </c>
      <c r="AA137" s="4">
        <v>203604</v>
      </c>
      <c r="BH137" s="4">
        <f>1.518*(Y137)^0.9321</f>
        <v>153700.35747362988</v>
      </c>
      <c r="BI137" s="4">
        <f>0.748*Z137+1.613*AA137+1.774*AB137</f>
        <v>328413.252</v>
      </c>
      <c r="BJ137" s="4">
        <f>35453*AC137+56469*AE137+144773*AG137+178851*(AI137+AK137)+440*AN137</f>
        <v>0</v>
      </c>
      <c r="BK137" s="4">
        <f>4047*(AO137+AP137)+85370*(AQ137+AR137)</f>
        <v>0</v>
      </c>
      <c r="BL137" s="4">
        <f>135.8*(AS137+AT137)+430.2*AU137+1208.1*AV137</f>
        <v>0</v>
      </c>
      <c r="BM137" s="4">
        <f>149.8*AW137</f>
        <v>0</v>
      </c>
      <c r="BP137" s="4">
        <f>SUM(BG137:BM137)</f>
        <v>482113.60947362985</v>
      </c>
      <c r="BX137" s="4">
        <f>42736+116420.4</f>
        <v>159156.4</v>
      </c>
    </row>
    <row r="138" spans="1:68" ht="15">
      <c r="A138" s="12" t="s">
        <v>210</v>
      </c>
      <c r="C138" s="13">
        <v>1308060.6430774804</v>
      </c>
      <c r="F138" s="2">
        <f>C138/BP138</f>
        <v>0.670955704451888</v>
      </c>
      <c r="G138" s="49">
        <f>(1-$E$134/F138)</f>
        <v>0.46233386436483104</v>
      </c>
      <c r="H138" s="15">
        <f>IF(G138&gt;0.055,0.05,G138)</f>
        <v>0.05</v>
      </c>
      <c r="I138" s="4">
        <f>H138*C138</f>
        <v>65403.032153874025</v>
      </c>
      <c r="M138" s="50">
        <f t="shared" si="145"/>
        <v>703299.9111399229</v>
      </c>
      <c r="Y138" s="4">
        <v>516784</v>
      </c>
      <c r="AA138" s="4">
        <v>489829</v>
      </c>
      <c r="AC138" s="4">
        <v>1</v>
      </c>
      <c r="AO138" s="4">
        <v>26</v>
      </c>
      <c r="AP138" s="4">
        <v>22</v>
      </c>
      <c r="AS138" s="4">
        <v>430</v>
      </c>
      <c r="AT138" s="4">
        <v>1774</v>
      </c>
      <c r="AW138" s="4">
        <v>2065</v>
      </c>
      <c r="BH138" s="4">
        <f>1.518*(Y138)^0.9321</f>
        <v>321105.05726817757</v>
      </c>
      <c r="BI138" s="4">
        <f>0.748*Z138+1.613*AA138+1.774*AB138</f>
        <v>790094.177</v>
      </c>
      <c r="BJ138" s="4">
        <f>35453*AC138+56469*AE138+144773*AG138+178851*(AI138+AK138)+440*AN138</f>
        <v>35453</v>
      </c>
      <c r="BK138" s="4">
        <f>4047*(AO138+AP138)+85370*(AQ138+AR138)</f>
        <v>194256</v>
      </c>
      <c r="BL138" s="4">
        <f>135.8*(AS138+AT138)+430.2*AU138+1208.1*AV138</f>
        <v>299303.2</v>
      </c>
      <c r="BM138" s="4">
        <f>149.8*AW138</f>
        <v>309337</v>
      </c>
      <c r="BP138" s="4">
        <f>SUM(BG138:BM138)</f>
        <v>1949548.4342681775</v>
      </c>
    </row>
    <row r="139" spans="1:68" ht="15">
      <c r="A139" s="12" t="s">
        <v>212</v>
      </c>
      <c r="C139" s="13">
        <v>4242821.38047181</v>
      </c>
      <c r="F139" s="2">
        <f>C139/BP139</f>
        <v>1.4949884063872474</v>
      </c>
      <c r="G139" s="49">
        <f>(1-$E$134/F139)</f>
        <v>0.7586936733062706</v>
      </c>
      <c r="H139" s="15">
        <f>IF(G139&gt;0.055,0.05,G139)</f>
        <v>0.05</v>
      </c>
      <c r="I139" s="4">
        <f>H139*C139</f>
        <v>212141.0690235905</v>
      </c>
      <c r="M139" s="50">
        <f t="shared" si="145"/>
        <v>1023819.6421392706</v>
      </c>
      <c r="Y139" s="4">
        <v>381924</v>
      </c>
      <c r="AA139" s="4">
        <v>378083</v>
      </c>
      <c r="AO139" s="4">
        <v>145</v>
      </c>
      <c r="AP139" s="4">
        <v>5</v>
      </c>
      <c r="AS139" s="4">
        <v>4335</v>
      </c>
      <c r="AT139" s="4">
        <v>470</v>
      </c>
      <c r="AW139" s="4">
        <v>4849</v>
      </c>
      <c r="BH139" s="4">
        <f>1.518*(Y139)^0.9321</f>
        <v>242232.5420623523</v>
      </c>
      <c r="BI139" s="4">
        <f>0.748*Z139+1.613*AA139+1.774*AB139</f>
        <v>609847.879</v>
      </c>
      <c r="BJ139" s="4">
        <f>35453*AC139+56469*AE139+144773*AG139+178851*(AI139+AK139)+440*AN139</f>
        <v>0</v>
      </c>
      <c r="BK139" s="4">
        <f>4047*(AO139+AP139)+85370*(AQ139+AR139)</f>
        <v>607050</v>
      </c>
      <c r="BL139" s="4">
        <f>135.8*(AS139+AT139)+430.2*AU139+1208.1*AV139</f>
        <v>652519</v>
      </c>
      <c r="BM139" s="4">
        <f>149.8*AW139</f>
        <v>726380.2000000001</v>
      </c>
      <c r="BP139" s="4">
        <f>SUM(BG139:BM139)</f>
        <v>2838029.6210623523</v>
      </c>
    </row>
    <row r="140" spans="1:13" ht="15">
      <c r="A140" s="12"/>
      <c r="M140" s="50"/>
    </row>
    <row r="141" spans="1:13" ht="15">
      <c r="A141" s="38" t="s">
        <v>214</v>
      </c>
      <c r="C141" s="4" t="s">
        <v>182</v>
      </c>
      <c r="D141" s="4" t="s">
        <v>224</v>
      </c>
      <c r="E141" s="4" t="s">
        <v>225</v>
      </c>
      <c r="F141" s="2" t="s">
        <v>226</v>
      </c>
      <c r="G141" s="4" t="s">
        <v>222</v>
      </c>
      <c r="H141" s="2" t="s">
        <v>227</v>
      </c>
      <c r="I141" s="2" t="s">
        <v>199</v>
      </c>
      <c r="M141" s="4" t="s">
        <v>230</v>
      </c>
    </row>
    <row r="142" spans="1:13" ht="15">
      <c r="A142" s="37" t="s">
        <v>228</v>
      </c>
      <c r="E142" s="4">
        <v>0.8042862961946403</v>
      </c>
      <c r="M142" s="50"/>
    </row>
    <row r="143" spans="1:13" ht="15">
      <c r="A143" s="12" t="s">
        <v>215</v>
      </c>
      <c r="C143" s="13">
        <v>1692035.8579333103</v>
      </c>
      <c r="D143" s="4">
        <v>350915.37</v>
      </c>
      <c r="F143" s="2">
        <f>C143/D143</f>
        <v>4.8217775640129705</v>
      </c>
      <c r="G143" s="49">
        <f>(1-$E$142/F143)</f>
        <v>0.8331971382924463</v>
      </c>
      <c r="H143" s="15">
        <f>IF(G143&gt;0.055,0.05,G143)</f>
        <v>0.05</v>
      </c>
      <c r="I143" s="4">
        <f>H143*C143</f>
        <v>84601.79289666552</v>
      </c>
      <c r="M143" s="50">
        <f t="shared" si="145"/>
        <v>282236.42321507185</v>
      </c>
    </row>
    <row r="144" spans="1:13" ht="15">
      <c r="A144" s="12" t="s">
        <v>216</v>
      </c>
      <c r="C144" s="13">
        <v>954271.4893124226</v>
      </c>
      <c r="D144" s="4">
        <v>342327.636</v>
      </c>
      <c r="F144" s="2">
        <f>C144/D144</f>
        <v>2.7875969946885113</v>
      </c>
      <c r="G144" s="49">
        <f>(1-$E$142/F144)</f>
        <v>0.7114768391101268</v>
      </c>
      <c r="H144" s="15">
        <f>IF(G144&gt;0.055,0.05,G144)</f>
        <v>0.05</v>
      </c>
      <c r="I144" s="4">
        <f>H144*C144</f>
        <v>47713.57446562113</v>
      </c>
      <c r="M144" s="50">
        <f t="shared" si="145"/>
        <v>275329.42644350696</v>
      </c>
    </row>
    <row r="145" spans="1:13" ht="15">
      <c r="A145" s="12" t="s">
        <v>217</v>
      </c>
      <c r="C145" s="13">
        <v>911452.8067537991</v>
      </c>
      <c r="D145" s="4">
        <v>284257.233</v>
      </c>
      <c r="F145" s="2">
        <f>C145/D145</f>
        <v>3.2064366388657524</v>
      </c>
      <c r="G145" s="49">
        <f>(1-$E$142/F145)</f>
        <v>0.7491650742616422</v>
      </c>
      <c r="H145" s="15">
        <f>IF(G145&gt;0.055,0.05,G145)</f>
        <v>0.05</v>
      </c>
      <c r="I145" s="4">
        <f>H145*C145</f>
        <v>45572.640337689954</v>
      </c>
      <c r="M145" s="50">
        <f t="shared" si="145"/>
        <v>228624.19709610695</v>
      </c>
    </row>
    <row r="146" spans="1:13" ht="15">
      <c r="A146" s="12" t="s">
        <v>218</v>
      </c>
      <c r="C146" s="13">
        <v>752428.899542008</v>
      </c>
      <c r="D146" s="4">
        <v>199751.82599999997</v>
      </c>
      <c r="F146" s="2">
        <f>C146/D146</f>
        <v>3.766818629943378</v>
      </c>
      <c r="G146" s="49">
        <f>(1-$E$142/F146)</f>
        <v>0.7864812789760652</v>
      </c>
      <c r="H146" s="15">
        <f>IF(G146&gt;0.055,0.05,G146)</f>
        <v>0.05</v>
      </c>
      <c r="I146" s="4">
        <f>H146*C146</f>
        <v>37621.4449771004</v>
      </c>
      <c r="M146" s="50">
        <f t="shared" si="145"/>
        <v>160657.65629165623</v>
      </c>
    </row>
    <row r="147" spans="1:13" ht="15">
      <c r="A147" s="12" t="s">
        <v>219</v>
      </c>
      <c r="C147" s="13">
        <v>636657.9141624729</v>
      </c>
      <c r="D147" s="4">
        <v>263552.78099999996</v>
      </c>
      <c r="F147" s="2">
        <f>C147/D147</f>
        <v>2.4156751894129056</v>
      </c>
      <c r="G147" s="49">
        <f>(1-$E$142/F147)</f>
        <v>0.6670552813890056</v>
      </c>
      <c r="H147" s="15">
        <f>IF(G147&gt;0.055,0.05,G147)</f>
        <v>0.05</v>
      </c>
      <c r="I147" s="4">
        <f>H147*C147</f>
        <v>31832.895708123648</v>
      </c>
      <c r="M147" s="50">
        <f t="shared" si="145"/>
        <v>211971.89008228717</v>
      </c>
    </row>
  </sheetData>
  <sheetProtection/>
  <mergeCells count="13">
    <mergeCell ref="Z1:AB1"/>
    <mergeCell ref="AC1:AN1"/>
    <mergeCell ref="AO1:AR1"/>
    <mergeCell ref="AS1:AV1"/>
    <mergeCell ref="BU1:BZ1"/>
    <mergeCell ref="CD1:CI1"/>
    <mergeCell ref="AX1:BE1"/>
    <mergeCell ref="BF1:BF2"/>
    <mergeCell ref="BG1:BM1"/>
    <mergeCell ref="BN1:BN2"/>
    <mergeCell ref="BO1:BO2"/>
    <mergeCell ref="BS1:BS2"/>
    <mergeCell ref="BP1:BR1"/>
  </mergeCells>
  <conditionalFormatting sqref="BU3:BZ126 CL3:CL126 I3:K126">
    <cfRule type="cellIs" priority="17" dxfId="9" operator="equal" stopIfTrue="1">
      <formula>0</formula>
    </cfRule>
  </conditionalFormatting>
  <conditionalFormatting sqref="CM3:CM126">
    <cfRule type="cellIs" priority="1" dxfId="9" operator="lessThanOrEqual" stopIfTrue="1">
      <formula>20</formula>
    </cfRule>
  </conditionalFormatting>
  <conditionalFormatting sqref="CD3:CD126">
    <cfRule type="cellIs" priority="1679" dxfId="9" operator="between" stopIfTrue="1">
      <formula>$BU$130</formula>
      <formula>$BU$131</formula>
    </cfRule>
  </conditionalFormatting>
  <conditionalFormatting sqref="CE3:CE126">
    <cfRule type="cellIs" priority="1681" dxfId="9" operator="between" stopIfTrue="1">
      <formula>$BV$130</formula>
      <formula>$BV$131</formula>
    </cfRule>
  </conditionalFormatting>
  <conditionalFormatting sqref="CF3:CF126">
    <cfRule type="cellIs" priority="1683" dxfId="9" operator="between" stopIfTrue="1">
      <formula>$BW$130</formula>
      <formula>$BW$131</formula>
    </cfRule>
  </conditionalFormatting>
  <conditionalFormatting sqref="CG3:CG126">
    <cfRule type="cellIs" priority="1685" dxfId="9" operator="between" stopIfTrue="1">
      <formula>$BX$130</formula>
      <formula>$BX$131</formula>
    </cfRule>
  </conditionalFormatting>
  <conditionalFormatting sqref="CH3:CH126">
    <cfRule type="cellIs" priority="1687" dxfId="9" operator="between" stopIfTrue="1">
      <formula>$BY$130</formula>
      <formula>$BY$131</formula>
    </cfRule>
  </conditionalFormatting>
  <conditionalFormatting sqref="CI3:CI126">
    <cfRule type="cellIs" priority="1689" dxfId="9" operator="between" stopIfTrue="1">
      <formula>$BZ$130</formula>
      <formula>$BZ$131</formula>
    </cfRule>
  </conditionalFormatting>
  <conditionalFormatting sqref="CK3:CK126">
    <cfRule type="cellIs" priority="1691" dxfId="9" operator="greaterThan" stopIfTrue="1">
      <formula>$CB$131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Statens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Rikke Leerberg Jørgensen (KFST)</dc:creator>
  <cp:keywords/>
  <dc:description/>
  <cp:lastModifiedBy>Rikke Leerberg Jørgensen</cp:lastModifiedBy>
  <dcterms:created xsi:type="dcterms:W3CDTF">2012-06-06T07:56:13Z</dcterms:created>
  <dcterms:modified xsi:type="dcterms:W3CDTF">2014-06-27T13:14:47Z</dcterms:modified>
  <cp:category/>
  <cp:version/>
  <cp:contentType/>
  <cp:contentStatus/>
</cp:coreProperties>
</file>