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88" windowWidth="14808" windowHeight="7836"/>
  </bookViews>
  <sheets>
    <sheet name="Potentialer og krav" sheetId="1" r:id="rId1"/>
    <sheet name="Netvolumenmål" sheetId="2" r:id="rId2"/>
    <sheet name="Costdrivere" sheetId="3" r:id="rId3"/>
    <sheet name="Renseanlæg" sheetId="4" r:id="rId4"/>
  </sheets>
  <definedNames>
    <definedName name="rente">'Potentialer og krav'!#REF!</definedName>
    <definedName name="Z_671B1274_D827_4B17_9362_3AC860C70530_.wvu.Cols" localSheetId="0" hidden="1">'Potentialer og krav'!#REF!</definedName>
    <definedName name="Z_88D7A6C6_1D77_4300_8600_F7BD640C7FF4_.wvu.Cols" localSheetId="0" hidden="1">'Potentialer og krav'!#REF!</definedName>
  </definedNames>
  <calcPr calcId="145621"/>
  <customWorkbookViews>
    <customWorkbookView name="Rikke Leerberg Jørgensen - Privat visning" guid="{CA125778-F8FD-4378-B746-C94ABF8D8556}" mergeInterval="0" personalView="1" maximized="1" windowWidth="1680" windowHeight="864" activeSheetId="7"/>
    <customWorkbookView name="Espen Brader Gatzwiller (KFST) - Privat visning" guid="{671B1274-D827-4B17-9362-3AC860C70530}" mergeInterval="0" personalView="1" maximized="1" windowWidth="1680" windowHeight="825" activeSheetId="1"/>
    <customWorkbookView name="Lasse Trøjborg Krogh - Privat visning" guid="{88D7A6C6-1D77-4300-8600-F7BD640C7FF4}" mergeInterval="0" personalView="1" maximized="1" windowWidth="1680" windowHeight="864" activeSheetId="3"/>
    <customWorkbookView name="Kirstine Sewohl (KFST) - Privat visning" guid="{630A50AD-37E0-4B13-8A0F-82608C065D57}" mergeInterval="0" personalView="1" maximized="1" windowWidth="1920" windowHeight="985" activeSheetId="1"/>
    <customWorkbookView name="Eske Benn Thomsen - Privat visning" guid="{80E426B4-B9D0-45E3-ACA1-6AA797532F97}" mergeInterval="0" personalView="1" maximized="1" windowWidth="1680" windowHeight="835" activeSheetId="1"/>
    <customWorkbookView name="Eske Benn Thomsen (KFST) - Privat visning" guid="{A178F800-3B7E-4511-BF10-5AA233FDE985}" mergeInterval="0" personalView="1" maximized="1" windowWidth="1680" windowHeight="827" activeSheetId="1"/>
    <customWorkbookView name="Rikke Leerberg Jørgensen (KFST) - Privat visning" guid="{1AAC2EB3-B963-4CB8-8604-06326666FF8C}" mergeInterval="0" personalView="1" maximized="1" windowWidth="1680" windowHeight="860" activeSheetId="1"/>
    <customWorkbookView name="Lasse Trøjborg Krogh (KFST) - Privat visning" guid="{898A57C7-EA84-4A1C-AA42-8284F31DD32C}" mergeInterval="0" personalView="1" maximized="1" windowWidth="1280" windowHeight="834" activeSheetId="2"/>
  </customWorkbookViews>
</workbook>
</file>

<file path=xl/calcChain.xml><?xml version="1.0" encoding="utf-8"?>
<calcChain xmlns="http://schemas.openxmlformats.org/spreadsheetml/2006/main">
  <c r="I48" i="1" l="1"/>
  <c r="I46" i="1"/>
  <c r="G48" i="1"/>
  <c r="D48" i="1"/>
  <c r="G46" i="1"/>
  <c r="D46" i="1"/>
  <c r="O26" i="1" l="1"/>
  <c r="D26" i="1"/>
  <c r="M22" i="1" l="1"/>
  <c r="Q22" i="1" s="1"/>
  <c r="R22" i="1" s="1"/>
  <c r="S22" i="1" s="1"/>
  <c r="M23" i="1"/>
  <c r="N23" i="1" s="1"/>
  <c r="M26" i="1"/>
  <c r="Q26" i="1" s="1"/>
  <c r="R26" i="1" s="1"/>
  <c r="S26" i="1" s="1"/>
  <c r="N26" i="1" l="1"/>
  <c r="N22" i="1"/>
  <c r="Q23" i="1"/>
  <c r="R23" i="1" s="1"/>
  <c r="S23" i="1" s="1"/>
  <c r="I6" i="1" l="1"/>
  <c r="G6" i="1"/>
  <c r="D6" i="1"/>
  <c r="I15" i="1" l="1"/>
  <c r="D15" i="1"/>
  <c r="G15" i="1"/>
  <c r="C4" i="3" l="1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3" i="3"/>
  <c r="J2" i="1"/>
  <c r="H2" i="1"/>
  <c r="O2" i="1" s="1"/>
  <c r="E2" i="1"/>
  <c r="J3" i="3" l="1"/>
  <c r="V4" i="2" l="1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3" i="2"/>
  <c r="G2" i="4"/>
  <c r="G150" i="4"/>
  <c r="G119" i="4"/>
  <c r="G27" i="4"/>
  <c r="G311" i="4"/>
  <c r="G300" i="4"/>
  <c r="G301" i="4"/>
  <c r="G302" i="4"/>
  <c r="G303" i="4"/>
  <c r="G304" i="4"/>
  <c r="G305" i="4"/>
  <c r="G306" i="4"/>
  <c r="G307" i="4"/>
  <c r="G308" i="4"/>
  <c r="G309" i="4"/>
  <c r="G310" i="4"/>
  <c r="G312" i="4"/>
  <c r="G299" i="4"/>
  <c r="G313" i="4"/>
  <c r="G314" i="4"/>
  <c r="G315" i="4"/>
  <c r="G316" i="4"/>
  <c r="G317" i="4"/>
  <c r="G318" i="4"/>
  <c r="G319" i="4"/>
  <c r="G320" i="4"/>
  <c r="G321" i="4"/>
  <c r="G322" i="4"/>
  <c r="G323" i="4"/>
  <c r="G324" i="4"/>
  <c r="G325" i="4"/>
  <c r="G326" i="4"/>
  <c r="G134" i="4"/>
  <c r="G3" i="4"/>
  <c r="G4" i="4"/>
  <c r="G3" i="3" l="1"/>
  <c r="B3" i="3"/>
  <c r="J2" i="4"/>
  <c r="K2" i="4" s="1"/>
  <c r="F3" i="3" s="1"/>
  <c r="I18" i="2"/>
  <c r="I36" i="2"/>
  <c r="G276" i="4"/>
  <c r="J8" i="4"/>
  <c r="J13" i="4"/>
  <c r="J19" i="4"/>
  <c r="J20" i="4"/>
  <c r="J21" i="4"/>
  <c r="J25" i="4"/>
  <c r="J27" i="4"/>
  <c r="J32" i="4"/>
  <c r="G87" i="4"/>
  <c r="G88" i="4"/>
  <c r="G89" i="4"/>
  <c r="G90" i="4"/>
  <c r="G91" i="4"/>
  <c r="G92" i="4"/>
  <c r="G93" i="4"/>
  <c r="G94" i="4"/>
  <c r="G95" i="4"/>
  <c r="G96" i="4"/>
  <c r="J14" i="4" l="1"/>
  <c r="B7" i="3" l="1"/>
  <c r="J46" i="3"/>
  <c r="K46" i="2" s="1"/>
  <c r="J45" i="3"/>
  <c r="K45" i="2" s="1"/>
  <c r="J40" i="3"/>
  <c r="K40" i="2" s="1"/>
  <c r="J41" i="3"/>
  <c r="K41" i="2" s="1"/>
  <c r="J38" i="3"/>
  <c r="K38" i="2" s="1"/>
  <c r="J35" i="3"/>
  <c r="K35" i="2" s="1"/>
  <c r="J34" i="3"/>
  <c r="K34" i="2" s="1"/>
  <c r="J33" i="3"/>
  <c r="K33" i="2" s="1"/>
  <c r="J25" i="3"/>
  <c r="K25" i="2" s="1"/>
  <c r="J26" i="3"/>
  <c r="K26" i="2" s="1"/>
  <c r="J27" i="3"/>
  <c r="K27" i="2" s="1"/>
  <c r="J23" i="3"/>
  <c r="K23" i="2" s="1"/>
  <c r="J19" i="3"/>
  <c r="K19" i="2" s="1"/>
  <c r="J20" i="3"/>
  <c r="K20" i="2" s="1"/>
  <c r="J21" i="3"/>
  <c r="K21" i="2" s="1"/>
  <c r="J22" i="3"/>
  <c r="K22" i="2" s="1"/>
  <c r="J16" i="3"/>
  <c r="K16" i="2" s="1"/>
  <c r="J14" i="3"/>
  <c r="K14" i="2" s="1"/>
  <c r="J12" i="3"/>
  <c r="K12" i="2" s="1"/>
  <c r="J10" i="3"/>
  <c r="K10" i="2" s="1"/>
  <c r="J8" i="3"/>
  <c r="K8" i="2" s="1"/>
  <c r="K3" i="2"/>
  <c r="J4" i="3"/>
  <c r="K4" i="2" s="1"/>
  <c r="J5" i="3"/>
  <c r="K5" i="2" s="1"/>
  <c r="J6" i="3"/>
  <c r="K6" i="2" s="1"/>
  <c r="J7" i="3"/>
  <c r="K7" i="2" s="1"/>
  <c r="J9" i="3"/>
  <c r="K9" i="2" s="1"/>
  <c r="J11" i="3"/>
  <c r="K11" i="2" s="1"/>
  <c r="J13" i="3"/>
  <c r="K13" i="2" s="1"/>
  <c r="J15" i="3"/>
  <c r="K15" i="2" s="1"/>
  <c r="J17" i="3"/>
  <c r="K17" i="2" s="1"/>
  <c r="J18" i="3"/>
  <c r="K18" i="2" s="1"/>
  <c r="K24" i="2"/>
  <c r="J28" i="3"/>
  <c r="K28" i="2" s="1"/>
  <c r="J29" i="3"/>
  <c r="K29" i="2" s="1"/>
  <c r="J30" i="3"/>
  <c r="K30" i="2" s="1"/>
  <c r="J31" i="3"/>
  <c r="K31" i="2" s="1"/>
  <c r="J32" i="3"/>
  <c r="K32" i="2" s="1"/>
  <c r="J36" i="3"/>
  <c r="K36" i="2" s="1"/>
  <c r="J37" i="3"/>
  <c r="K37" i="2" s="1"/>
  <c r="J39" i="3"/>
  <c r="K39" i="2" s="1"/>
  <c r="J42" i="3"/>
  <c r="K42" i="2" s="1"/>
  <c r="J44" i="3"/>
  <c r="K44" i="2" s="1"/>
  <c r="J47" i="3"/>
  <c r="K47" i="2" s="1"/>
  <c r="J48" i="3"/>
  <c r="K48" i="2" s="1"/>
  <c r="J49" i="3"/>
  <c r="K49" i="2" s="1"/>
  <c r="B7" i="2" l="1"/>
  <c r="C22" i="2" l="1"/>
  <c r="J43" i="3"/>
  <c r="K43" i="2" s="1"/>
  <c r="H38" i="1" l="1"/>
  <c r="O38" i="1" l="1"/>
  <c r="P38" i="1" s="1"/>
  <c r="B45" i="3"/>
  <c r="B45" i="2" l="1"/>
  <c r="C19" i="2" l="1"/>
  <c r="C13" i="2" l="1"/>
  <c r="J12" i="1" l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H43" i="1" l="1"/>
  <c r="O43" i="1" s="1"/>
  <c r="P43" i="1" s="1"/>
  <c r="H46" i="1"/>
  <c r="O46" i="1" s="1"/>
  <c r="P46" i="1" s="1"/>
  <c r="H48" i="1"/>
  <c r="O48" i="1" s="1"/>
  <c r="P48" i="1" s="1"/>
  <c r="H49" i="1"/>
  <c r="O49" i="1" s="1"/>
  <c r="P49" i="1" s="1"/>
  <c r="H3" i="1"/>
  <c r="H4" i="1"/>
  <c r="H12" i="1"/>
  <c r="O12" i="1" s="1"/>
  <c r="P12" i="1" s="1"/>
  <c r="H16" i="1"/>
  <c r="O16" i="1" s="1"/>
  <c r="P16" i="1" s="1"/>
  <c r="H23" i="1"/>
  <c r="H27" i="1"/>
  <c r="O27" i="1" s="1"/>
  <c r="P27" i="1" s="1"/>
  <c r="H29" i="1"/>
  <c r="O29" i="1" s="1"/>
  <c r="P29" i="1" s="1"/>
  <c r="H41" i="1"/>
  <c r="O41" i="1" s="1"/>
  <c r="P41" i="1" s="1"/>
  <c r="H47" i="1"/>
  <c r="O47" i="1" s="1"/>
  <c r="P47" i="1" s="1"/>
  <c r="H5" i="1"/>
  <c r="O5" i="1" s="1"/>
  <c r="P5" i="1" s="1"/>
  <c r="H6" i="1"/>
  <c r="O6" i="1" s="1"/>
  <c r="P6" i="1" s="1"/>
  <c r="H8" i="1"/>
  <c r="O8" i="1" s="1"/>
  <c r="P8" i="1" s="1"/>
  <c r="H10" i="1"/>
  <c r="O10" i="1" s="1"/>
  <c r="P10" i="1" s="1"/>
  <c r="H14" i="1"/>
  <c r="H17" i="1"/>
  <c r="O17" i="1" s="1"/>
  <c r="P17" i="1" s="1"/>
  <c r="H28" i="1"/>
  <c r="O28" i="1" s="1"/>
  <c r="P28" i="1" s="1"/>
  <c r="H30" i="1"/>
  <c r="O30" i="1" s="1"/>
  <c r="P30" i="1" s="1"/>
  <c r="H31" i="1"/>
  <c r="O31" i="1" s="1"/>
  <c r="P31" i="1" s="1"/>
  <c r="H33" i="1"/>
  <c r="O33" i="1" s="1"/>
  <c r="P33" i="1" s="1"/>
  <c r="H35" i="1"/>
  <c r="O35" i="1" s="1"/>
  <c r="P35" i="1" s="1"/>
  <c r="O23" i="1" l="1"/>
  <c r="P23" i="1" s="1"/>
  <c r="O3" i="1"/>
  <c r="P3" i="1" s="1"/>
  <c r="O14" i="1"/>
  <c r="P14" i="1" s="1"/>
  <c r="O4" i="1"/>
  <c r="P4" i="1" l="1"/>
  <c r="J31" i="1"/>
  <c r="J32" i="1"/>
  <c r="G128" i="4" l="1"/>
  <c r="J3" i="1" l="1"/>
  <c r="J4" i="1"/>
  <c r="J5" i="1"/>
  <c r="J6" i="1"/>
  <c r="J7" i="1"/>
  <c r="J8" i="1"/>
  <c r="J9" i="1"/>
  <c r="J10" i="1"/>
  <c r="J11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B46" i="3" l="1"/>
  <c r="D46" i="3"/>
  <c r="E46" i="3"/>
  <c r="G46" i="3"/>
  <c r="H46" i="3"/>
  <c r="I46" i="3"/>
  <c r="B47" i="3"/>
  <c r="D47" i="3"/>
  <c r="E47" i="3"/>
  <c r="G47" i="3"/>
  <c r="H47" i="3"/>
  <c r="I47" i="3"/>
  <c r="B48" i="3"/>
  <c r="D48" i="3"/>
  <c r="E48" i="3"/>
  <c r="G48" i="3"/>
  <c r="H48" i="3"/>
  <c r="I48" i="3"/>
  <c r="B49" i="3"/>
  <c r="D49" i="3"/>
  <c r="E49" i="3"/>
  <c r="G49" i="3"/>
  <c r="H49" i="3"/>
  <c r="I49" i="3"/>
  <c r="G337" i="4"/>
  <c r="G338" i="4"/>
  <c r="G339" i="4"/>
  <c r="G340" i="4"/>
  <c r="G341" i="4"/>
  <c r="G342" i="4"/>
  <c r="G343" i="4"/>
  <c r="G344" i="4"/>
  <c r="G345" i="4"/>
  <c r="G346" i="4"/>
  <c r="G347" i="4"/>
  <c r="G348" i="4"/>
  <c r="G349" i="4"/>
  <c r="G350" i="4"/>
  <c r="G351" i="4"/>
  <c r="G352" i="4"/>
  <c r="G353" i="4"/>
  <c r="G354" i="4"/>
  <c r="G355" i="4"/>
  <c r="G356" i="4"/>
  <c r="G357" i="4"/>
  <c r="G358" i="4"/>
  <c r="G359" i="4"/>
  <c r="G360" i="4"/>
  <c r="G361" i="4"/>
  <c r="G362" i="4"/>
  <c r="G363" i="4"/>
  <c r="G364" i="4"/>
  <c r="G365" i="4"/>
  <c r="G366" i="4"/>
  <c r="G367" i="4"/>
  <c r="G368" i="4"/>
  <c r="G369" i="4"/>
  <c r="G370" i="4"/>
  <c r="G371" i="4"/>
  <c r="G372" i="4"/>
  <c r="J49" i="4" l="1"/>
  <c r="K49" i="4" s="1"/>
  <c r="J47" i="4"/>
  <c r="K47" i="4" s="1"/>
  <c r="C49" i="2"/>
  <c r="B48" i="2"/>
  <c r="I49" i="2"/>
  <c r="G49" i="2"/>
  <c r="D49" i="2"/>
  <c r="B49" i="2"/>
  <c r="H48" i="2"/>
  <c r="E48" i="2"/>
  <c r="C48" i="2"/>
  <c r="I47" i="2"/>
  <c r="G47" i="2"/>
  <c r="D47" i="2"/>
  <c r="B47" i="2"/>
  <c r="H46" i="2"/>
  <c r="E46" i="2"/>
  <c r="C46" i="2"/>
  <c r="H49" i="2"/>
  <c r="E49" i="2"/>
  <c r="I48" i="2"/>
  <c r="G48" i="2"/>
  <c r="D48" i="2"/>
  <c r="H47" i="2"/>
  <c r="E47" i="2"/>
  <c r="C47" i="2"/>
  <c r="I46" i="2"/>
  <c r="G46" i="2"/>
  <c r="D46" i="2"/>
  <c r="B46" i="2"/>
  <c r="J48" i="4"/>
  <c r="K48" i="4" s="1"/>
  <c r="F49" i="3" l="1"/>
  <c r="F49" i="2" s="1"/>
  <c r="AB49" i="2" s="1"/>
  <c r="F50" i="3"/>
  <c r="F50" i="2"/>
  <c r="B20" i="3"/>
  <c r="B4" i="3"/>
  <c r="B5" i="3"/>
  <c r="B6" i="3"/>
  <c r="B19" i="3"/>
  <c r="B8" i="3"/>
  <c r="B9" i="3"/>
  <c r="B10" i="3"/>
  <c r="B11" i="3"/>
  <c r="B12" i="3"/>
  <c r="B13" i="3"/>
  <c r="B14" i="3"/>
  <c r="B15" i="3"/>
  <c r="B16" i="3"/>
  <c r="B17" i="3"/>
  <c r="B18" i="3"/>
  <c r="B23" i="3"/>
  <c r="B24" i="3"/>
  <c r="B21" i="3"/>
  <c r="B25" i="3"/>
  <c r="B26" i="3"/>
  <c r="B27" i="3"/>
  <c r="B28" i="3"/>
  <c r="B22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50" i="3"/>
  <c r="AE49" i="2" l="1"/>
  <c r="AA49" i="2"/>
  <c r="Y49" i="2"/>
  <c r="X49" i="2"/>
  <c r="AC49" i="2"/>
  <c r="AD49" i="2"/>
  <c r="Z49" i="2"/>
  <c r="B44" i="2"/>
  <c r="B42" i="2"/>
  <c r="B38" i="2"/>
  <c r="B34" i="2"/>
  <c r="B30" i="2"/>
  <c r="B27" i="2"/>
  <c r="B50" i="2"/>
  <c r="B43" i="2"/>
  <c r="B41" i="2"/>
  <c r="B39" i="2"/>
  <c r="B37" i="2"/>
  <c r="B35" i="2"/>
  <c r="B33" i="2"/>
  <c r="B31" i="2"/>
  <c r="B29" i="2"/>
  <c r="B28" i="2"/>
  <c r="B26" i="2"/>
  <c r="B21" i="2"/>
  <c r="B23" i="2"/>
  <c r="B17" i="2"/>
  <c r="B15" i="2"/>
  <c r="B13" i="2"/>
  <c r="B11" i="2"/>
  <c r="B9" i="2"/>
  <c r="B19" i="2"/>
  <c r="B5" i="2"/>
  <c r="B3" i="2"/>
  <c r="B40" i="2"/>
  <c r="B36" i="2"/>
  <c r="B32" i="2"/>
  <c r="B22" i="2"/>
  <c r="B25" i="2"/>
  <c r="B24" i="2"/>
  <c r="B18" i="2"/>
  <c r="B16" i="2"/>
  <c r="B14" i="2"/>
  <c r="B12" i="2"/>
  <c r="B10" i="2"/>
  <c r="B8" i="2"/>
  <c r="B6" i="2"/>
  <c r="B4" i="2"/>
  <c r="B20" i="2"/>
  <c r="G5" i="3"/>
  <c r="D20" i="3"/>
  <c r="E20" i="3"/>
  <c r="G20" i="3"/>
  <c r="H20" i="3"/>
  <c r="I20" i="3"/>
  <c r="D3" i="3"/>
  <c r="E3" i="3"/>
  <c r="H3" i="3"/>
  <c r="I3" i="3"/>
  <c r="D4" i="3"/>
  <c r="E4" i="3"/>
  <c r="G4" i="3"/>
  <c r="H4" i="3"/>
  <c r="I4" i="3"/>
  <c r="D5" i="3"/>
  <c r="E5" i="3"/>
  <c r="H5" i="3"/>
  <c r="I5" i="3"/>
  <c r="D6" i="3"/>
  <c r="E6" i="3"/>
  <c r="G6" i="3"/>
  <c r="H6" i="3"/>
  <c r="I6" i="3"/>
  <c r="D19" i="3"/>
  <c r="E19" i="3"/>
  <c r="G19" i="3"/>
  <c r="H19" i="3"/>
  <c r="I19" i="3"/>
  <c r="D7" i="3"/>
  <c r="E7" i="3"/>
  <c r="G7" i="3"/>
  <c r="H7" i="3"/>
  <c r="I7" i="3"/>
  <c r="D8" i="3"/>
  <c r="E8" i="3"/>
  <c r="G8" i="3"/>
  <c r="H8" i="3"/>
  <c r="I8" i="3"/>
  <c r="D9" i="3"/>
  <c r="E9" i="3"/>
  <c r="G9" i="3"/>
  <c r="H9" i="3"/>
  <c r="I9" i="3"/>
  <c r="D10" i="3"/>
  <c r="E10" i="3"/>
  <c r="G10" i="3"/>
  <c r="H10" i="3"/>
  <c r="I10" i="3"/>
  <c r="D11" i="3"/>
  <c r="E11" i="3"/>
  <c r="G11" i="3"/>
  <c r="H11" i="3"/>
  <c r="I11" i="3"/>
  <c r="D12" i="3"/>
  <c r="E12" i="3"/>
  <c r="G12" i="3"/>
  <c r="H12" i="3"/>
  <c r="I12" i="3"/>
  <c r="D13" i="3"/>
  <c r="E13" i="3"/>
  <c r="G13" i="3"/>
  <c r="H13" i="3"/>
  <c r="I13" i="3"/>
  <c r="D14" i="3"/>
  <c r="E14" i="3"/>
  <c r="G14" i="3"/>
  <c r="H14" i="3"/>
  <c r="I14" i="3"/>
  <c r="D15" i="3"/>
  <c r="E15" i="3"/>
  <c r="G15" i="3"/>
  <c r="H15" i="3"/>
  <c r="I15" i="3"/>
  <c r="D16" i="3"/>
  <c r="E16" i="3"/>
  <c r="G16" i="3"/>
  <c r="H16" i="3"/>
  <c r="I16" i="3"/>
  <c r="D17" i="3"/>
  <c r="E17" i="3"/>
  <c r="G17" i="3"/>
  <c r="H17" i="3"/>
  <c r="I17" i="3"/>
  <c r="D18" i="3"/>
  <c r="E18" i="3"/>
  <c r="G18" i="3"/>
  <c r="H18" i="3"/>
  <c r="D23" i="3"/>
  <c r="E23" i="3"/>
  <c r="G23" i="3"/>
  <c r="H23" i="3"/>
  <c r="I23" i="3"/>
  <c r="D24" i="3"/>
  <c r="E24" i="3"/>
  <c r="G24" i="3"/>
  <c r="H24" i="3"/>
  <c r="I24" i="3"/>
  <c r="D21" i="3"/>
  <c r="E21" i="3"/>
  <c r="G21" i="3"/>
  <c r="H21" i="3"/>
  <c r="I21" i="3"/>
  <c r="D25" i="3"/>
  <c r="E25" i="3"/>
  <c r="G25" i="3"/>
  <c r="H25" i="3"/>
  <c r="I25" i="3"/>
  <c r="D26" i="3"/>
  <c r="E26" i="3"/>
  <c r="G26" i="3"/>
  <c r="H26" i="3"/>
  <c r="I26" i="3"/>
  <c r="D27" i="3"/>
  <c r="E27" i="3"/>
  <c r="G27" i="3"/>
  <c r="H27" i="3"/>
  <c r="I27" i="3"/>
  <c r="D28" i="3"/>
  <c r="E28" i="3"/>
  <c r="G28" i="3"/>
  <c r="H28" i="3"/>
  <c r="I28" i="3"/>
  <c r="D22" i="3"/>
  <c r="E22" i="3"/>
  <c r="G22" i="3"/>
  <c r="H22" i="3"/>
  <c r="I22" i="3"/>
  <c r="D29" i="3"/>
  <c r="E29" i="3"/>
  <c r="G29" i="3"/>
  <c r="H29" i="3"/>
  <c r="I29" i="3"/>
  <c r="D30" i="3"/>
  <c r="E30" i="3"/>
  <c r="G30" i="3"/>
  <c r="H30" i="3"/>
  <c r="I30" i="3"/>
  <c r="D31" i="3"/>
  <c r="E31" i="3"/>
  <c r="G31" i="3"/>
  <c r="H31" i="3"/>
  <c r="I31" i="3"/>
  <c r="D32" i="3"/>
  <c r="E32" i="3"/>
  <c r="G32" i="3"/>
  <c r="H32" i="3"/>
  <c r="I32" i="3"/>
  <c r="D33" i="3"/>
  <c r="E33" i="3"/>
  <c r="G33" i="3"/>
  <c r="H33" i="3"/>
  <c r="I33" i="3"/>
  <c r="D34" i="3"/>
  <c r="E34" i="3"/>
  <c r="G34" i="3"/>
  <c r="H34" i="3"/>
  <c r="I34" i="3"/>
  <c r="D35" i="3"/>
  <c r="E35" i="3"/>
  <c r="G35" i="3"/>
  <c r="H35" i="3"/>
  <c r="I35" i="3"/>
  <c r="D36" i="3"/>
  <c r="E36" i="3"/>
  <c r="G36" i="3"/>
  <c r="H36" i="3"/>
  <c r="D37" i="3"/>
  <c r="E37" i="3"/>
  <c r="G37" i="3"/>
  <c r="H37" i="3"/>
  <c r="I37" i="3"/>
  <c r="D38" i="3"/>
  <c r="E38" i="3"/>
  <c r="G38" i="3"/>
  <c r="H38" i="3"/>
  <c r="I38" i="3"/>
  <c r="D39" i="3"/>
  <c r="E39" i="3"/>
  <c r="G39" i="3"/>
  <c r="H39" i="3"/>
  <c r="I39" i="3"/>
  <c r="D40" i="3"/>
  <c r="E40" i="3"/>
  <c r="G40" i="3"/>
  <c r="H40" i="3"/>
  <c r="I40" i="3"/>
  <c r="D41" i="3"/>
  <c r="E41" i="3"/>
  <c r="G41" i="3"/>
  <c r="H41" i="3"/>
  <c r="I41" i="3"/>
  <c r="D42" i="3"/>
  <c r="E42" i="3"/>
  <c r="G42" i="3"/>
  <c r="H42" i="3"/>
  <c r="I42" i="3"/>
  <c r="D43" i="3"/>
  <c r="E43" i="3"/>
  <c r="G43" i="3"/>
  <c r="H43" i="3"/>
  <c r="I43" i="3"/>
  <c r="D44" i="3"/>
  <c r="E44" i="3"/>
  <c r="G44" i="3"/>
  <c r="H44" i="3"/>
  <c r="I44" i="3"/>
  <c r="D50" i="3"/>
  <c r="E50" i="3"/>
  <c r="G50" i="3"/>
  <c r="H50" i="3"/>
  <c r="I50" i="3"/>
  <c r="D45" i="3"/>
  <c r="E45" i="3"/>
  <c r="G45" i="3"/>
  <c r="H45" i="3"/>
  <c r="I45" i="3"/>
  <c r="G5" i="4"/>
  <c r="G6" i="4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8" i="4"/>
  <c r="G29" i="4"/>
  <c r="G132" i="4"/>
  <c r="J18" i="4" s="1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68" i="4"/>
  <c r="G69" i="4"/>
  <c r="G70" i="4"/>
  <c r="G71" i="4"/>
  <c r="G72" i="4"/>
  <c r="G73" i="4"/>
  <c r="G74" i="4"/>
  <c r="G75" i="4"/>
  <c r="G76" i="4"/>
  <c r="G77" i="4"/>
  <c r="J11" i="4" s="1"/>
  <c r="G78" i="4"/>
  <c r="G79" i="4"/>
  <c r="G80" i="4"/>
  <c r="G81" i="4"/>
  <c r="G82" i="4"/>
  <c r="G83" i="4"/>
  <c r="G84" i="4"/>
  <c r="G85" i="4"/>
  <c r="G86" i="4"/>
  <c r="G97" i="4"/>
  <c r="G98" i="4"/>
  <c r="G99" i="4"/>
  <c r="G100" i="4"/>
  <c r="G101" i="4"/>
  <c r="G102" i="4"/>
  <c r="G103" i="4"/>
  <c r="G104" i="4"/>
  <c r="G105" i="4"/>
  <c r="G106" i="4"/>
  <c r="G107" i="4"/>
  <c r="G108" i="4"/>
  <c r="G109" i="4"/>
  <c r="G110" i="4"/>
  <c r="G111" i="4"/>
  <c r="G112" i="4"/>
  <c r="G113" i="4"/>
  <c r="G114" i="4"/>
  <c r="G115" i="4"/>
  <c r="G116" i="4"/>
  <c r="G117" i="4"/>
  <c r="G118" i="4"/>
  <c r="G120" i="4"/>
  <c r="G121" i="4"/>
  <c r="G122" i="4"/>
  <c r="G123" i="4"/>
  <c r="G124" i="4"/>
  <c r="G125" i="4"/>
  <c r="G126" i="4"/>
  <c r="G127" i="4"/>
  <c r="G129" i="4"/>
  <c r="G130" i="4"/>
  <c r="G131" i="4"/>
  <c r="G133" i="4"/>
  <c r="J23" i="4"/>
  <c r="G135" i="4"/>
  <c r="G136" i="4"/>
  <c r="G137" i="4"/>
  <c r="G138" i="4"/>
  <c r="G139" i="4"/>
  <c r="G140" i="4"/>
  <c r="G141" i="4"/>
  <c r="G142" i="4"/>
  <c r="G143" i="4"/>
  <c r="G144" i="4"/>
  <c r="J28" i="4" s="1"/>
  <c r="G145" i="4"/>
  <c r="G146" i="4"/>
  <c r="G147" i="4"/>
  <c r="G148" i="4"/>
  <c r="G149" i="4"/>
  <c r="G151" i="4"/>
  <c r="G152" i="4"/>
  <c r="G153" i="4"/>
  <c r="G154" i="4"/>
  <c r="G155" i="4"/>
  <c r="G156" i="4"/>
  <c r="G157" i="4"/>
  <c r="G158" i="4"/>
  <c r="G159" i="4"/>
  <c r="G160" i="4"/>
  <c r="G161" i="4"/>
  <c r="G162" i="4"/>
  <c r="G163" i="4"/>
  <c r="G164" i="4"/>
  <c r="G165" i="4"/>
  <c r="G166" i="4"/>
  <c r="G167" i="4"/>
  <c r="G168" i="4"/>
  <c r="G169" i="4"/>
  <c r="G170" i="4"/>
  <c r="G171" i="4"/>
  <c r="G172" i="4"/>
  <c r="G173" i="4"/>
  <c r="G174" i="4"/>
  <c r="G175" i="4"/>
  <c r="G176" i="4"/>
  <c r="G177" i="4"/>
  <c r="G178" i="4"/>
  <c r="G179" i="4"/>
  <c r="G180" i="4"/>
  <c r="G181" i="4"/>
  <c r="G182" i="4"/>
  <c r="G183" i="4"/>
  <c r="G184" i="4"/>
  <c r="G185" i="4"/>
  <c r="G186" i="4"/>
  <c r="G187" i="4"/>
  <c r="G188" i="4"/>
  <c r="G189" i="4"/>
  <c r="G190" i="4"/>
  <c r="G191" i="4"/>
  <c r="G192" i="4"/>
  <c r="G193" i="4"/>
  <c r="G194" i="4"/>
  <c r="G195" i="4"/>
  <c r="G196" i="4"/>
  <c r="G197" i="4"/>
  <c r="G198" i="4"/>
  <c r="G199" i="4"/>
  <c r="G200" i="4"/>
  <c r="G201" i="4"/>
  <c r="G202" i="4"/>
  <c r="G203" i="4"/>
  <c r="G204" i="4"/>
  <c r="G205" i="4"/>
  <c r="G206" i="4"/>
  <c r="G207" i="4"/>
  <c r="G208" i="4"/>
  <c r="G209" i="4"/>
  <c r="G210" i="4"/>
  <c r="G211" i="4"/>
  <c r="G212" i="4"/>
  <c r="G213" i="4"/>
  <c r="G214" i="4"/>
  <c r="G215" i="4"/>
  <c r="G216" i="4"/>
  <c r="G217" i="4"/>
  <c r="G218" i="4"/>
  <c r="G219" i="4"/>
  <c r="G220" i="4"/>
  <c r="G221" i="4"/>
  <c r="G222" i="4"/>
  <c r="G223" i="4"/>
  <c r="G224" i="4"/>
  <c r="G225" i="4"/>
  <c r="G226" i="4"/>
  <c r="G227" i="4"/>
  <c r="G228" i="4"/>
  <c r="G229" i="4"/>
  <c r="G230" i="4"/>
  <c r="G231" i="4"/>
  <c r="G232" i="4"/>
  <c r="G233" i="4"/>
  <c r="G234" i="4"/>
  <c r="G235" i="4"/>
  <c r="G236" i="4"/>
  <c r="G237" i="4"/>
  <c r="G238" i="4"/>
  <c r="G239" i="4"/>
  <c r="G240" i="4"/>
  <c r="G241" i="4"/>
  <c r="G242" i="4"/>
  <c r="G243" i="4"/>
  <c r="G244" i="4"/>
  <c r="G245" i="4"/>
  <c r="G246" i="4"/>
  <c r="G247" i="4"/>
  <c r="G248" i="4"/>
  <c r="G249" i="4"/>
  <c r="G250" i="4"/>
  <c r="G251" i="4"/>
  <c r="G252" i="4"/>
  <c r="G253" i="4"/>
  <c r="G254" i="4"/>
  <c r="G255" i="4"/>
  <c r="G256" i="4"/>
  <c r="G257" i="4"/>
  <c r="G258" i="4"/>
  <c r="G259" i="4"/>
  <c r="G260" i="4"/>
  <c r="G261" i="4"/>
  <c r="G262" i="4"/>
  <c r="G263" i="4"/>
  <c r="G264" i="4"/>
  <c r="G265" i="4"/>
  <c r="G266" i="4"/>
  <c r="G267" i="4"/>
  <c r="G268" i="4"/>
  <c r="G269" i="4"/>
  <c r="G270" i="4"/>
  <c r="G271" i="4"/>
  <c r="G272" i="4"/>
  <c r="G273" i="4"/>
  <c r="G274" i="4"/>
  <c r="G275" i="4"/>
  <c r="G277" i="4"/>
  <c r="G278" i="4"/>
  <c r="G279" i="4"/>
  <c r="G280" i="4"/>
  <c r="G281" i="4"/>
  <c r="G282" i="4"/>
  <c r="G283" i="4"/>
  <c r="G284" i="4"/>
  <c r="G285" i="4"/>
  <c r="G286" i="4"/>
  <c r="G287" i="4"/>
  <c r="G288" i="4"/>
  <c r="G289" i="4"/>
  <c r="G290" i="4"/>
  <c r="G291" i="4"/>
  <c r="G292" i="4"/>
  <c r="G293" i="4"/>
  <c r="G294" i="4"/>
  <c r="G295" i="4"/>
  <c r="G296" i="4"/>
  <c r="G297" i="4"/>
  <c r="G298" i="4"/>
  <c r="J42" i="4" s="1"/>
  <c r="J43" i="4"/>
  <c r="G327" i="4"/>
  <c r="G328" i="4"/>
  <c r="G329" i="4"/>
  <c r="G330" i="4"/>
  <c r="G331" i="4"/>
  <c r="G332" i="4"/>
  <c r="G333" i="4"/>
  <c r="G334" i="4"/>
  <c r="G335" i="4"/>
  <c r="G336" i="4"/>
  <c r="J50" i="3"/>
  <c r="K50" i="2" s="1"/>
  <c r="J5" i="4" l="1"/>
  <c r="K5" i="4" s="1"/>
  <c r="J46" i="4"/>
  <c r="K46" i="4" s="1"/>
  <c r="F48" i="3" s="1"/>
  <c r="H45" i="2"/>
  <c r="E45" i="2"/>
  <c r="C45" i="2"/>
  <c r="H50" i="2"/>
  <c r="E50" i="2"/>
  <c r="C50" i="2"/>
  <c r="H44" i="2"/>
  <c r="E44" i="2"/>
  <c r="C44" i="2"/>
  <c r="H43" i="2"/>
  <c r="E43" i="2"/>
  <c r="C43" i="2"/>
  <c r="H42" i="2"/>
  <c r="E42" i="2"/>
  <c r="C42" i="2"/>
  <c r="H41" i="2"/>
  <c r="E41" i="2"/>
  <c r="C41" i="2"/>
  <c r="H40" i="2"/>
  <c r="E40" i="2"/>
  <c r="C40" i="2"/>
  <c r="H39" i="2"/>
  <c r="E39" i="2"/>
  <c r="C39" i="2"/>
  <c r="H38" i="2"/>
  <c r="E38" i="2"/>
  <c r="C38" i="2"/>
  <c r="H37" i="2"/>
  <c r="E37" i="2"/>
  <c r="C37" i="2"/>
  <c r="G36" i="2"/>
  <c r="D36" i="2"/>
  <c r="I35" i="2"/>
  <c r="G35" i="2"/>
  <c r="D35" i="2"/>
  <c r="I34" i="2"/>
  <c r="G34" i="2"/>
  <c r="D34" i="2"/>
  <c r="I33" i="2"/>
  <c r="G33" i="2"/>
  <c r="D33" i="2"/>
  <c r="I32" i="2"/>
  <c r="G32" i="2"/>
  <c r="D32" i="2"/>
  <c r="I31" i="2"/>
  <c r="G31" i="2"/>
  <c r="D31" i="2"/>
  <c r="I30" i="2"/>
  <c r="G30" i="2"/>
  <c r="D30" i="2"/>
  <c r="I29" i="2"/>
  <c r="G29" i="2"/>
  <c r="D29" i="2"/>
  <c r="I22" i="2"/>
  <c r="G22" i="2"/>
  <c r="D22" i="2"/>
  <c r="H28" i="2"/>
  <c r="E28" i="2"/>
  <c r="C28" i="2"/>
  <c r="H27" i="2"/>
  <c r="E27" i="2"/>
  <c r="C27" i="2"/>
  <c r="H26" i="2"/>
  <c r="E26" i="2"/>
  <c r="C26" i="2"/>
  <c r="H25" i="2"/>
  <c r="E25" i="2"/>
  <c r="C25" i="2"/>
  <c r="H21" i="2"/>
  <c r="E21" i="2"/>
  <c r="C21" i="2"/>
  <c r="H24" i="2"/>
  <c r="E24" i="2"/>
  <c r="C24" i="2"/>
  <c r="H23" i="2"/>
  <c r="E23" i="2"/>
  <c r="C23" i="2"/>
  <c r="G18" i="2"/>
  <c r="D18" i="2"/>
  <c r="I17" i="2"/>
  <c r="G17" i="2"/>
  <c r="D17" i="2"/>
  <c r="I16" i="2"/>
  <c r="G16" i="2"/>
  <c r="D16" i="2"/>
  <c r="I15" i="2"/>
  <c r="G15" i="2"/>
  <c r="D15" i="2"/>
  <c r="I14" i="2"/>
  <c r="G14" i="2"/>
  <c r="D14" i="2"/>
  <c r="I13" i="2"/>
  <c r="G13" i="2"/>
  <c r="D13" i="2"/>
  <c r="H12" i="2"/>
  <c r="E12" i="2"/>
  <c r="C12" i="2"/>
  <c r="H11" i="2"/>
  <c r="E11" i="2"/>
  <c r="C11" i="2"/>
  <c r="H10" i="2"/>
  <c r="E10" i="2"/>
  <c r="C10" i="2"/>
  <c r="H9" i="2"/>
  <c r="E9" i="2"/>
  <c r="C9" i="2"/>
  <c r="H8" i="2"/>
  <c r="E8" i="2"/>
  <c r="C8" i="2"/>
  <c r="H7" i="2"/>
  <c r="E7" i="2"/>
  <c r="C7" i="2"/>
  <c r="H19" i="2"/>
  <c r="E19" i="2"/>
  <c r="I6" i="2"/>
  <c r="G6" i="2"/>
  <c r="D6" i="2"/>
  <c r="I5" i="2"/>
  <c r="E5" i="2"/>
  <c r="C5" i="2"/>
  <c r="H4" i="2"/>
  <c r="E4" i="2"/>
  <c r="C4" i="2"/>
  <c r="H3" i="2"/>
  <c r="E3" i="2"/>
  <c r="C3" i="2"/>
  <c r="H20" i="2"/>
  <c r="E20" i="2"/>
  <c r="C20" i="2"/>
  <c r="I45" i="2"/>
  <c r="G45" i="2"/>
  <c r="D45" i="2"/>
  <c r="I50" i="2"/>
  <c r="G50" i="2"/>
  <c r="AC50" i="2" s="1"/>
  <c r="D50" i="2"/>
  <c r="I44" i="2"/>
  <c r="G44" i="2"/>
  <c r="D44" i="2"/>
  <c r="I43" i="2"/>
  <c r="G43" i="2"/>
  <c r="D43" i="2"/>
  <c r="I42" i="2"/>
  <c r="G42" i="2"/>
  <c r="D42" i="2"/>
  <c r="I41" i="2"/>
  <c r="G41" i="2"/>
  <c r="D41" i="2"/>
  <c r="I40" i="2"/>
  <c r="G40" i="2"/>
  <c r="D40" i="2"/>
  <c r="I39" i="2"/>
  <c r="G39" i="2"/>
  <c r="D39" i="2"/>
  <c r="I38" i="2"/>
  <c r="G38" i="2"/>
  <c r="D38" i="2"/>
  <c r="I37" i="2"/>
  <c r="G37" i="2"/>
  <c r="D37" i="2"/>
  <c r="H36" i="2"/>
  <c r="E36" i="2"/>
  <c r="C36" i="2"/>
  <c r="H35" i="2"/>
  <c r="E35" i="2"/>
  <c r="C35" i="2"/>
  <c r="H34" i="2"/>
  <c r="E34" i="2"/>
  <c r="C34" i="2"/>
  <c r="H33" i="2"/>
  <c r="E33" i="2"/>
  <c r="C33" i="2"/>
  <c r="H32" i="2"/>
  <c r="E32" i="2"/>
  <c r="C32" i="2"/>
  <c r="H31" i="2"/>
  <c r="E31" i="2"/>
  <c r="C31" i="2"/>
  <c r="H30" i="2"/>
  <c r="E30" i="2"/>
  <c r="C30" i="2"/>
  <c r="H29" i="2"/>
  <c r="E29" i="2"/>
  <c r="C29" i="2"/>
  <c r="H22" i="2"/>
  <c r="E22" i="2"/>
  <c r="I28" i="2"/>
  <c r="G28" i="2"/>
  <c r="D28" i="2"/>
  <c r="I27" i="2"/>
  <c r="G27" i="2"/>
  <c r="D27" i="2"/>
  <c r="I26" i="2"/>
  <c r="G26" i="2"/>
  <c r="D26" i="2"/>
  <c r="I25" i="2"/>
  <c r="G25" i="2"/>
  <c r="D25" i="2"/>
  <c r="I21" i="2"/>
  <c r="G21" i="2"/>
  <c r="D21" i="2"/>
  <c r="I24" i="2"/>
  <c r="G24" i="2"/>
  <c r="D24" i="2"/>
  <c r="I23" i="2"/>
  <c r="G23" i="2"/>
  <c r="D23" i="2"/>
  <c r="H18" i="2"/>
  <c r="E18" i="2"/>
  <c r="C18" i="2"/>
  <c r="H17" i="2"/>
  <c r="E17" i="2"/>
  <c r="C17" i="2"/>
  <c r="H16" i="2"/>
  <c r="E16" i="2"/>
  <c r="C16" i="2"/>
  <c r="H15" i="2"/>
  <c r="E15" i="2"/>
  <c r="C15" i="2"/>
  <c r="H14" i="2"/>
  <c r="E14" i="2"/>
  <c r="C14" i="2"/>
  <c r="H13" i="2"/>
  <c r="E13" i="2"/>
  <c r="I12" i="2"/>
  <c r="G12" i="2"/>
  <c r="D12" i="2"/>
  <c r="I11" i="2"/>
  <c r="G11" i="2"/>
  <c r="D11" i="2"/>
  <c r="I10" i="2"/>
  <c r="G10" i="2"/>
  <c r="D10" i="2"/>
  <c r="I9" i="2"/>
  <c r="G9" i="2"/>
  <c r="D9" i="2"/>
  <c r="I8" i="2"/>
  <c r="G8" i="2"/>
  <c r="D8" i="2"/>
  <c r="I7" i="2"/>
  <c r="G7" i="2"/>
  <c r="D7" i="2"/>
  <c r="I19" i="2"/>
  <c r="G19" i="2"/>
  <c r="D19" i="2"/>
  <c r="H6" i="2"/>
  <c r="E6" i="2"/>
  <c r="C6" i="2"/>
  <c r="H5" i="2"/>
  <c r="D5" i="2"/>
  <c r="I4" i="2"/>
  <c r="G4" i="2"/>
  <c r="D4" i="2"/>
  <c r="I3" i="2"/>
  <c r="G3" i="2"/>
  <c r="D3" i="2"/>
  <c r="I20" i="2"/>
  <c r="G20" i="2"/>
  <c r="D20" i="2"/>
  <c r="G5" i="2"/>
  <c r="J45" i="4"/>
  <c r="K45" i="4" s="1"/>
  <c r="J44" i="4"/>
  <c r="K44" i="4" s="1"/>
  <c r="J41" i="4"/>
  <c r="K41" i="4" s="1"/>
  <c r="J39" i="4"/>
  <c r="J35" i="4"/>
  <c r="K35" i="4" s="1"/>
  <c r="J33" i="4"/>
  <c r="K33" i="4" s="1"/>
  <c r="J31" i="4"/>
  <c r="K31" i="4" s="1"/>
  <c r="J29" i="4"/>
  <c r="K29" i="4" s="1"/>
  <c r="J26" i="4"/>
  <c r="K26" i="4" s="1"/>
  <c r="J24" i="4"/>
  <c r="K24" i="4" s="1"/>
  <c r="J22" i="4"/>
  <c r="K22" i="4" s="1"/>
  <c r="F23" i="3" s="1"/>
  <c r="J12" i="4"/>
  <c r="K12" i="4" s="1"/>
  <c r="J10" i="4"/>
  <c r="K10" i="4" s="1"/>
  <c r="J7" i="4"/>
  <c r="K7" i="4" s="1"/>
  <c r="J6" i="4"/>
  <c r="K6" i="4" s="1"/>
  <c r="J40" i="4"/>
  <c r="K40" i="4" s="1"/>
  <c r="J38" i="4"/>
  <c r="K38" i="4" s="1"/>
  <c r="J37" i="4"/>
  <c r="K37" i="4" s="1"/>
  <c r="J36" i="4"/>
  <c r="K36" i="4" s="1"/>
  <c r="J34" i="4"/>
  <c r="K34" i="4" s="1"/>
  <c r="J30" i="4"/>
  <c r="K30" i="4" s="1"/>
  <c r="J17" i="4"/>
  <c r="K17" i="4" s="1"/>
  <c r="J16" i="4"/>
  <c r="K16" i="4" s="1"/>
  <c r="J15" i="4"/>
  <c r="K15" i="4" s="1"/>
  <c r="J9" i="4"/>
  <c r="K9" i="4" s="1"/>
  <c r="J4" i="4"/>
  <c r="K4" i="4" s="1"/>
  <c r="J3" i="4"/>
  <c r="K3" i="4" s="1"/>
  <c r="K39" i="4"/>
  <c r="K14" i="4"/>
  <c r="K23" i="4"/>
  <c r="K19" i="4"/>
  <c r="K43" i="4"/>
  <c r="K42" i="4"/>
  <c r="K8" i="4"/>
  <c r="K18" i="4"/>
  <c r="K32" i="4"/>
  <c r="K28" i="4"/>
  <c r="K21" i="4"/>
  <c r="K27" i="4"/>
  <c r="K25" i="4"/>
  <c r="K20" i="4"/>
  <c r="K13" i="4"/>
  <c r="K11" i="4"/>
  <c r="Y50" i="2" l="1"/>
  <c r="AE50" i="2"/>
  <c r="AA50" i="2"/>
  <c r="AD50" i="2"/>
  <c r="AB50" i="2"/>
  <c r="X50" i="2"/>
  <c r="Z50" i="2"/>
  <c r="AD23" i="2"/>
  <c r="X31" i="2"/>
  <c r="F31" i="3"/>
  <c r="F31" i="2" s="1"/>
  <c r="F30" i="3"/>
  <c r="F29" i="3"/>
  <c r="F23" i="2"/>
  <c r="AB23" i="2" s="1"/>
  <c r="F48" i="2"/>
  <c r="F20" i="3"/>
  <c r="F10" i="3"/>
  <c r="L49" i="2"/>
  <c r="F13" i="3"/>
  <c r="F24" i="3"/>
  <c r="F19" i="3"/>
  <c r="F5" i="3"/>
  <c r="F40" i="3"/>
  <c r="L50" i="2"/>
  <c r="F32" i="3"/>
  <c r="F16" i="3"/>
  <c r="F17" i="3"/>
  <c r="F26" i="3"/>
  <c r="F14" i="3"/>
  <c r="F15" i="3"/>
  <c r="F25" i="3"/>
  <c r="F27" i="3"/>
  <c r="F22" i="3"/>
  <c r="F33" i="3"/>
  <c r="F34" i="3"/>
  <c r="F4" i="3"/>
  <c r="F6" i="3"/>
  <c r="F8" i="3"/>
  <c r="F37" i="3"/>
  <c r="F39" i="3"/>
  <c r="F42" i="3"/>
  <c r="F9" i="3"/>
  <c r="F18" i="3"/>
  <c r="F36" i="3"/>
  <c r="F12" i="3"/>
  <c r="F38" i="3"/>
  <c r="F46" i="3"/>
  <c r="F21" i="3"/>
  <c r="F7" i="3"/>
  <c r="F35" i="3"/>
  <c r="F41" i="3"/>
  <c r="F43" i="3"/>
  <c r="F44" i="3"/>
  <c r="F28" i="3"/>
  <c r="F45" i="3"/>
  <c r="F47" i="3"/>
  <c r="F11" i="3"/>
  <c r="L48" i="2" l="1"/>
  <c r="AB48" i="2"/>
  <c r="AC48" i="2"/>
  <c r="Y48" i="2"/>
  <c r="AA48" i="2"/>
  <c r="AE48" i="2"/>
  <c r="Z48" i="2"/>
  <c r="X48" i="2"/>
  <c r="AD48" i="2"/>
  <c r="AB31" i="2"/>
  <c r="AE31" i="2"/>
  <c r="AA31" i="2"/>
  <c r="Y31" i="2"/>
  <c r="AC31" i="2"/>
  <c r="AD31" i="2"/>
  <c r="Z31" i="2"/>
  <c r="AC23" i="2"/>
  <c r="X23" i="2"/>
  <c r="AE23" i="2"/>
  <c r="AA23" i="2"/>
  <c r="Z23" i="2"/>
  <c r="Y23" i="2"/>
  <c r="AG50" i="2"/>
  <c r="AI50" i="2"/>
  <c r="F29" i="2"/>
  <c r="F30" i="2"/>
  <c r="L31" i="2"/>
  <c r="F43" i="2"/>
  <c r="F35" i="2"/>
  <c r="F21" i="2"/>
  <c r="F38" i="2"/>
  <c r="F36" i="2"/>
  <c r="F9" i="2"/>
  <c r="F39" i="2"/>
  <c r="F8" i="2"/>
  <c r="F4" i="2"/>
  <c r="F34" i="2"/>
  <c r="F22" i="2"/>
  <c r="F25" i="2"/>
  <c r="F14" i="2"/>
  <c r="F17" i="2"/>
  <c r="F32" i="2"/>
  <c r="F40" i="2"/>
  <c r="F19" i="2"/>
  <c r="F13" i="2"/>
  <c r="F10" i="2"/>
  <c r="F47" i="2"/>
  <c r="F28" i="2"/>
  <c r="F11" i="2"/>
  <c r="F45" i="2"/>
  <c r="F44" i="2"/>
  <c r="F41" i="2"/>
  <c r="F7" i="2"/>
  <c r="F46" i="2"/>
  <c r="F12" i="2"/>
  <c r="F18" i="2"/>
  <c r="F42" i="2"/>
  <c r="F37" i="2"/>
  <c r="F6" i="2"/>
  <c r="F3" i="2"/>
  <c r="F33" i="2"/>
  <c r="F27" i="2"/>
  <c r="F15" i="2"/>
  <c r="F26" i="2"/>
  <c r="F16" i="2"/>
  <c r="F5" i="2"/>
  <c r="F24" i="2"/>
  <c r="F20" i="2"/>
  <c r="N49" i="2"/>
  <c r="O50" i="2"/>
  <c r="R50" i="2" s="1"/>
  <c r="O48" i="2"/>
  <c r="R48" i="2" s="1"/>
  <c r="O49" i="2"/>
  <c r="R49" i="2" s="1"/>
  <c r="M49" i="2"/>
  <c r="M50" i="2"/>
  <c r="M48" i="2"/>
  <c r="N48" i="2"/>
  <c r="N50" i="2"/>
  <c r="AR50" i="2"/>
  <c r="AS50" i="2" s="1"/>
  <c r="AT50" i="2" s="1"/>
  <c r="AB20" i="2" l="1"/>
  <c r="AE20" i="2"/>
  <c r="AC20" i="2"/>
  <c r="Z20" i="2"/>
  <c r="X20" i="2"/>
  <c r="AA20" i="2"/>
  <c r="AD20" i="2"/>
  <c r="Y20" i="2"/>
  <c r="AB26" i="2"/>
  <c r="AC26" i="2"/>
  <c r="X26" i="2"/>
  <c r="Z26" i="2"/>
  <c r="AE26" i="2"/>
  <c r="AD26" i="2"/>
  <c r="Y26" i="2"/>
  <c r="AA26" i="2"/>
  <c r="AB3" i="2"/>
  <c r="AA3" i="2"/>
  <c r="Y3" i="2"/>
  <c r="AE3" i="2"/>
  <c r="X3" i="2"/>
  <c r="AC3" i="2"/>
  <c r="Z3" i="2"/>
  <c r="AD3" i="2"/>
  <c r="AB18" i="2"/>
  <c r="AC18" i="2"/>
  <c r="Y18" i="2"/>
  <c r="AE18" i="2"/>
  <c r="X18" i="2"/>
  <c r="AD18" i="2"/>
  <c r="Z18" i="2"/>
  <c r="AA18" i="2"/>
  <c r="AB41" i="2"/>
  <c r="AC41" i="2"/>
  <c r="Z41" i="2"/>
  <c r="Y41" i="2"/>
  <c r="AE41" i="2"/>
  <c r="AD41" i="2"/>
  <c r="X41" i="2"/>
  <c r="AA41" i="2"/>
  <c r="AB28" i="2"/>
  <c r="AD28" i="2"/>
  <c r="X28" i="2"/>
  <c r="AE28" i="2"/>
  <c r="AA28" i="2"/>
  <c r="AC28" i="2"/>
  <c r="Z28" i="2"/>
  <c r="Y28" i="2"/>
  <c r="AB19" i="2"/>
  <c r="Y19" i="2"/>
  <c r="X19" i="2"/>
  <c r="AC19" i="2"/>
  <c r="AA19" i="2"/>
  <c r="Z19" i="2"/>
  <c r="AD19" i="2"/>
  <c r="AE19" i="2"/>
  <c r="AB14" i="2"/>
  <c r="AE14" i="2"/>
  <c r="AC14" i="2"/>
  <c r="Y14" i="2"/>
  <c r="AA14" i="2"/>
  <c r="AD14" i="2"/>
  <c r="Z14" i="2"/>
  <c r="X14" i="2"/>
  <c r="AB4" i="2"/>
  <c r="AD4" i="2"/>
  <c r="Z4" i="2"/>
  <c r="X4" i="2"/>
  <c r="AE4" i="2"/>
  <c r="AA4" i="2"/>
  <c r="AC4" i="2"/>
  <c r="Y4" i="2"/>
  <c r="AB36" i="2"/>
  <c r="Y36" i="2"/>
  <c r="AD36" i="2"/>
  <c r="AE36" i="2"/>
  <c r="AC36" i="2"/>
  <c r="AA36" i="2"/>
  <c r="X36" i="2"/>
  <c r="Z36" i="2"/>
  <c r="L43" i="2"/>
  <c r="AB43" i="2"/>
  <c r="Z43" i="2"/>
  <c r="Y43" i="2"/>
  <c r="X43" i="2"/>
  <c r="AC43" i="2"/>
  <c r="AE43" i="2"/>
  <c r="AA43" i="2"/>
  <c r="AD43" i="2"/>
  <c r="AB24" i="2"/>
  <c r="AC24" i="2"/>
  <c r="AA24" i="2"/>
  <c r="AD24" i="2"/>
  <c r="X24" i="2"/>
  <c r="Y24" i="2"/>
  <c r="Z24" i="2"/>
  <c r="AE24" i="2"/>
  <c r="AB15" i="2"/>
  <c r="AC15" i="2"/>
  <c r="X15" i="2"/>
  <c r="Z15" i="2"/>
  <c r="AA15" i="2"/>
  <c r="AD15" i="2"/>
  <c r="Y15" i="2"/>
  <c r="AE15" i="2"/>
  <c r="AB6" i="2"/>
  <c r="Y6" i="2"/>
  <c r="AC6" i="2"/>
  <c r="AE6" i="2"/>
  <c r="Z6" i="2"/>
  <c r="AA6" i="2"/>
  <c r="AD6" i="2"/>
  <c r="X6" i="2"/>
  <c r="AB12" i="2"/>
  <c r="X12" i="2"/>
  <c r="AC12" i="2"/>
  <c r="Z12" i="2"/>
  <c r="AE12" i="2"/>
  <c r="AD12" i="2"/>
  <c r="Y12" i="2"/>
  <c r="AA12" i="2"/>
  <c r="AB44" i="2"/>
  <c r="X44" i="2"/>
  <c r="AE44" i="2"/>
  <c r="AD44" i="2"/>
  <c r="AC44" i="2"/>
  <c r="Y44" i="2"/>
  <c r="AA44" i="2"/>
  <c r="Z44" i="2"/>
  <c r="AB47" i="2"/>
  <c r="AD47" i="2"/>
  <c r="AE47" i="2"/>
  <c r="AC47" i="2"/>
  <c r="X47" i="2"/>
  <c r="Y47" i="2"/>
  <c r="Z47" i="2"/>
  <c r="AA47" i="2"/>
  <c r="AB40" i="2"/>
  <c r="Z40" i="2"/>
  <c r="AE40" i="2"/>
  <c r="X40" i="2"/>
  <c r="AD40" i="2"/>
  <c r="AC40" i="2"/>
  <c r="Y40" i="2"/>
  <c r="AA40" i="2"/>
  <c r="AB25" i="2"/>
  <c r="AC25" i="2"/>
  <c r="Z25" i="2"/>
  <c r="AE25" i="2"/>
  <c r="AA25" i="2"/>
  <c r="AD25" i="2"/>
  <c r="Y25" i="2"/>
  <c r="X25" i="2"/>
  <c r="L8" i="2"/>
  <c r="N8" i="2" s="1"/>
  <c r="AB8" i="2"/>
  <c r="Y8" i="2"/>
  <c r="AA8" i="2"/>
  <c r="X8" i="2"/>
  <c r="Z8" i="2"/>
  <c r="AC8" i="2"/>
  <c r="AD8" i="2"/>
  <c r="AE8" i="2"/>
  <c r="AB38" i="2"/>
  <c r="AD38" i="2"/>
  <c r="AA38" i="2"/>
  <c r="AE38" i="2"/>
  <c r="AC38" i="2"/>
  <c r="Y38" i="2"/>
  <c r="X38" i="2"/>
  <c r="Z38" i="2"/>
  <c r="L5" i="2"/>
  <c r="N5" i="2" s="1"/>
  <c r="AB5" i="2"/>
  <c r="Z5" i="2"/>
  <c r="Y5" i="2"/>
  <c r="AA5" i="2"/>
  <c r="X5" i="2"/>
  <c r="AE5" i="2"/>
  <c r="AC5" i="2"/>
  <c r="AD5" i="2"/>
  <c r="L27" i="2"/>
  <c r="N27" i="2" s="1"/>
  <c r="AB27" i="2"/>
  <c r="AA27" i="2"/>
  <c r="AD27" i="2"/>
  <c r="Y27" i="2"/>
  <c r="AE27" i="2"/>
  <c r="X27" i="2"/>
  <c r="AC27" i="2"/>
  <c r="Z27" i="2"/>
  <c r="AB37" i="2"/>
  <c r="AE37" i="2"/>
  <c r="AA37" i="2"/>
  <c r="AD37" i="2"/>
  <c r="Y37" i="2"/>
  <c r="AC37" i="2"/>
  <c r="X37" i="2"/>
  <c r="Z37" i="2"/>
  <c r="AB46" i="2"/>
  <c r="AD46" i="2"/>
  <c r="AA46" i="2"/>
  <c r="Y46" i="2"/>
  <c r="Z46" i="2"/>
  <c r="AE46" i="2"/>
  <c r="AC46" i="2"/>
  <c r="X46" i="2"/>
  <c r="AB45" i="2"/>
  <c r="AE45" i="2"/>
  <c r="Z45" i="2"/>
  <c r="AC45" i="2"/>
  <c r="Y45" i="2"/>
  <c r="X45" i="2"/>
  <c r="AD45" i="2"/>
  <c r="AA45" i="2"/>
  <c r="AB10" i="2"/>
  <c r="AA10" i="2"/>
  <c r="Z10" i="2"/>
  <c r="AC10" i="2"/>
  <c r="Y10" i="2"/>
  <c r="X10" i="2"/>
  <c r="AD10" i="2"/>
  <c r="AE10" i="2"/>
  <c r="L32" i="2"/>
  <c r="AB32" i="2"/>
  <c r="AE32" i="2"/>
  <c r="Z32" i="2"/>
  <c r="X32" i="2"/>
  <c r="AA32" i="2"/>
  <c r="AD32" i="2"/>
  <c r="AC32" i="2"/>
  <c r="Y32" i="2"/>
  <c r="L22" i="2"/>
  <c r="AB22" i="2"/>
  <c r="Y22" i="2"/>
  <c r="AD22" i="2"/>
  <c r="AC22" i="2"/>
  <c r="AA22" i="2"/>
  <c r="Z22" i="2"/>
  <c r="AE22" i="2"/>
  <c r="X22" i="2"/>
  <c r="AB39" i="2"/>
  <c r="X39" i="2"/>
  <c r="AE39" i="2"/>
  <c r="AA39" i="2"/>
  <c r="Z39" i="2"/>
  <c r="Y39" i="2"/>
  <c r="AD39" i="2"/>
  <c r="AC39" i="2"/>
  <c r="AB21" i="2"/>
  <c r="AC21" i="2"/>
  <c r="Y21" i="2"/>
  <c r="AA21" i="2"/>
  <c r="AE21" i="2"/>
  <c r="Z21" i="2"/>
  <c r="AD21" i="2"/>
  <c r="X21" i="2"/>
  <c r="AB30" i="2"/>
  <c r="Y30" i="2"/>
  <c r="AA30" i="2"/>
  <c r="X30" i="2"/>
  <c r="Z30" i="2"/>
  <c r="AD30" i="2"/>
  <c r="AC30" i="2"/>
  <c r="AE30" i="2"/>
  <c r="AB16" i="2"/>
  <c r="X16" i="2"/>
  <c r="Y16" i="2"/>
  <c r="AA16" i="2"/>
  <c r="AE16" i="2"/>
  <c r="Z16" i="2"/>
  <c r="AC16" i="2"/>
  <c r="AD16" i="2"/>
  <c r="AB33" i="2"/>
  <c r="AA33" i="2"/>
  <c r="AE33" i="2"/>
  <c r="Z33" i="2"/>
  <c r="AC33" i="2"/>
  <c r="X33" i="2"/>
  <c r="AD33" i="2"/>
  <c r="Y33" i="2"/>
  <c r="AB42" i="2"/>
  <c r="AD42" i="2"/>
  <c r="AA42" i="2"/>
  <c r="X42" i="2"/>
  <c r="Z42" i="2"/>
  <c r="AC42" i="2"/>
  <c r="Y42" i="2"/>
  <c r="AE42" i="2"/>
  <c r="L7" i="2"/>
  <c r="N7" i="2" s="1"/>
  <c r="AB7" i="2"/>
  <c r="AC7" i="2"/>
  <c r="Z7" i="2"/>
  <c r="AD7" i="2"/>
  <c r="Y7" i="2"/>
  <c r="AE7" i="2"/>
  <c r="AA7" i="2"/>
  <c r="X7" i="2"/>
  <c r="AB11" i="2"/>
  <c r="X11" i="2"/>
  <c r="AD11" i="2"/>
  <c r="AC11" i="2"/>
  <c r="AE11" i="2"/>
  <c r="AA11" i="2"/>
  <c r="Z11" i="2"/>
  <c r="Y11" i="2"/>
  <c r="AB13" i="2"/>
  <c r="AD13" i="2"/>
  <c r="AC13" i="2"/>
  <c r="AE13" i="2"/>
  <c r="X13" i="2"/>
  <c r="Z13" i="2"/>
  <c r="AA13" i="2"/>
  <c r="Y13" i="2"/>
  <c r="AB17" i="2"/>
  <c r="Z17" i="2"/>
  <c r="AA17" i="2"/>
  <c r="X17" i="2"/>
  <c r="AD17" i="2"/>
  <c r="Y17" i="2"/>
  <c r="AC17" i="2"/>
  <c r="AE17" i="2"/>
  <c r="AB34" i="2"/>
  <c r="X34" i="2"/>
  <c r="AA34" i="2"/>
  <c r="AC34" i="2"/>
  <c r="AE34" i="2"/>
  <c r="AD34" i="2"/>
  <c r="Y34" i="2"/>
  <c r="Z34" i="2"/>
  <c r="AB9" i="2"/>
  <c r="X9" i="2"/>
  <c r="AC9" i="2"/>
  <c r="AA9" i="2"/>
  <c r="AD9" i="2"/>
  <c r="AE9" i="2"/>
  <c r="Y9" i="2"/>
  <c r="Z9" i="2"/>
  <c r="AB35" i="2"/>
  <c r="AD35" i="2"/>
  <c r="Z35" i="2"/>
  <c r="AC35" i="2"/>
  <c r="Y35" i="2"/>
  <c r="AA35" i="2"/>
  <c r="X35" i="2"/>
  <c r="AE35" i="2"/>
  <c r="AB29" i="2"/>
  <c r="Y29" i="2"/>
  <c r="X29" i="2"/>
  <c r="AD29" i="2"/>
  <c r="AE29" i="2"/>
  <c r="AA29" i="2"/>
  <c r="Z29" i="2"/>
  <c r="AC29" i="2"/>
  <c r="L4" i="2"/>
  <c r="M4" i="2" s="1"/>
  <c r="O31" i="2"/>
  <c r="L29" i="2"/>
  <c r="M29" i="2" s="1"/>
  <c r="L30" i="2"/>
  <c r="N29" i="2"/>
  <c r="N31" i="2"/>
  <c r="AR31" i="2"/>
  <c r="M31" i="2"/>
  <c r="AG31" i="2"/>
  <c r="L12" i="2"/>
  <c r="L20" i="2"/>
  <c r="L3" i="2"/>
  <c r="P49" i="2"/>
  <c r="S49" i="2" s="1"/>
  <c r="P48" i="2"/>
  <c r="S48" i="2" s="1"/>
  <c r="P50" i="2"/>
  <c r="S50" i="2" s="1"/>
  <c r="L26" i="2"/>
  <c r="L38" i="2"/>
  <c r="L45" i="2"/>
  <c r="L13" i="2"/>
  <c r="L28" i="2"/>
  <c r="L10" i="2"/>
  <c r="L9" i="2"/>
  <c r="L23" i="2"/>
  <c r="L33" i="2"/>
  <c r="L36" i="2"/>
  <c r="L21" i="2"/>
  <c r="L6" i="2"/>
  <c r="L17" i="2"/>
  <c r="L18" i="2"/>
  <c r="L15" i="2"/>
  <c r="L16" i="2"/>
  <c r="L47" i="2"/>
  <c r="L46" i="2"/>
  <c r="Q49" i="2"/>
  <c r="T49" i="2" s="1"/>
  <c r="Q50" i="2"/>
  <c r="T50" i="2" s="1"/>
  <c r="Q48" i="2"/>
  <c r="T48" i="2" s="1"/>
  <c r="O5" i="2"/>
  <c r="R5" i="2" s="1"/>
  <c r="L11" i="2"/>
  <c r="O7" i="2"/>
  <c r="R7" i="2" s="1"/>
  <c r="O32" i="2"/>
  <c r="R32" i="2" s="1"/>
  <c r="M5" i="2"/>
  <c r="AG48" i="2"/>
  <c r="AG49" i="2"/>
  <c r="AR48" i="2"/>
  <c r="AR49" i="2"/>
  <c r="L25" i="2"/>
  <c r="L19" i="2"/>
  <c r="L14" i="2"/>
  <c r="M32" i="2"/>
  <c r="N32" i="2"/>
  <c r="L35" i="2"/>
  <c r="L40" i="2"/>
  <c r="L34" i="2"/>
  <c r="L42" i="2"/>
  <c r="L41" i="2"/>
  <c r="L24" i="2"/>
  <c r="M43" i="2"/>
  <c r="N43" i="2"/>
  <c r="L37" i="2"/>
  <c r="L39" i="2"/>
  <c r="L44" i="2"/>
  <c r="M8" i="2"/>
  <c r="M22" i="2"/>
  <c r="N22" i="2"/>
  <c r="M7" i="2"/>
  <c r="M3" i="2" l="1"/>
  <c r="N3" i="2"/>
  <c r="M27" i="2"/>
  <c r="P31" i="2"/>
  <c r="S31" i="2" s="1"/>
  <c r="R31" i="2"/>
  <c r="Q31" i="2"/>
  <c r="T31" i="2" s="1"/>
  <c r="N4" i="2"/>
  <c r="AR3" i="2"/>
  <c r="AS3" i="2" s="1"/>
  <c r="AT3" i="2" s="1"/>
  <c r="O4" i="2"/>
  <c r="R4" i="2" s="1"/>
  <c r="AG25" i="2"/>
  <c r="AI3" i="2"/>
  <c r="AG3" i="2"/>
  <c r="N12" i="2"/>
  <c r="AG30" i="2"/>
  <c r="AR29" i="2"/>
  <c r="AG29" i="2"/>
  <c r="AR30" i="2"/>
  <c r="O30" i="2"/>
  <c r="N30" i="2"/>
  <c r="O29" i="2"/>
  <c r="R29" i="2" s="1"/>
  <c r="M30" i="2"/>
  <c r="AR20" i="2"/>
  <c r="AR12" i="2"/>
  <c r="N20" i="2"/>
  <c r="AG38" i="2"/>
  <c r="M20" i="2"/>
  <c r="M12" i="2"/>
  <c r="AG12" i="2"/>
  <c r="AG20" i="2"/>
  <c r="M46" i="2"/>
  <c r="N16" i="2"/>
  <c r="N33" i="2"/>
  <c r="N10" i="2"/>
  <c r="M45" i="2"/>
  <c r="AG26" i="2"/>
  <c r="N26" i="2"/>
  <c r="M11" i="2"/>
  <c r="N15" i="2"/>
  <c r="Q5" i="2"/>
  <c r="T5" i="2" s="1"/>
  <c r="M26" i="2"/>
  <c r="AR38" i="2"/>
  <c r="N45" i="2"/>
  <c r="M18" i="2"/>
  <c r="AR26" i="2"/>
  <c r="O13" i="2"/>
  <c r="R13" i="2" s="1"/>
  <c r="AG5" i="2"/>
  <c r="M36" i="2"/>
  <c r="M47" i="2"/>
  <c r="AR5" i="2"/>
  <c r="O36" i="2"/>
  <c r="R36" i="2" s="1"/>
  <c r="O9" i="2"/>
  <c r="R9" i="2" s="1"/>
  <c r="AR16" i="2"/>
  <c r="M9" i="2"/>
  <c r="O18" i="2"/>
  <c r="R18" i="2" s="1"/>
  <c r="AG17" i="2"/>
  <c r="AG46" i="2"/>
  <c r="AG36" i="2"/>
  <c r="AG13" i="2"/>
  <c r="M21" i="2"/>
  <c r="N38" i="2"/>
  <c r="M13" i="2"/>
  <c r="M38" i="2"/>
  <c r="N28" i="2"/>
  <c r="M6" i="2"/>
  <c r="N23" i="2"/>
  <c r="AR13" i="2"/>
  <c r="O28" i="2"/>
  <c r="R28" i="2" s="1"/>
  <c r="N13" i="2"/>
  <c r="AR36" i="2"/>
  <c r="M17" i="2"/>
  <c r="M28" i="2"/>
  <c r="M23" i="2"/>
  <c r="O6" i="2"/>
  <c r="R6" i="2" s="1"/>
  <c r="AR28" i="2"/>
  <c r="AG23" i="2"/>
  <c r="AR32" i="2"/>
  <c r="M10" i="2"/>
  <c r="N9" i="2"/>
  <c r="P5" i="2"/>
  <c r="S5" i="2" s="1"/>
  <c r="AR33" i="2"/>
  <c r="AR17" i="2"/>
  <c r="AG18" i="2"/>
  <c r="M33" i="2"/>
  <c r="N36" i="2"/>
  <c r="N18" i="2"/>
  <c r="AR18" i="2"/>
  <c r="AG16" i="2"/>
  <c r="O47" i="2"/>
  <c r="R47" i="2" s="1"/>
  <c r="AR46" i="2"/>
  <c r="AG21" i="2"/>
  <c r="AR6" i="2"/>
  <c r="AG9" i="2"/>
  <c r="AR15" i="2"/>
  <c r="AR23" i="2"/>
  <c r="N17" i="2"/>
  <c r="N21" i="2"/>
  <c r="N6" i="2"/>
  <c r="M16" i="2"/>
  <c r="N46" i="2"/>
  <c r="AR9" i="2"/>
  <c r="M15" i="2"/>
  <c r="O17" i="2"/>
  <c r="R17" i="2" s="1"/>
  <c r="O15" i="2"/>
  <c r="R15" i="2" s="1"/>
  <c r="AG10" i="2"/>
  <c r="AG28" i="2"/>
  <c r="AR21" i="2"/>
  <c r="AG47" i="2"/>
  <c r="AG6" i="2"/>
  <c r="AG15" i="2"/>
  <c r="AG33" i="2"/>
  <c r="AG27" i="2"/>
  <c r="N11" i="2"/>
  <c r="AR27" i="2"/>
  <c r="AR47" i="2"/>
  <c r="N47" i="2"/>
  <c r="AR10" i="2"/>
  <c r="AR11" i="2"/>
  <c r="AR19" i="2"/>
  <c r="O11" i="2"/>
  <c r="R11" i="2" s="1"/>
  <c r="O44" i="2"/>
  <c r="R44" i="2" s="1"/>
  <c r="O39" i="2"/>
  <c r="R39" i="2" s="1"/>
  <c r="O24" i="2"/>
  <c r="R24" i="2" s="1"/>
  <c r="P32" i="2"/>
  <c r="S32" i="2" s="1"/>
  <c r="Q32" i="2"/>
  <c r="T32" i="2" s="1"/>
  <c r="P7" i="2"/>
  <c r="S7" i="2" s="1"/>
  <c r="Q7" i="2"/>
  <c r="T7" i="2" s="1"/>
  <c r="O42" i="2"/>
  <c r="R42" i="2" s="1"/>
  <c r="O34" i="2"/>
  <c r="R34" i="2" s="1"/>
  <c r="AG39" i="2"/>
  <c r="AG42" i="2"/>
  <c r="AG35" i="2"/>
  <c r="M25" i="2"/>
  <c r="M19" i="2"/>
  <c r="AM7" i="2"/>
  <c r="AG7" i="2"/>
  <c r="AG40" i="2"/>
  <c r="AG37" i="2"/>
  <c r="AM39" i="2"/>
  <c r="AM37" i="2"/>
  <c r="AM22" i="2"/>
  <c r="AM41" i="2"/>
  <c r="AG22" i="2"/>
  <c r="AG41" i="2"/>
  <c r="AG43" i="2"/>
  <c r="AG34" i="2"/>
  <c r="AG24" i="2"/>
  <c r="AG44" i="2"/>
  <c r="AG8" i="2"/>
  <c r="AM4" i="2"/>
  <c r="AK40" i="2"/>
  <c r="AJ19" i="2"/>
  <c r="AG4" i="2"/>
  <c r="AO14" i="2"/>
  <c r="AM19" i="2"/>
  <c r="AG19" i="2"/>
  <c r="AM25" i="2"/>
  <c r="AN42" i="2"/>
  <c r="AM42" i="2"/>
  <c r="AM34" i="2"/>
  <c r="AK44" i="2"/>
  <c r="AK19" i="2"/>
  <c r="AG32" i="2"/>
  <c r="AG14" i="2"/>
  <c r="AG11" i="2"/>
  <c r="AG45" i="2"/>
  <c r="AR14" i="2"/>
  <c r="AR25" i="2"/>
  <c r="AR4" i="2"/>
  <c r="AR45" i="2"/>
  <c r="AR7" i="2"/>
  <c r="AR40" i="2"/>
  <c r="AR37" i="2"/>
  <c r="AR22" i="2"/>
  <c r="AR41" i="2"/>
  <c r="AR43" i="2"/>
  <c r="AR34" i="2"/>
  <c r="AR24" i="2"/>
  <c r="AR44" i="2"/>
  <c r="AR8" i="2"/>
  <c r="AR39" i="2"/>
  <c r="AR42" i="2"/>
  <c r="AR35" i="2"/>
  <c r="N25" i="2"/>
  <c r="N19" i="2"/>
  <c r="N14" i="2"/>
  <c r="M14" i="2"/>
  <c r="M44" i="2"/>
  <c r="N44" i="2"/>
  <c r="M39" i="2"/>
  <c r="N39" i="2"/>
  <c r="M37" i="2"/>
  <c r="N37" i="2"/>
  <c r="M24" i="2"/>
  <c r="N24" i="2"/>
  <c r="M41" i="2"/>
  <c r="N41" i="2"/>
  <c r="M42" i="2"/>
  <c r="N42" i="2"/>
  <c r="M34" i="2"/>
  <c r="N34" i="2"/>
  <c r="M40" i="2"/>
  <c r="N40" i="2"/>
  <c r="M35" i="2"/>
  <c r="N35" i="2"/>
  <c r="P30" i="2" l="1"/>
  <c r="S30" i="2" s="1"/>
  <c r="R30" i="2"/>
  <c r="Q4" i="2"/>
  <c r="T4" i="2" s="1"/>
  <c r="Q30" i="2"/>
  <c r="T30" i="2" s="1"/>
  <c r="P4" i="2"/>
  <c r="S4" i="2" s="1"/>
  <c r="AS4" i="2"/>
  <c r="AT4" i="2" s="1"/>
  <c r="Q29" i="2"/>
  <c r="T29" i="2" s="1"/>
  <c r="P29" i="2"/>
  <c r="S29" i="2" s="1"/>
  <c r="P11" i="2"/>
  <c r="S11" i="2" s="1"/>
  <c r="P15" i="2"/>
  <c r="S15" i="2" s="1"/>
  <c r="Q18" i="2"/>
  <c r="T18" i="2" s="1"/>
  <c r="P36" i="2"/>
  <c r="S36" i="2" s="1"/>
  <c r="P17" i="2"/>
  <c r="S17" i="2" s="1"/>
  <c r="P47" i="2"/>
  <c r="S47" i="2" s="1"/>
  <c r="Q6" i="2"/>
  <c r="T6" i="2" s="1"/>
  <c r="Q28" i="2"/>
  <c r="T28" i="2" s="1"/>
  <c r="Q9" i="2"/>
  <c r="T9" i="2" s="1"/>
  <c r="Q13" i="2"/>
  <c r="T13" i="2" s="1"/>
  <c r="O10" i="2"/>
  <c r="R10" i="2" s="1"/>
  <c r="O45" i="2"/>
  <c r="O26" i="2"/>
  <c r="Q36" i="2"/>
  <c r="T36" i="2" s="1"/>
  <c r="P9" i="2"/>
  <c r="S9" i="2" s="1"/>
  <c r="P13" i="2"/>
  <c r="S13" i="2" s="1"/>
  <c r="P18" i="2"/>
  <c r="S18" i="2" s="1"/>
  <c r="O33" i="2"/>
  <c r="P28" i="2"/>
  <c r="S28" i="2" s="1"/>
  <c r="O16" i="2"/>
  <c r="R16" i="2" s="1"/>
  <c r="P6" i="2"/>
  <c r="S6" i="2" s="1"/>
  <c r="Q17" i="2"/>
  <c r="T17" i="2" s="1"/>
  <c r="O3" i="2"/>
  <c r="O43" i="2"/>
  <c r="R43" i="2" s="1"/>
  <c r="O22" i="2"/>
  <c r="R22" i="2" s="1"/>
  <c r="O27" i="2"/>
  <c r="R27" i="2" s="1"/>
  <c r="O8" i="2"/>
  <c r="R8" i="2" s="1"/>
  <c r="O12" i="2"/>
  <c r="R12" i="2" s="1"/>
  <c r="O20" i="2"/>
  <c r="R20" i="2" s="1"/>
  <c r="Q47" i="2"/>
  <c r="T47" i="2" s="1"/>
  <c r="Q15" i="2"/>
  <c r="T15" i="2" s="1"/>
  <c r="AI35" i="2"/>
  <c r="AI42" i="2"/>
  <c r="AI39" i="2"/>
  <c r="AI8" i="2"/>
  <c r="AI44" i="2"/>
  <c r="AI24" i="2"/>
  <c r="AI34" i="2"/>
  <c r="AI43" i="2"/>
  <c r="AI41" i="2"/>
  <c r="AI22" i="2"/>
  <c r="AI37" i="2"/>
  <c r="AI40" i="2"/>
  <c r="AI7" i="2"/>
  <c r="AJ14" i="2"/>
  <c r="AK8" i="2"/>
  <c r="AO11" i="2"/>
  <c r="AJ4" i="2"/>
  <c r="AK25" i="2"/>
  <c r="AO19" i="2"/>
  <c r="AO4" i="2"/>
  <c r="AK4" i="2"/>
  <c r="AM11" i="2"/>
  <c r="AM8" i="2"/>
  <c r="AM44" i="2"/>
  <c r="AM35" i="2"/>
  <c r="AM24" i="2"/>
  <c r="AM43" i="2"/>
  <c r="AK11" i="2"/>
  <c r="AM32" i="2"/>
  <c r="AM40" i="2"/>
  <c r="Q11" i="2"/>
  <c r="T11" i="2" s="1"/>
  <c r="AJ35" i="2"/>
  <c r="AJ43" i="2"/>
  <c r="AN32" i="2"/>
  <c r="AN25" i="2"/>
  <c r="AP4" i="2"/>
  <c r="AL4" i="2"/>
  <c r="AI32" i="2"/>
  <c r="AO25" i="2"/>
  <c r="AP11" i="2"/>
  <c r="AO32" i="2"/>
  <c r="AK45" i="2"/>
  <c r="AP8" i="2"/>
  <c r="AO44" i="2"/>
  <c r="AO24" i="2"/>
  <c r="AK34" i="2"/>
  <c r="AO43" i="2"/>
  <c r="AK32" i="2"/>
  <c r="AP24" i="2"/>
  <c r="AJ25" i="2"/>
  <c r="P34" i="2"/>
  <c r="S34" i="2" s="1"/>
  <c r="Q34" i="2"/>
  <c r="T34" i="2" s="1"/>
  <c r="P42" i="2"/>
  <c r="S42" i="2" s="1"/>
  <c r="Q42" i="2"/>
  <c r="T42" i="2" s="1"/>
  <c r="P24" i="2"/>
  <c r="S24" i="2" s="1"/>
  <c r="Q24" i="2"/>
  <c r="T24" i="2" s="1"/>
  <c r="P39" i="2"/>
  <c r="S39" i="2" s="1"/>
  <c r="Q39" i="2"/>
  <c r="T39" i="2" s="1"/>
  <c r="P44" i="2"/>
  <c r="S44" i="2" s="1"/>
  <c r="Q44" i="2"/>
  <c r="T44" i="2" s="1"/>
  <c r="AN4" i="2"/>
  <c r="AN45" i="2"/>
  <c r="AN8" i="2"/>
  <c r="AK14" i="2"/>
  <c r="AI11" i="2"/>
  <c r="AP14" i="2"/>
  <c r="AP19" i="2"/>
  <c r="AP45" i="2"/>
  <c r="AP44" i="2"/>
  <c r="AN34" i="2"/>
  <c r="AJ32" i="2"/>
  <c r="AL33" i="2"/>
  <c r="AL30" i="2"/>
  <c r="AL29" i="2"/>
  <c r="AL31" i="2"/>
  <c r="AL50" i="2"/>
  <c r="AL5" i="2"/>
  <c r="AL38" i="2"/>
  <c r="AL48" i="2"/>
  <c r="AL49" i="2"/>
  <c r="AL23" i="2"/>
  <c r="AL26" i="2"/>
  <c r="AL27" i="2"/>
  <c r="AL28" i="2"/>
  <c r="AL12" i="2"/>
  <c r="AL16" i="2"/>
  <c r="AL17" i="2"/>
  <c r="AL9" i="2"/>
  <c r="AL18" i="2"/>
  <c r="AL10" i="2"/>
  <c r="AL15" i="2"/>
  <c r="AL36" i="2"/>
  <c r="AL46" i="2"/>
  <c r="AL47" i="2"/>
  <c r="AL6" i="2"/>
  <c r="AL13" i="2"/>
  <c r="AL20" i="2"/>
  <c r="AL21" i="2"/>
  <c r="AL3" i="2"/>
  <c r="AI33" i="2"/>
  <c r="AI28" i="2"/>
  <c r="AI29" i="2"/>
  <c r="AI46" i="2"/>
  <c r="AI31" i="2"/>
  <c r="AI30" i="2"/>
  <c r="AI47" i="2"/>
  <c r="AI36" i="2"/>
  <c r="AI19" i="2"/>
  <c r="AI48" i="2"/>
  <c r="AI15" i="2"/>
  <c r="AI49" i="2"/>
  <c r="AI21" i="2"/>
  <c r="AI23" i="2"/>
  <c r="AI16" i="2"/>
  <c r="AI9" i="2"/>
  <c r="AI5" i="2"/>
  <c r="AI10" i="2"/>
  <c r="AI14" i="2"/>
  <c r="AI25" i="2"/>
  <c r="AI13" i="2"/>
  <c r="AI45" i="2"/>
  <c r="AI27" i="2"/>
  <c r="AI12" i="2"/>
  <c r="AI4" i="2"/>
  <c r="AI17" i="2"/>
  <c r="AI38" i="2"/>
  <c r="AI18" i="2"/>
  <c r="AI6" i="2"/>
  <c r="AI20" i="2"/>
  <c r="AI26" i="2"/>
  <c r="AL25" i="2"/>
  <c r="AL35" i="2"/>
  <c r="AL24" i="2"/>
  <c r="AL34" i="2"/>
  <c r="AL43" i="2"/>
  <c r="AL11" i="2"/>
  <c r="AP33" i="2"/>
  <c r="AP29" i="2"/>
  <c r="AP31" i="2"/>
  <c r="AP50" i="2"/>
  <c r="AP30" i="2"/>
  <c r="AP6" i="2"/>
  <c r="AP16" i="2"/>
  <c r="AP9" i="2"/>
  <c r="AP36" i="2"/>
  <c r="AP5" i="2"/>
  <c r="AP28" i="2"/>
  <c r="AP13" i="2"/>
  <c r="AP15" i="2"/>
  <c r="AP17" i="2"/>
  <c r="AP20" i="2"/>
  <c r="AP49" i="2"/>
  <c r="AP21" i="2"/>
  <c r="AP18" i="2"/>
  <c r="AP12" i="2"/>
  <c r="AP38" i="2"/>
  <c r="AP23" i="2"/>
  <c r="AP46" i="2"/>
  <c r="AP47" i="2"/>
  <c r="AP48" i="2"/>
  <c r="AP26" i="2"/>
  <c r="AP27" i="2"/>
  <c r="AP10" i="2"/>
  <c r="AP3" i="2"/>
  <c r="AN33" i="2"/>
  <c r="AN29" i="2"/>
  <c r="AN50" i="2"/>
  <c r="AN31" i="2"/>
  <c r="AN30" i="2"/>
  <c r="AN9" i="2"/>
  <c r="AN16" i="2"/>
  <c r="AN36" i="2"/>
  <c r="AN15" i="2"/>
  <c r="AN26" i="2"/>
  <c r="AN12" i="2"/>
  <c r="AN18" i="2"/>
  <c r="AN21" i="2"/>
  <c r="AN38" i="2"/>
  <c r="AN20" i="2"/>
  <c r="AN23" i="2"/>
  <c r="AN46" i="2"/>
  <c r="AN47" i="2"/>
  <c r="AN19" i="2"/>
  <c r="AN11" i="2"/>
  <c r="AN5" i="2"/>
  <c r="AN13" i="2"/>
  <c r="AN10" i="2"/>
  <c r="AN48" i="2"/>
  <c r="AN17" i="2"/>
  <c r="AN28" i="2"/>
  <c r="AN27" i="2"/>
  <c r="AN6" i="2"/>
  <c r="AN49" i="2"/>
  <c r="AN3" i="2"/>
  <c r="AN14" i="2"/>
  <c r="AO33" i="2"/>
  <c r="AO29" i="2"/>
  <c r="AO31" i="2"/>
  <c r="AO30" i="2"/>
  <c r="AO50" i="2"/>
  <c r="AO5" i="2"/>
  <c r="AO17" i="2"/>
  <c r="AO12" i="2"/>
  <c r="AO9" i="2"/>
  <c r="AO13" i="2"/>
  <c r="AO38" i="2"/>
  <c r="AO23" i="2"/>
  <c r="AO46" i="2"/>
  <c r="AO47" i="2"/>
  <c r="AO16" i="2"/>
  <c r="AO6" i="2"/>
  <c r="AO27" i="2"/>
  <c r="AO15" i="2"/>
  <c r="AO36" i="2"/>
  <c r="AO10" i="2"/>
  <c r="AO20" i="2"/>
  <c r="AO49" i="2"/>
  <c r="AO48" i="2"/>
  <c r="AO26" i="2"/>
  <c r="AO18" i="2"/>
  <c r="AO21" i="2"/>
  <c r="AO28" i="2"/>
  <c r="AO3" i="2"/>
  <c r="AL19" i="2"/>
  <c r="AL14" i="2"/>
  <c r="AO45" i="2"/>
  <c r="AL45" i="2"/>
  <c r="AL8" i="2"/>
  <c r="AL44" i="2"/>
  <c r="AN44" i="2"/>
  <c r="AK35" i="2"/>
  <c r="AP35" i="2"/>
  <c r="AN24" i="2"/>
  <c r="AK24" i="2"/>
  <c r="AJ34" i="2"/>
  <c r="AO34" i="2"/>
  <c r="AK43" i="2"/>
  <c r="AP43" i="2"/>
  <c r="AO42" i="2"/>
  <c r="AJ42" i="2"/>
  <c r="AP41" i="2"/>
  <c r="AO41" i="2"/>
  <c r="AL22" i="2"/>
  <c r="AJ41" i="2"/>
  <c r="AP22" i="2"/>
  <c r="AP37" i="2"/>
  <c r="AK37" i="2"/>
  <c r="AO40" i="2"/>
  <c r="AJ40" i="2"/>
  <c r="AL39" i="2"/>
  <c r="AN7" i="2"/>
  <c r="AL37" i="2"/>
  <c r="AN37" i="2"/>
  <c r="AP40" i="2"/>
  <c r="AO39" i="2"/>
  <c r="AN39" i="2"/>
  <c r="AO7" i="2"/>
  <c r="AJ7" i="2"/>
  <c r="AL42" i="2"/>
  <c r="AL32" i="2"/>
  <c r="AP25" i="2"/>
  <c r="AJ33" i="2"/>
  <c r="AJ50" i="2"/>
  <c r="AJ30" i="2"/>
  <c r="AJ31" i="2"/>
  <c r="AJ29" i="2"/>
  <c r="AJ5" i="2"/>
  <c r="AJ18" i="2"/>
  <c r="AJ11" i="2"/>
  <c r="AJ15" i="2"/>
  <c r="AJ13" i="2"/>
  <c r="AJ16" i="2"/>
  <c r="AJ17" i="2"/>
  <c r="AJ47" i="2"/>
  <c r="AJ27" i="2"/>
  <c r="AJ12" i="2"/>
  <c r="AJ36" i="2"/>
  <c r="AJ9" i="2"/>
  <c r="AJ10" i="2"/>
  <c r="AJ38" i="2"/>
  <c r="AJ48" i="2"/>
  <c r="AJ26" i="2"/>
  <c r="AJ49" i="2"/>
  <c r="AJ21" i="2"/>
  <c r="AJ6" i="2"/>
  <c r="AJ20" i="2"/>
  <c r="AJ23" i="2"/>
  <c r="AJ28" i="2"/>
  <c r="AJ46" i="2"/>
  <c r="AJ3" i="2"/>
  <c r="AK33" i="2"/>
  <c r="AK30" i="2"/>
  <c r="AK29" i="2"/>
  <c r="AK31" i="2"/>
  <c r="AK50" i="2"/>
  <c r="AK13" i="2"/>
  <c r="AK10" i="2"/>
  <c r="AK36" i="2"/>
  <c r="AK48" i="2"/>
  <c r="AK12" i="2"/>
  <c r="AK5" i="2"/>
  <c r="AK21" i="2"/>
  <c r="AK46" i="2"/>
  <c r="AK28" i="2"/>
  <c r="AK49" i="2"/>
  <c r="AK23" i="2"/>
  <c r="AK9" i="2"/>
  <c r="AK17" i="2"/>
  <c r="AK26" i="2"/>
  <c r="AK27" i="2"/>
  <c r="AK38" i="2"/>
  <c r="AK6" i="2"/>
  <c r="AK15" i="2"/>
  <c r="AK16" i="2"/>
  <c r="AK20" i="2"/>
  <c r="AK18" i="2"/>
  <c r="AK47" i="2"/>
  <c r="AK3" i="2"/>
  <c r="AP32" i="2"/>
  <c r="AJ45" i="2"/>
  <c r="AJ8" i="2"/>
  <c r="AO8" i="2"/>
  <c r="AJ44" i="2"/>
  <c r="AO35" i="2"/>
  <c r="AN35" i="2"/>
  <c r="AJ24" i="2"/>
  <c r="AP34" i="2"/>
  <c r="AN43" i="2"/>
  <c r="AP42" i="2"/>
  <c r="AK42" i="2"/>
  <c r="AN41" i="2"/>
  <c r="AK22" i="2"/>
  <c r="AJ22" i="2"/>
  <c r="AL41" i="2"/>
  <c r="AK41" i="2"/>
  <c r="AO22" i="2"/>
  <c r="AN22" i="2"/>
  <c r="AO37" i="2"/>
  <c r="AL40" i="2"/>
  <c r="AJ39" i="2"/>
  <c r="AK7" i="2"/>
  <c r="AL7" i="2"/>
  <c r="AJ37" i="2"/>
  <c r="AN40" i="2"/>
  <c r="AP39" i="2"/>
  <c r="AK39" i="2"/>
  <c r="AP7" i="2"/>
  <c r="AM45" i="2"/>
  <c r="AM33" i="2"/>
  <c r="AM31" i="2"/>
  <c r="AM38" i="2"/>
  <c r="AM36" i="2"/>
  <c r="AM9" i="2"/>
  <c r="AM50" i="2"/>
  <c r="AM30" i="2"/>
  <c r="AM15" i="2"/>
  <c r="AM28" i="2"/>
  <c r="AM6" i="2"/>
  <c r="AM29" i="2"/>
  <c r="AM17" i="2"/>
  <c r="AM46" i="2"/>
  <c r="AM14" i="2"/>
  <c r="AM26" i="2"/>
  <c r="AM27" i="2"/>
  <c r="AM20" i="2"/>
  <c r="AM49" i="2"/>
  <c r="AM5" i="2"/>
  <c r="AM48" i="2"/>
  <c r="AM12" i="2"/>
  <c r="AM13" i="2"/>
  <c r="AM16" i="2"/>
  <c r="AM21" i="2"/>
  <c r="AM18" i="2"/>
  <c r="AM23" i="2"/>
  <c r="AM47" i="2"/>
  <c r="AM10" i="2"/>
  <c r="AM3" i="2"/>
  <c r="Q3" i="2" l="1"/>
  <c r="T3" i="2" s="1"/>
  <c r="P3" i="2"/>
  <c r="S3" i="2" s="1"/>
  <c r="R3" i="2"/>
  <c r="P26" i="2"/>
  <c r="S26" i="2" s="1"/>
  <c r="R26" i="2"/>
  <c r="Q45" i="2"/>
  <c r="T45" i="2" s="1"/>
  <c r="R45" i="2"/>
  <c r="Q33" i="2"/>
  <c r="T33" i="2" s="1"/>
  <c r="R33" i="2"/>
  <c r="P10" i="2"/>
  <c r="S10" i="2" s="1"/>
  <c r="H15" i="1"/>
  <c r="H25" i="1"/>
  <c r="H44" i="1"/>
  <c r="H9" i="1"/>
  <c r="P16" i="2"/>
  <c r="S16" i="2" s="1"/>
  <c r="P33" i="2"/>
  <c r="S33" i="2" s="1"/>
  <c r="H7" i="1"/>
  <c r="H21" i="1"/>
  <c r="Q26" i="2"/>
  <c r="T26" i="2" s="1"/>
  <c r="H19" i="1"/>
  <c r="P45" i="2"/>
  <c r="S45" i="2" s="1"/>
  <c r="H11" i="1"/>
  <c r="H32" i="1"/>
  <c r="H26" i="1"/>
  <c r="Q10" i="2"/>
  <c r="T10" i="2" s="1"/>
  <c r="H42" i="1"/>
  <c r="Q16" i="2"/>
  <c r="T16" i="2" s="1"/>
  <c r="O23" i="2"/>
  <c r="R23" i="2" s="1"/>
  <c r="O21" i="2"/>
  <c r="R21" i="2" s="1"/>
  <c r="O46" i="2"/>
  <c r="R46" i="2" s="1"/>
  <c r="O14" i="2"/>
  <c r="R14" i="2" s="1"/>
  <c r="Q12" i="2"/>
  <c r="T12" i="2" s="1"/>
  <c r="P12" i="2"/>
  <c r="S12" i="2" s="1"/>
  <c r="Q8" i="2"/>
  <c r="T8" i="2" s="1"/>
  <c r="P8" i="2"/>
  <c r="S8" i="2" s="1"/>
  <c r="P43" i="2"/>
  <c r="S43" i="2" s="1"/>
  <c r="Q43" i="2"/>
  <c r="T43" i="2" s="1"/>
  <c r="O37" i="2"/>
  <c r="R37" i="2" s="1"/>
  <c r="O41" i="2"/>
  <c r="R41" i="2" s="1"/>
  <c r="P20" i="2"/>
  <c r="S20" i="2" s="1"/>
  <c r="Q20" i="2"/>
  <c r="T20" i="2" s="1"/>
  <c r="O38" i="2"/>
  <c r="R38" i="2" s="1"/>
  <c r="O25" i="2"/>
  <c r="R25" i="2" s="1"/>
  <c r="O40" i="2"/>
  <c r="R40" i="2" s="1"/>
  <c r="O35" i="2"/>
  <c r="R35" i="2" s="1"/>
  <c r="P27" i="2"/>
  <c r="S27" i="2" s="1"/>
  <c r="Q27" i="2"/>
  <c r="T27" i="2" s="1"/>
  <c r="P22" i="2"/>
  <c r="S22" i="2" s="1"/>
  <c r="Q22" i="2"/>
  <c r="T22" i="2" s="1"/>
  <c r="O19" i="2"/>
  <c r="R19" i="2" s="1"/>
  <c r="AS14" i="2"/>
  <c r="AS25" i="2"/>
  <c r="AS7" i="2"/>
  <c r="AS37" i="2"/>
  <c r="AS43" i="2"/>
  <c r="AS34" i="2"/>
  <c r="AS8" i="2"/>
  <c r="AS29" i="2"/>
  <c r="AS31" i="2"/>
  <c r="AS47" i="2"/>
  <c r="AS30" i="2"/>
  <c r="AS6" i="2"/>
  <c r="AS21" i="2"/>
  <c r="AS18" i="2"/>
  <c r="AS38" i="2"/>
  <c r="AS15" i="2"/>
  <c r="AS36" i="2"/>
  <c r="AS10" i="2"/>
  <c r="AS5" i="2"/>
  <c r="AS9" i="2"/>
  <c r="AS12" i="2"/>
  <c r="AS28" i="2"/>
  <c r="AS46" i="2"/>
  <c r="AS20" i="2"/>
  <c r="AT20" i="2" s="1"/>
  <c r="L19" i="1" s="1"/>
  <c r="M19" i="1" s="1"/>
  <c r="AS26" i="2"/>
  <c r="AS49" i="2"/>
  <c r="AS19" i="2"/>
  <c r="AS17" i="2"/>
  <c r="AS23" i="2"/>
  <c r="AS48" i="2"/>
  <c r="AS32" i="2"/>
  <c r="AS11" i="2"/>
  <c r="AS27" i="2"/>
  <c r="AS16" i="2"/>
  <c r="AS13" i="2"/>
  <c r="AS33" i="2"/>
  <c r="K2" i="1"/>
  <c r="AS45" i="2"/>
  <c r="AS40" i="2"/>
  <c r="AS22" i="2"/>
  <c r="AS41" i="2"/>
  <c r="AS24" i="2"/>
  <c r="AS44" i="2"/>
  <c r="AS39" i="2"/>
  <c r="AS42" i="2"/>
  <c r="AS35" i="2"/>
  <c r="Q19" i="1" l="1"/>
  <c r="R19" i="1" s="1"/>
  <c r="S19" i="1" s="1"/>
  <c r="N19" i="1"/>
  <c r="O15" i="1"/>
  <c r="P15" i="1" s="1"/>
  <c r="O19" i="1"/>
  <c r="P19" i="1" s="1"/>
  <c r="P26" i="1"/>
  <c r="O9" i="1"/>
  <c r="P9" i="1" s="1"/>
  <c r="O44" i="1"/>
  <c r="P44" i="1" s="1"/>
  <c r="O42" i="1"/>
  <c r="P42" i="1" s="1"/>
  <c r="O32" i="1"/>
  <c r="P32" i="1" s="1"/>
  <c r="AT13" i="2"/>
  <c r="AT32" i="2"/>
  <c r="AT23" i="2"/>
  <c r="AT19" i="2"/>
  <c r="AT26" i="2"/>
  <c r="AT46" i="2"/>
  <c r="AT12" i="2"/>
  <c r="AT5" i="2"/>
  <c r="AT36" i="2"/>
  <c r="AT38" i="2"/>
  <c r="AT21" i="2"/>
  <c r="AT30" i="2"/>
  <c r="AT31" i="2"/>
  <c r="AT8" i="2"/>
  <c r="AT43" i="2"/>
  <c r="AT7" i="2"/>
  <c r="AT14" i="2"/>
  <c r="AT35" i="2"/>
  <c r="AT39" i="2"/>
  <c r="AT24" i="2"/>
  <c r="AT22" i="2"/>
  <c r="AT45" i="2"/>
  <c r="AT33" i="2"/>
  <c r="AT16" i="2"/>
  <c r="AT11" i="2"/>
  <c r="AT48" i="2"/>
  <c r="AT17" i="2"/>
  <c r="AT49" i="2"/>
  <c r="AT28" i="2"/>
  <c r="AT9" i="2"/>
  <c r="AT10" i="2"/>
  <c r="AT15" i="2"/>
  <c r="AT18" i="2"/>
  <c r="AT6" i="2"/>
  <c r="AT47" i="2"/>
  <c r="AT29" i="2"/>
  <c r="AT34" i="2"/>
  <c r="AT37" i="2"/>
  <c r="AT25" i="2"/>
  <c r="AT42" i="2"/>
  <c r="AT44" i="2"/>
  <c r="AT41" i="2"/>
  <c r="AT40" i="2"/>
  <c r="AT27" i="2"/>
  <c r="O11" i="1"/>
  <c r="P11" i="1" s="1"/>
  <c r="H34" i="1"/>
  <c r="H13" i="1"/>
  <c r="O25" i="1"/>
  <c r="P25" i="1" s="1"/>
  <c r="H24" i="1"/>
  <c r="H20" i="1"/>
  <c r="H37" i="1"/>
  <c r="O21" i="1"/>
  <c r="P21" i="1" s="1"/>
  <c r="O7" i="1"/>
  <c r="P7" i="1" s="1"/>
  <c r="H40" i="1"/>
  <c r="H18" i="1"/>
  <c r="H45" i="1"/>
  <c r="H22" i="1"/>
  <c r="H39" i="1"/>
  <c r="H36" i="1"/>
  <c r="K41" i="1"/>
  <c r="K43" i="1"/>
  <c r="K40" i="1"/>
  <c r="K3" i="1"/>
  <c r="K32" i="1"/>
  <c r="K15" i="1"/>
  <c r="K10" i="1"/>
  <c r="K16" i="1"/>
  <c r="K48" i="1"/>
  <c r="K19" i="1"/>
  <c r="K27" i="1"/>
  <c r="K8" i="1"/>
  <c r="K14" i="1"/>
  <c r="K17" i="1"/>
  <c r="K5" i="1"/>
  <c r="K46" i="1"/>
  <c r="K30" i="1"/>
  <c r="K7" i="1"/>
  <c r="K42" i="1"/>
  <c r="K13" i="1"/>
  <c r="K34" i="1"/>
  <c r="K38" i="1"/>
  <c r="K23" i="1"/>
  <c r="K21" i="1"/>
  <c r="K44" i="1"/>
  <c r="K12" i="1"/>
  <c r="K26" i="1"/>
  <c r="K31" i="1"/>
  <c r="K22" i="1"/>
  <c r="K18" i="1"/>
  <c r="K25" i="1"/>
  <c r="K45" i="1"/>
  <c r="K11" i="1"/>
  <c r="K4" i="1"/>
  <c r="K35" i="1"/>
  <c r="K37" i="1"/>
  <c r="K20" i="1"/>
  <c r="K29" i="1"/>
  <c r="K28" i="1"/>
  <c r="K36" i="1"/>
  <c r="K24" i="1"/>
  <c r="K39" i="1"/>
  <c r="K47" i="1"/>
  <c r="K9" i="1"/>
  <c r="K6" i="1"/>
  <c r="P25" i="2"/>
  <c r="S25" i="2" s="1"/>
  <c r="Q25" i="2"/>
  <c r="T25" i="2" s="1"/>
  <c r="Q38" i="2"/>
  <c r="T38" i="2" s="1"/>
  <c r="P38" i="2"/>
  <c r="S38" i="2" s="1"/>
  <c r="P14" i="2"/>
  <c r="S14" i="2" s="1"/>
  <c r="Q14" i="2"/>
  <c r="T14" i="2" s="1"/>
  <c r="P46" i="2"/>
  <c r="S46" i="2" s="1"/>
  <c r="Q46" i="2"/>
  <c r="T46" i="2" s="1"/>
  <c r="Q21" i="2"/>
  <c r="T21" i="2" s="1"/>
  <c r="P21" i="2"/>
  <c r="S21" i="2" s="1"/>
  <c r="P23" i="2"/>
  <c r="S23" i="2" s="1"/>
  <c r="Q23" i="2"/>
  <c r="T23" i="2" s="1"/>
  <c r="P19" i="2"/>
  <c r="S19" i="2" s="1"/>
  <c r="Q19" i="2"/>
  <c r="T19" i="2" s="1"/>
  <c r="P35" i="2"/>
  <c r="S35" i="2" s="1"/>
  <c r="Q35" i="2"/>
  <c r="T35" i="2" s="1"/>
  <c r="P40" i="2"/>
  <c r="S40" i="2" s="1"/>
  <c r="Q40" i="2"/>
  <c r="T40" i="2" s="1"/>
  <c r="P41" i="2"/>
  <c r="S41" i="2" s="1"/>
  <c r="Q41" i="2"/>
  <c r="T41" i="2" s="1"/>
  <c r="P37" i="2"/>
  <c r="S37" i="2" s="1"/>
  <c r="Q37" i="2"/>
  <c r="T37" i="2" s="1"/>
  <c r="K49" i="1"/>
  <c r="K33" i="1"/>
  <c r="P2" i="1" l="1"/>
  <c r="O22" i="1"/>
  <c r="P22" i="1" s="1"/>
  <c r="O39" i="1"/>
  <c r="O40" i="1"/>
  <c r="P40" i="1" s="1"/>
  <c r="O37" i="1"/>
  <c r="O24" i="1"/>
  <c r="P24" i="1" s="1"/>
  <c r="O34" i="1"/>
  <c r="O36" i="1"/>
  <c r="P36" i="1" s="1"/>
  <c r="O20" i="1"/>
  <c r="P20" i="1" s="1"/>
  <c r="O45" i="1"/>
  <c r="P45" i="1" s="1"/>
  <c r="O18" i="1"/>
  <c r="P18" i="1" s="1"/>
  <c r="O13" i="1"/>
  <c r="P13" i="1" s="1"/>
  <c r="L24" i="1"/>
  <c r="M24" i="1" s="1"/>
  <c r="L42" i="1"/>
  <c r="M42" i="1" s="1"/>
  <c r="L30" i="1"/>
  <c r="M30" i="1" s="1"/>
  <c r="L29" i="1"/>
  <c r="M29" i="1" s="1"/>
  <c r="L4" i="1"/>
  <c r="M4" i="1" s="1"/>
  <c r="L48" i="1"/>
  <c r="M48" i="1" s="1"/>
  <c r="L32" i="1"/>
  <c r="M32" i="1" s="1"/>
  <c r="L23" i="1"/>
  <c r="L14" i="1"/>
  <c r="M14" i="1" s="1"/>
  <c r="L27" i="1"/>
  <c r="M27" i="1" s="1"/>
  <c r="L22" i="1"/>
  <c r="L10" i="1"/>
  <c r="M10" i="1" s="1"/>
  <c r="L40" i="1"/>
  <c r="M40" i="1" s="1"/>
  <c r="L41" i="1"/>
  <c r="M41" i="1" s="1"/>
  <c r="L49" i="1"/>
  <c r="M49" i="1" s="1"/>
  <c r="L36" i="1"/>
  <c r="M36" i="1" s="1"/>
  <c r="L28" i="1"/>
  <c r="M28" i="1" s="1"/>
  <c r="L5" i="1"/>
  <c r="M5" i="1" s="1"/>
  <c r="L8" i="1"/>
  <c r="M8" i="1" s="1"/>
  <c r="L2" i="1"/>
  <c r="M2" i="1" s="1"/>
  <c r="N2" i="1" s="1"/>
  <c r="L7" i="1"/>
  <c r="M7" i="1" s="1"/>
  <c r="L20" i="1"/>
  <c r="M20" i="1" s="1"/>
  <c r="L35" i="1"/>
  <c r="M35" i="1" s="1"/>
  <c r="L11" i="1"/>
  <c r="M11" i="1" s="1"/>
  <c r="L15" i="1"/>
  <c r="M15" i="1" s="1"/>
  <c r="L44" i="1"/>
  <c r="M44" i="1" s="1"/>
  <c r="L21" i="1"/>
  <c r="M21" i="1" s="1"/>
  <c r="L38" i="1"/>
  <c r="M38" i="1" s="1"/>
  <c r="L46" i="1"/>
  <c r="M46" i="1" s="1"/>
  <c r="L9" i="1"/>
  <c r="M9" i="1" s="1"/>
  <c r="L45" i="1"/>
  <c r="M45" i="1" s="1"/>
  <c r="L18" i="1"/>
  <c r="M18" i="1" s="1"/>
  <c r="L47" i="1"/>
  <c r="M47" i="1" s="1"/>
  <c r="L26" i="1"/>
  <c r="L3" i="1"/>
  <c r="M3" i="1" s="1"/>
  <c r="L43" i="1"/>
  <c r="M43" i="1" s="1"/>
  <c r="L33" i="1"/>
  <c r="M33" i="1" s="1"/>
  <c r="L13" i="1"/>
  <c r="M13" i="1" s="1"/>
  <c r="L17" i="1"/>
  <c r="M17" i="1" s="1"/>
  <c r="L6" i="1"/>
  <c r="M6" i="1" s="1"/>
  <c r="L37" i="1"/>
  <c r="M37" i="1" s="1"/>
  <c r="L31" i="1"/>
  <c r="M31" i="1" s="1"/>
  <c r="L39" i="1"/>
  <c r="M39" i="1" s="1"/>
  <c r="L34" i="1"/>
  <c r="M34" i="1" s="1"/>
  <c r="L25" i="1"/>
  <c r="M25" i="1" s="1"/>
  <c r="L12" i="1"/>
  <c r="M12" i="1" s="1"/>
  <c r="L16" i="1"/>
  <c r="M16" i="1" s="1"/>
  <c r="Q6" i="1" l="1"/>
  <c r="R6" i="1" s="1"/>
  <c r="S6" i="1" s="1"/>
  <c r="N6" i="1"/>
  <c r="Q18" i="1"/>
  <c r="R18" i="1" s="1"/>
  <c r="S18" i="1" s="1"/>
  <c r="N18" i="1"/>
  <c r="Q11" i="1"/>
  <c r="R11" i="1" s="1"/>
  <c r="S11" i="1" s="1"/>
  <c r="N11" i="1"/>
  <c r="Q36" i="1"/>
  <c r="R36" i="1" s="1"/>
  <c r="S36" i="1" s="1"/>
  <c r="N36" i="1"/>
  <c r="Q29" i="1"/>
  <c r="R29" i="1" s="1"/>
  <c r="S29" i="1" s="1"/>
  <c r="N29" i="1"/>
  <c r="Q16" i="1"/>
  <c r="R16" i="1" s="1"/>
  <c r="S16" i="1" s="1"/>
  <c r="N16" i="1"/>
  <c r="Q3" i="1"/>
  <c r="R3" i="1" s="1"/>
  <c r="S3" i="1" s="1"/>
  <c r="N3" i="1"/>
  <c r="Q21" i="1"/>
  <c r="R21" i="1" s="1"/>
  <c r="S21" i="1" s="1"/>
  <c r="N21" i="1"/>
  <c r="Q8" i="1"/>
  <c r="R8" i="1" s="1"/>
  <c r="S8" i="1" s="1"/>
  <c r="N8" i="1"/>
  <c r="N49" i="1"/>
  <c r="Q49" i="1"/>
  <c r="R49" i="1" s="1"/>
  <c r="S49" i="1" s="1"/>
  <c r="Q32" i="1"/>
  <c r="R32" i="1" s="1"/>
  <c r="S32" i="1" s="1"/>
  <c r="N32" i="1"/>
  <c r="Q30" i="1"/>
  <c r="R30" i="1" s="1"/>
  <c r="S30" i="1" s="1"/>
  <c r="N30" i="1"/>
  <c r="Q34" i="1"/>
  <c r="R34" i="1" s="1"/>
  <c r="S34" i="1" s="1"/>
  <c r="N34" i="1"/>
  <c r="Q43" i="1"/>
  <c r="R43" i="1" s="1"/>
  <c r="S43" i="1" s="1"/>
  <c r="N43" i="1"/>
  <c r="Q38" i="1"/>
  <c r="R38" i="1" s="1"/>
  <c r="S38" i="1" s="1"/>
  <c r="N38" i="1"/>
  <c r="Q10" i="1"/>
  <c r="R10" i="1" s="1"/>
  <c r="S10" i="1" s="1"/>
  <c r="N10" i="1"/>
  <c r="N39" i="1"/>
  <c r="Q39" i="1"/>
  <c r="R39" i="1" s="1"/>
  <c r="S39" i="1" s="1"/>
  <c r="N17" i="1"/>
  <c r="Q17" i="1"/>
  <c r="R17" i="1" s="1"/>
  <c r="S17" i="1" s="1"/>
  <c r="Q45" i="1"/>
  <c r="R45" i="1" s="1"/>
  <c r="S45" i="1" s="1"/>
  <c r="N45" i="1"/>
  <c r="Q35" i="1"/>
  <c r="R35" i="1" s="1"/>
  <c r="S35" i="1" s="1"/>
  <c r="N35" i="1"/>
  <c r="Q12" i="1"/>
  <c r="R12" i="1" s="1"/>
  <c r="S12" i="1" s="1"/>
  <c r="N12" i="1"/>
  <c r="N31" i="1"/>
  <c r="Q31" i="1"/>
  <c r="R31" i="1" s="1"/>
  <c r="S31" i="1" s="1"/>
  <c r="Q13" i="1"/>
  <c r="R13" i="1" s="1"/>
  <c r="S13" i="1" s="1"/>
  <c r="N13" i="1"/>
  <c r="N9" i="1"/>
  <c r="Q9" i="1"/>
  <c r="R9" i="1" s="1"/>
  <c r="S9" i="1" s="1"/>
  <c r="Q44" i="1"/>
  <c r="R44" i="1" s="1"/>
  <c r="S44" i="1" s="1"/>
  <c r="N44" i="1"/>
  <c r="Q20" i="1"/>
  <c r="R20" i="1" s="1"/>
  <c r="S20" i="1" s="1"/>
  <c r="N20" i="1"/>
  <c r="Q5" i="1"/>
  <c r="R5" i="1" s="1"/>
  <c r="S5" i="1" s="1"/>
  <c r="N5" i="1"/>
  <c r="N41" i="1"/>
  <c r="Q41" i="1"/>
  <c r="R41" i="1" s="1"/>
  <c r="S41" i="1" s="1"/>
  <c r="Q27" i="1"/>
  <c r="R27" i="1" s="1"/>
  <c r="S27" i="1" s="1"/>
  <c r="N27" i="1"/>
  <c r="Q48" i="1"/>
  <c r="R48" i="1" s="1"/>
  <c r="S48" i="1" s="1"/>
  <c r="N48" i="1"/>
  <c r="Q42" i="1"/>
  <c r="R42" i="1" s="1"/>
  <c r="S42" i="1" s="1"/>
  <c r="N42" i="1"/>
  <c r="N25" i="1"/>
  <c r="Q25" i="1"/>
  <c r="R25" i="1" s="1"/>
  <c r="S25" i="1" s="1"/>
  <c r="Q37" i="1"/>
  <c r="R37" i="1" s="1"/>
  <c r="S37" i="1" s="1"/>
  <c r="N37" i="1"/>
  <c r="N33" i="1"/>
  <c r="Q33" i="1"/>
  <c r="R33" i="1" s="1"/>
  <c r="S33" i="1" s="1"/>
  <c r="N47" i="1"/>
  <c r="Q47" i="1"/>
  <c r="R47" i="1" s="1"/>
  <c r="S47" i="1" s="1"/>
  <c r="Q46" i="1"/>
  <c r="R46" i="1" s="1"/>
  <c r="S46" i="1" s="1"/>
  <c r="N46" i="1"/>
  <c r="N15" i="1"/>
  <c r="Q15" i="1"/>
  <c r="R15" i="1" s="1"/>
  <c r="S15" i="1" s="1"/>
  <c r="N7" i="1"/>
  <c r="Q7" i="1"/>
  <c r="R7" i="1" s="1"/>
  <c r="S7" i="1" s="1"/>
  <c r="Q28" i="1"/>
  <c r="R28" i="1" s="1"/>
  <c r="S28" i="1" s="1"/>
  <c r="N28" i="1"/>
  <c r="Q40" i="1"/>
  <c r="R40" i="1" s="1"/>
  <c r="S40" i="1" s="1"/>
  <c r="N40" i="1"/>
  <c r="Q14" i="1"/>
  <c r="R14" i="1" s="1"/>
  <c r="S14" i="1" s="1"/>
  <c r="N14" i="1"/>
  <c r="Q4" i="1"/>
  <c r="R4" i="1" s="1"/>
  <c r="S4" i="1" s="1"/>
  <c r="N4" i="1"/>
  <c r="Q24" i="1"/>
  <c r="R24" i="1" s="1"/>
  <c r="S24" i="1" s="1"/>
  <c r="N24" i="1"/>
  <c r="P37" i="1"/>
  <c r="P34" i="1"/>
  <c r="P39" i="1"/>
  <c r="Q2" i="1" l="1"/>
  <c r="R2" i="1" s="1"/>
  <c r="S2" i="1" s="1"/>
</calcChain>
</file>

<file path=xl/comments1.xml><?xml version="1.0" encoding="utf-8"?>
<comments xmlns="http://schemas.openxmlformats.org/spreadsheetml/2006/main">
  <authors>
    <author>Rikke Leerberg Jørgensen</author>
  </authors>
  <commentList>
    <comment ref="B1" authorId="0">
      <text>
        <r>
          <rPr>
            <b/>
            <sz val="9"/>
            <color indexed="81"/>
            <rFont val="Tahoma"/>
            <family val="2"/>
          </rPr>
          <t>Rikke Leerberg Jørgensen:</t>
        </r>
        <r>
          <rPr>
            <sz val="9"/>
            <color indexed="81"/>
            <rFont val="Tahoma"/>
            <family val="2"/>
          </rPr>
          <t xml:space="preserve">
RET TIL</t>
        </r>
      </text>
    </comment>
    <comment ref="AO16" authorId="0">
      <text>
        <r>
          <rPr>
            <b/>
            <sz val="9"/>
            <color indexed="81"/>
            <rFont val="Tahoma"/>
            <family val="2"/>
          </rPr>
          <t>Rikke Leerberg Jørgensen:</t>
        </r>
        <r>
          <rPr>
            <sz val="9"/>
            <color indexed="81"/>
            <rFont val="Tahoma"/>
            <family val="2"/>
          </rPr>
          <t xml:space="preserve">
ændret efter mail af den 30. oktober 2013</t>
        </r>
      </text>
    </comment>
  </commentList>
</comments>
</file>

<file path=xl/comments2.xml><?xml version="1.0" encoding="utf-8"?>
<comments xmlns="http://schemas.openxmlformats.org/spreadsheetml/2006/main">
  <authors>
    <author>Forfatter</author>
  </authors>
  <commentList>
    <comment ref="C143" authorId="0">
      <text>
        <r>
          <rPr>
            <b/>
            <sz val="8"/>
            <color indexed="81"/>
            <rFont val="Tahoma"/>
            <family val="2"/>
          </rPr>
          <t>Forfatter:</t>
        </r>
        <r>
          <rPr>
            <sz val="8"/>
            <color indexed="81"/>
            <rFont val="Tahoma"/>
            <family val="2"/>
          </rPr>
          <t xml:space="preserve">
de skriver i bemærkning:
Gjøl Renseanlæg (MB)
</t>
        </r>
      </text>
    </comment>
  </commentList>
</comments>
</file>

<file path=xl/sharedStrings.xml><?xml version="1.0" encoding="utf-8"?>
<sst xmlns="http://schemas.openxmlformats.org/spreadsheetml/2006/main" count="698" uniqueCount="149">
  <si>
    <t>Selskabsnavn</t>
  </si>
  <si>
    <t>Ledning</t>
  </si>
  <si>
    <t>Pumpestationer</t>
  </si>
  <si>
    <t>Regnvandsbassiner</t>
  </si>
  <si>
    <t>Spildevandsbassiner</t>
  </si>
  <si>
    <t>Slambehandling</t>
  </si>
  <si>
    <t>Minirenseanlæg</t>
  </si>
  <si>
    <t>Kunder</t>
  </si>
  <si>
    <t>El</t>
  </si>
  <si>
    <t>Land (længde i km med dimension &lt;= 200 mm)</t>
  </si>
  <si>
    <t>Land (længde i km med dimension &gt; 200 mm)</t>
  </si>
  <si>
    <t>By (længde i km med dimension &lt;= 200 mm)</t>
  </si>
  <si>
    <t>By (længde i km med dimension &gt; 200 mm)</t>
  </si>
  <si>
    <t>City (længde i kilometer med dimension &lt;= 200 mm)</t>
  </si>
  <si>
    <t>City (længde i km med dimension &gt; 200 mm)</t>
  </si>
  <si>
    <t>Indre city (længde i km med dimension &lt;= 200 mm)</t>
  </si>
  <si>
    <t>Indre city (længde i km med dimension &gt; 200 mm)</t>
  </si>
  <si>
    <t>Antal husstandspumper (stk)</t>
  </si>
  <si>
    <t>0 l/s - 10 l/s (stk)</t>
  </si>
  <si>
    <t>Samlet kap. (ml 0 l/s -10 l/s)</t>
  </si>
  <si>
    <t>11 l/s - 100 l/s (stk)</t>
  </si>
  <si>
    <t>Samlet kap. (ml 11 l/s -10 0l/s)</t>
  </si>
  <si>
    <t>101 l/s - 300 l/s (stk)</t>
  </si>
  <si>
    <t>Samlet kap. (ml 101 l/s -300 l/s)</t>
  </si>
  <si>
    <t>301 l/s - 600 l/s (stk)</t>
  </si>
  <si>
    <t>Samlet kap. (ml 301 l/s -600 l/s)</t>
  </si>
  <si>
    <t>601 l/s - 1000 l/s (stk)</t>
  </si>
  <si>
    <t>Samlet kap. (ml 601 l/s -1000 l/s)</t>
  </si>
  <si>
    <t>over 1000 l/s (stk)</t>
  </si>
  <si>
    <t>Samlet kap. (over 1000 l/s)</t>
  </si>
  <si>
    <t>Antal (stk)</t>
  </si>
  <si>
    <t>Areal (m2)</t>
  </si>
  <si>
    <t>Volumen (m3)</t>
  </si>
  <si>
    <t>Tons tørstof A-slam</t>
  </si>
  <si>
    <t>Tons tørstof B-slam</t>
  </si>
  <si>
    <t>Tons tørstof C-slam</t>
  </si>
  <si>
    <t>Samlet kap. (PE)</t>
  </si>
  <si>
    <t>Antal målere (målere)</t>
  </si>
  <si>
    <t>Selskabets samlede el forbrug (kWt)</t>
  </si>
  <si>
    <t>Allerød Spildevand A/S</t>
  </si>
  <si>
    <t>Billund Spildevand A/S</t>
  </si>
  <si>
    <t>Bornholms Spildevand A/S</t>
  </si>
  <si>
    <t>Energi Viborg Spildevand A/S</t>
  </si>
  <si>
    <t>Esbjerg Spildevand A/S</t>
  </si>
  <si>
    <t>Fanø Vand A/S</t>
  </si>
  <si>
    <t>FFV Spildevand A/S</t>
  </si>
  <si>
    <t>Fredensborg Spildevand A/S</t>
  </si>
  <si>
    <t>Fredericia Spildevand A/S</t>
  </si>
  <si>
    <t>Gentofte Spildevand A/S</t>
  </si>
  <si>
    <t>Gribvand Spildevand A/S</t>
  </si>
  <si>
    <t>Guldborgsund Spildevand A/S</t>
  </si>
  <si>
    <t>Frederikshavn Spildevand A/S</t>
  </si>
  <si>
    <t>Halsnaes Forsyning A/S</t>
  </si>
  <si>
    <t>Hillerød Spildevand A/S</t>
  </si>
  <si>
    <t>HTK Kloak A/S</t>
  </si>
  <si>
    <t>Ikast-Brande Spildevand A/S</t>
  </si>
  <si>
    <t>Jammerbugt Forsyning A/S</t>
  </si>
  <si>
    <t>Kalundborg Spildevandsanlæg A/S</t>
  </si>
  <si>
    <t>Kerteminde Forsyning - Spildevand A/S</t>
  </si>
  <si>
    <t>Kolding Spildevand A/S</t>
  </si>
  <si>
    <t>Køge Afløb A/S</t>
  </si>
  <si>
    <t>Lyngby-Taarbæk Spildevand A/S</t>
  </si>
  <si>
    <t>Morsø Forsyning A/S</t>
  </si>
  <si>
    <t>Ishøj Spildevand A/S</t>
  </si>
  <si>
    <t>NFS Spildevand A/S</t>
  </si>
  <si>
    <t>Odder Spildevand A/S</t>
  </si>
  <si>
    <t>Samsø Spildevand A/S</t>
  </si>
  <si>
    <t>Syddjurs Spildevand A/S</t>
  </si>
  <si>
    <t>Vandcenter Syd as</t>
  </si>
  <si>
    <t>VARDE KLOAK OG SPILDEVAND A/S</t>
  </si>
  <si>
    <t>Vejle Spildevand a/s</t>
  </si>
  <si>
    <t>NK-Spildevand A/S</t>
  </si>
  <si>
    <t>Aarhus Vand A/S</t>
  </si>
  <si>
    <t>Rudersdal Forsyning A/S</t>
  </si>
  <si>
    <t>Silkeborg Spildevand A/S</t>
  </si>
  <si>
    <t>Skanderborg Forsyningsvirksomhed A/S</t>
  </si>
  <si>
    <t>Skive Vand A/S</t>
  </si>
  <si>
    <t>Solrød Spildevand A/S</t>
  </si>
  <si>
    <t>Spildevandscenter Avedøre I/S</t>
  </si>
  <si>
    <t>Vejen Forsyning A/S</t>
  </si>
  <si>
    <t>Zoneplacering (1=land, 2=by)</t>
  </si>
  <si>
    <t>Type af rensning (1=M, 2=MK,3= MBN, 4=MBNK/MBND, 5=MBNKD)</t>
  </si>
  <si>
    <t>Organisk Kapacitet (PE)</t>
  </si>
  <si>
    <t>Faktisk organisk belastningsgrad (PE)</t>
  </si>
  <si>
    <t>Netvolumenbidrag</t>
  </si>
  <si>
    <t>Alder</t>
  </si>
  <si>
    <t>Tæthed</t>
  </si>
  <si>
    <t>Netvolumemål</t>
  </si>
  <si>
    <t>Måler pr. ledning</t>
  </si>
  <si>
    <t>Netvolumenmål</t>
  </si>
  <si>
    <t>Alderskorrigeret netvolumenmål</t>
  </si>
  <si>
    <t>Tæthedskorrigeret netvolumenmål</t>
  </si>
  <si>
    <t>Pumpesta-tioner</t>
  </si>
  <si>
    <t>Regnvands-bassiner</t>
  </si>
  <si>
    <t>Rense-anlæg</t>
  </si>
  <si>
    <t>Slambe-handling</t>
  </si>
  <si>
    <t>Minirense-anlæg</t>
  </si>
  <si>
    <t>Spildevands-bassiner</t>
  </si>
  <si>
    <t>Selskabs navn</t>
  </si>
  <si>
    <t>Lolland Spildevand A/S</t>
  </si>
  <si>
    <t>Andel af netvolumenbidrag for renseanlæg</t>
  </si>
  <si>
    <t>Gns. af faktisk og organisk</t>
  </si>
  <si>
    <t>Netvolumenbidrag for renseanlæg uden konstant</t>
  </si>
  <si>
    <t>Total netvolumenbidrag for renseanlæg</t>
  </si>
  <si>
    <t>Arwos Spildevand A/S </t>
  </si>
  <si>
    <t>HOFOR Spildevand Dragør A/S </t>
  </si>
  <si>
    <t>HOFOR Spildevand Herlev A/S </t>
  </si>
  <si>
    <t>Hunseby Renseanlæg </t>
  </si>
  <si>
    <t>HOFOR Spildevand Hvidovre A/S </t>
  </si>
  <si>
    <t>HOFOR Spildevand København A/S </t>
  </si>
  <si>
    <t>Gruppe</t>
  </si>
  <si>
    <t>Umiddelbare
 krav i pct.</t>
  </si>
  <si>
    <t>Krav i pct.</t>
  </si>
  <si>
    <t>Costdriverandele</t>
  </si>
  <si>
    <t>Costdriverafvigelse</t>
  </si>
  <si>
    <t>Middelværdi</t>
  </si>
  <si>
    <t>Varians</t>
  </si>
  <si>
    <t>Standardafvigelse</t>
  </si>
  <si>
    <t>Standardafvigelse (minus)</t>
  </si>
  <si>
    <t>Potentiale med
 særlige forhold i pct.</t>
  </si>
  <si>
    <t>Potentiale med 
særlige forhold i kr.</t>
  </si>
  <si>
    <t>Rå potentiale i pct.</t>
  </si>
  <si>
    <t>Rå potentiale i kr.</t>
  </si>
  <si>
    <t>Potentiale med forsigtighedshensyn og evt. særlige forhold i pct.</t>
  </si>
  <si>
    <t>Potentiale med forsigtighedshensyn og evt. særlige forhold i kr.</t>
  </si>
  <si>
    <t>Netvolumenmål + evt. SF</t>
  </si>
  <si>
    <t>Alderskorrigeret netvolumenmål  + evt. SF</t>
  </si>
  <si>
    <t>Tæthedskorrigeret netvolumenmål + evt. SF</t>
  </si>
  <si>
    <t>Netvolumemål + SF</t>
  </si>
  <si>
    <t>Netvolumenmål + F20 og evt. SF</t>
  </si>
  <si>
    <t>Alderskorrigeret netvolumenmål + F20 og evt. SF</t>
  </si>
  <si>
    <t>Tæthedskorrigeret netvolumenmål + F20 og evt. SF</t>
  </si>
  <si>
    <t>Netvolumemål + F20 + SF</t>
  </si>
  <si>
    <t>DOiPL 2012
 i kr.</t>
  </si>
  <si>
    <t>FADO2011</t>
  </si>
  <si>
    <t>PRISTALS-FREMSKREVET FADO2011</t>
  </si>
  <si>
    <t>Renseanlæg</t>
  </si>
  <si>
    <t>Sum af ledninger, regnvandsbassiner og kunder</t>
  </si>
  <si>
    <t>Ledninger, regnvandsbassiner og kunders afvigelse fra middelværdi</t>
  </si>
  <si>
    <t>Til Reduktion</t>
  </si>
  <si>
    <t>Faktiske driftsomkostninger</t>
  </si>
  <si>
    <t>Tillæg for særlige forhold i kr.</t>
  </si>
  <si>
    <t>Afvigelse fra standard-afvigelse i pct.</t>
  </si>
  <si>
    <t>Reduktion i pct.</t>
  </si>
  <si>
    <t>Potentiale efter reduktion i pct.</t>
  </si>
  <si>
    <t>Potentiale efter reduktion i kr.</t>
  </si>
  <si>
    <t>Effektive drifts-omkostninger i kr.</t>
  </si>
  <si>
    <t>Forhøjelse til effektivt niveau</t>
  </si>
  <si>
    <t>Krav i kr.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</si>
</sst>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3" formatCode="_ * #,##0.00_ ;_ * \-#,##0.00_ ;_ * &quot;-&quot;??_ ;_ @_ "/>
    <numFmt numFmtId="164" formatCode="0.000"/>
    <numFmt numFmtId="165" formatCode="0.0"/>
    <numFmt numFmtId="166" formatCode="_(* #,##0.00_);_(* \(#,##0.00\);_(* &quot;-&quot;??_);_(@_)"/>
    <numFmt numFmtId="167" formatCode="0.00000"/>
    <numFmt numFmtId="168" formatCode="\(#,##0\);#,##0_)"/>
    <numFmt numFmtId="169" formatCode="#,##0_);\(#,##0\);0_);@"/>
    <numFmt numFmtId="170" formatCode="#,##0,_);\(#,##0,\)"/>
    <numFmt numFmtId="171" formatCode="\(#,##0,\);#,##0,_)"/>
    <numFmt numFmtId="172" formatCode="\(#,##0.00\);#,##0.00_)"/>
    <numFmt numFmtId="173" formatCode="_-* #,##0.00_-;\-* #,##0.00_-;_-* &quot;-&quot;??_-;_-@_-"/>
    <numFmt numFmtId="174" formatCode="0.0%"/>
    <numFmt numFmtId="175" formatCode="#,##0.0"/>
  </numFmts>
  <fonts count="5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name val="Times New Roman"/>
      <family val="1"/>
    </font>
    <font>
      <sz val="10"/>
      <name val="Arial"/>
      <family val="2"/>
    </font>
    <font>
      <b/>
      <sz val="11"/>
      <color theme="1"/>
      <name val="Calibri"/>
      <family val="2"/>
    </font>
    <font>
      <sz val="12"/>
      <name val="Times New Roman"/>
      <family val="1"/>
    </font>
    <font>
      <sz val="11"/>
      <name val="Arial"/>
      <family val="2"/>
    </font>
    <font>
      <b/>
      <sz val="1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5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8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0985">
    <xf numFmtId="0" fontId="0" fillId="0" borderId="0"/>
    <xf numFmtId="0" fontId="1" fillId="0" borderId="0"/>
    <xf numFmtId="0" fontId="7" fillId="0" borderId="0" applyNumberFormat="0" applyFill="0" applyBorder="0" applyAlignment="0" applyProtection="0"/>
    <xf numFmtId="0" fontId="8" fillId="0" borderId="31" applyNumberFormat="0" applyFill="0" applyAlignment="0" applyProtection="0"/>
    <xf numFmtId="0" fontId="9" fillId="0" borderId="32" applyNumberFormat="0" applyFill="0" applyAlignment="0" applyProtection="0"/>
    <xf numFmtId="0" fontId="10" fillId="0" borderId="33" applyNumberFormat="0" applyFill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34" applyNumberFormat="0" applyAlignment="0" applyProtection="0"/>
    <xf numFmtId="0" fontId="15" fillId="6" borderId="35" applyNumberFormat="0" applyAlignment="0" applyProtection="0"/>
    <xf numFmtId="0" fontId="16" fillId="6" borderId="34" applyNumberFormat="0" applyAlignment="0" applyProtection="0"/>
    <xf numFmtId="0" fontId="17" fillId="0" borderId="36" applyNumberFormat="0" applyFill="0" applyAlignment="0" applyProtection="0"/>
    <xf numFmtId="0" fontId="18" fillId="7" borderId="37" applyNumberFormat="0" applyAlignment="0" applyProtection="0"/>
    <xf numFmtId="0" fontId="19" fillId="0" borderId="0" applyNumberFormat="0" applyFill="0" applyBorder="0" applyAlignment="0" applyProtection="0"/>
    <xf numFmtId="0" fontId="1" fillId="8" borderId="38" applyNumberFormat="0" applyFont="0" applyAlignment="0" applyProtection="0"/>
    <xf numFmtId="0" fontId="20" fillId="0" borderId="0" applyNumberFormat="0" applyFill="0" applyBorder="0" applyAlignment="0" applyProtection="0"/>
    <xf numFmtId="0" fontId="2" fillId="0" borderId="39" applyNumberFormat="0" applyFill="0" applyAlignment="0" applyProtection="0"/>
    <xf numFmtId="0" fontId="2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1" fillId="32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37" fontId="23" fillId="0" borderId="0"/>
    <xf numFmtId="0" fontId="22" fillId="0" borderId="0"/>
    <xf numFmtId="0" fontId="24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4" borderId="0" applyNumberFormat="0" applyBorder="0" applyAlignment="0" applyProtection="0"/>
    <xf numFmtId="0" fontId="21" fillId="32" borderId="0" applyNumberFormat="0" applyBorder="0" applyAlignment="0" applyProtection="0"/>
    <xf numFmtId="0" fontId="1" fillId="8" borderId="38" applyNumberFormat="0" applyFont="0" applyAlignment="0" applyProtection="0"/>
    <xf numFmtId="166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2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8" applyNumberFormat="0" applyFont="0" applyAlignment="0" applyProtection="0"/>
    <xf numFmtId="166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6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3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37" fontId="23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3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169" fontId="22" fillId="0" borderId="0"/>
    <xf numFmtId="37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39" fontId="27" fillId="0" borderId="0" applyFont="0" applyFill="0" applyBorder="0" applyAlignment="0" applyProtection="0"/>
    <xf numFmtId="172" fontId="27" fillId="0" borderId="0" applyFont="0" applyFill="0" applyBorder="0" applyAlignment="0" applyProtection="0"/>
    <xf numFmtId="49" fontId="28" fillId="0" borderId="0" applyFill="0" applyBorder="0" applyProtection="0">
      <alignment horizontal="center"/>
    </xf>
    <xf numFmtId="37" fontId="28" fillId="0" borderId="44" applyFill="0" applyAlignment="0" applyProtection="0"/>
    <xf numFmtId="168" fontId="28" fillId="0" borderId="44" applyFill="0" applyAlignment="0" applyProtection="0"/>
    <xf numFmtId="170" fontId="28" fillId="0" borderId="44" applyFill="0" applyAlignment="0" applyProtection="0"/>
    <xf numFmtId="171" fontId="28" fillId="0" borderId="44" applyFill="0" applyAlignment="0" applyProtection="0"/>
    <xf numFmtId="166" fontId="22" fillId="0" borderId="0" applyFont="0" applyFill="0" applyBorder="0" applyAlignment="0" applyProtection="0"/>
    <xf numFmtId="0" fontId="29" fillId="34" borderId="0" applyNumberFormat="0" applyBorder="0" applyAlignment="0" applyProtection="0"/>
    <xf numFmtId="0" fontId="29" fillId="35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38" borderId="0" applyNumberFormat="0" applyBorder="0" applyAlignment="0" applyProtection="0"/>
    <xf numFmtId="0" fontId="29" fillId="39" borderId="0" applyNumberFormat="0" applyBorder="0" applyAlignment="0" applyProtection="0"/>
    <xf numFmtId="0" fontId="29" fillId="40" borderId="0" applyNumberFormat="0" applyBorder="0" applyAlignment="0" applyProtection="0"/>
    <xf numFmtId="0" fontId="29" fillId="41" borderId="0" applyNumberFormat="0" applyBorder="0" applyAlignment="0" applyProtection="0"/>
    <xf numFmtId="0" fontId="29" fillId="42" borderId="0" applyNumberFormat="0" applyBorder="0" applyAlignment="0" applyProtection="0"/>
    <xf numFmtId="0" fontId="29" fillId="37" borderId="0" applyNumberFormat="0" applyBorder="0" applyAlignment="0" applyProtection="0"/>
    <xf numFmtId="0" fontId="29" fillId="40" borderId="0" applyNumberFormat="0" applyBorder="0" applyAlignment="0" applyProtection="0"/>
    <xf numFmtId="0" fontId="29" fillId="43" borderId="0" applyNumberFormat="0" applyBorder="0" applyAlignment="0" applyProtection="0"/>
    <xf numFmtId="0" fontId="30" fillId="44" borderId="0" applyNumberFormat="0" applyBorder="0" applyAlignment="0" applyProtection="0"/>
    <xf numFmtId="0" fontId="30" fillId="41" borderId="0" applyNumberFormat="0" applyBorder="0" applyAlignment="0" applyProtection="0"/>
    <xf numFmtId="0" fontId="30" fillId="42" borderId="0" applyNumberFormat="0" applyBorder="0" applyAlignment="0" applyProtection="0"/>
    <xf numFmtId="0" fontId="30" fillId="45" borderId="0" applyNumberFormat="0" applyBorder="0" applyAlignment="0" applyProtection="0"/>
    <xf numFmtId="0" fontId="30" fillId="46" borderId="0" applyNumberFormat="0" applyBorder="0" applyAlignment="0" applyProtection="0"/>
    <xf numFmtId="0" fontId="30" fillId="47" borderId="0" applyNumberFormat="0" applyBorder="0" applyAlignment="0" applyProtection="0"/>
    <xf numFmtId="0" fontId="30" fillId="48" borderId="0" applyNumberFormat="0" applyBorder="0" applyAlignment="0" applyProtection="0"/>
    <xf numFmtId="0" fontId="30" fillId="49" borderId="0" applyNumberFormat="0" applyBorder="0" applyAlignment="0" applyProtection="0"/>
    <xf numFmtId="0" fontId="30" fillId="50" borderId="0" applyNumberFormat="0" applyBorder="0" applyAlignment="0" applyProtection="0"/>
    <xf numFmtId="0" fontId="30" fillId="45" borderId="0" applyNumberFormat="0" applyBorder="0" applyAlignment="0" applyProtection="0"/>
    <xf numFmtId="0" fontId="30" fillId="46" borderId="0" applyNumberFormat="0" applyBorder="0" applyAlignment="0" applyProtection="0"/>
    <xf numFmtId="0" fontId="30" fillId="51" borderId="0" applyNumberFormat="0" applyBorder="0" applyAlignment="0" applyProtection="0"/>
    <xf numFmtId="0" fontId="31" fillId="35" borderId="0" applyNumberFormat="0" applyBorder="0" applyAlignment="0" applyProtection="0"/>
    <xf numFmtId="0" fontId="32" fillId="52" borderId="45" applyNumberFormat="0" applyAlignment="0" applyProtection="0"/>
    <xf numFmtId="0" fontId="33" fillId="53" borderId="46" applyNumberFormat="0" applyAlignment="0" applyProtection="0"/>
    <xf numFmtId="173" fontId="22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35" fillId="36" borderId="0" applyNumberFormat="0" applyBorder="0" applyAlignment="0" applyProtection="0"/>
    <xf numFmtId="0" fontId="36" fillId="0" borderId="47" applyNumberFormat="0" applyFill="0" applyAlignment="0" applyProtection="0"/>
    <xf numFmtId="0" fontId="37" fillId="0" borderId="48" applyNumberFormat="0" applyFill="0" applyAlignment="0" applyProtection="0"/>
    <xf numFmtId="0" fontId="38" fillId="0" borderId="49" applyNumberFormat="0" applyFill="0" applyAlignment="0" applyProtection="0"/>
    <xf numFmtId="0" fontId="38" fillId="0" borderId="0" applyNumberFormat="0" applyFill="0" applyBorder="0" applyAlignment="0" applyProtection="0"/>
    <xf numFmtId="0" fontId="39" fillId="39" borderId="45" applyNumberFormat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0" fontId="40" fillId="0" borderId="50" applyNumberFormat="0" applyFill="0" applyAlignment="0" applyProtection="0"/>
    <xf numFmtId="0" fontId="41" fillId="54" borderId="0" applyNumberFormat="0" applyBorder="0" applyAlignment="0" applyProtection="0"/>
    <xf numFmtId="0" fontId="22" fillId="55" borderId="51" applyNumberFormat="0" applyFont="0" applyAlignment="0" applyProtection="0"/>
    <xf numFmtId="0" fontId="42" fillId="52" borderId="52" applyNumberFormat="0" applyAlignment="0" applyProtection="0"/>
    <xf numFmtId="9" fontId="26" fillId="0" borderId="0" applyFon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53" applyNumberFormat="0" applyFill="0" applyAlignment="0" applyProtection="0"/>
    <xf numFmtId="0" fontId="45" fillId="0" borderId="0" applyNumberFormat="0" applyFill="0" applyBorder="0" applyAlignment="0" applyProtection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2" fillId="0" borderId="0"/>
    <xf numFmtId="0" fontId="22" fillId="0" borderId="0"/>
    <xf numFmtId="166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2" fillId="0" borderId="0"/>
    <xf numFmtId="166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166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2" fillId="0" borderId="0"/>
    <xf numFmtId="166" fontId="22" fillId="0" borderId="0" applyFont="0" applyFill="0" applyBorder="0" applyAlignment="0" applyProtection="0"/>
    <xf numFmtId="37" fontId="23" fillId="0" borderId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8" fillId="0" borderId="0"/>
    <xf numFmtId="0" fontId="49" fillId="0" borderId="0"/>
    <xf numFmtId="0" fontId="1" fillId="0" borderId="0"/>
    <xf numFmtId="0" fontId="1" fillId="0" borderId="0"/>
    <xf numFmtId="0" fontId="1" fillId="8" borderId="3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3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3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3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8" borderId="3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3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3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3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0" fontId="1" fillId="0" borderId="0"/>
    <xf numFmtId="0" fontId="1" fillId="8" borderId="3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3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3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3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3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3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3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3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3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3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3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3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3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37" fontId="23" fillId="0" borderId="0"/>
    <xf numFmtId="0" fontId="22" fillId="0" borderId="0"/>
    <xf numFmtId="0" fontId="22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3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3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3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8" borderId="3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3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3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3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3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3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3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3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3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3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3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3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3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3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3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3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3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3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3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3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2" fillId="0" borderId="0"/>
    <xf numFmtId="166" fontId="2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3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3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3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3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3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3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3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3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3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3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3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3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3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3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3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3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3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3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3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3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3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3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0" fillId="0" borderId="0"/>
    <xf numFmtId="166" fontId="2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3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3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3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3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3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3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3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3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3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3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3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3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3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3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3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3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3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3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3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3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3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3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3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3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8" borderId="3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3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3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3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3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3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3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3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3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3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3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3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3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3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3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3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3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3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3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3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3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3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3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3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3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3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3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3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3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3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3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3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3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3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3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3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3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3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3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3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3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3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3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3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3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3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26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38" applyNumberFormat="0" applyFont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9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22" borderId="0" applyNumberFormat="0" applyBorder="0" applyAlignment="0" applyProtection="0"/>
    <xf numFmtId="43" fontId="1" fillId="0" borderId="0" applyFont="0" applyFill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38" applyNumberFormat="0" applyFont="0" applyAlignment="0" applyProtection="0"/>
    <xf numFmtId="0" fontId="1" fillId="18" borderId="0" applyNumberFormat="0" applyBorder="0" applyAlignment="0" applyProtection="0"/>
    <xf numFmtId="0" fontId="1" fillId="8" borderId="38" applyNumberFormat="0" applyFont="0" applyAlignment="0" applyProtection="0"/>
    <xf numFmtId="0" fontId="1" fillId="1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3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3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3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3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3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3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3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7" fontId="23" fillId="0" borderId="0"/>
    <xf numFmtId="0" fontId="22" fillId="0" borderId="0"/>
    <xf numFmtId="0" fontId="22" fillId="0" borderId="0"/>
    <xf numFmtId="0" fontId="22" fillId="0" borderId="0"/>
    <xf numFmtId="0" fontId="22" fillId="0" borderId="0"/>
  </cellStyleXfs>
  <cellXfs count="278">
    <xf numFmtId="0" fontId="0" fillId="0" borderId="0" xfId="0"/>
    <xf numFmtId="0" fontId="2" fillId="0" borderId="6" xfId="0" applyFont="1" applyBorder="1"/>
    <xf numFmtId="0" fontId="2" fillId="0" borderId="16" xfId="0" applyFont="1" applyBorder="1" applyAlignment="1">
      <alignment horizontal="center"/>
    </xf>
    <xf numFmtId="0" fontId="2" fillId="0" borderId="16" xfId="0" applyFont="1" applyBorder="1"/>
    <xf numFmtId="0" fontId="2" fillId="0" borderId="23" xfId="0" applyFont="1" applyBorder="1" applyAlignment="1">
      <alignment wrapText="1"/>
    </xf>
    <xf numFmtId="0" fontId="3" fillId="0" borderId="0" xfId="0" applyFont="1" applyFill="1" applyBorder="1" applyAlignment="1">
      <alignment horizontal="left" vertical="center"/>
    </xf>
    <xf numFmtId="0" fontId="0" fillId="0" borderId="0" xfId="0" applyFont="1" applyFill="1"/>
    <xf numFmtId="0" fontId="2" fillId="0" borderId="16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wrapText="1"/>
    </xf>
    <xf numFmtId="0" fontId="2" fillId="0" borderId="1" xfId="0" applyFont="1" applyBorder="1"/>
    <xf numFmtId="0" fontId="2" fillId="0" borderId="0" xfId="0" applyFont="1"/>
    <xf numFmtId="0" fontId="0" fillId="0" borderId="0" xfId="0" applyFill="1" applyBorder="1" applyAlignment="1">
      <alignment horizontal="left"/>
    </xf>
    <xf numFmtId="0" fontId="2" fillId="0" borderId="22" xfId="0" applyFont="1" applyBorder="1" applyAlignment="1">
      <alignment wrapText="1"/>
    </xf>
    <xf numFmtId="0" fontId="2" fillId="0" borderId="21" xfId="0" applyFont="1" applyBorder="1" applyAlignment="1">
      <alignment wrapText="1"/>
    </xf>
    <xf numFmtId="0" fontId="2" fillId="0" borderId="0" xfId="0" applyFont="1" applyBorder="1" applyAlignment="1">
      <alignment wrapText="1"/>
    </xf>
    <xf numFmtId="1" fontId="0" fillId="0" borderId="0" xfId="0" applyNumberFormat="1"/>
    <xf numFmtId="0" fontId="0" fillId="0" borderId="0" xfId="0"/>
    <xf numFmtId="1" fontId="0" fillId="0" borderId="0" xfId="0" applyNumberFormat="1"/>
    <xf numFmtId="0" fontId="0" fillId="0" borderId="0" xfId="0"/>
    <xf numFmtId="3" fontId="0" fillId="0" borderId="0" xfId="0" applyNumberFormat="1"/>
    <xf numFmtId="165" fontId="0" fillId="0" borderId="0" xfId="0" applyNumberFormat="1"/>
    <xf numFmtId="0" fontId="0" fillId="0" borderId="25" xfId="0" applyFont="1" applyFill="1" applyBorder="1" applyAlignment="1">
      <alignment horizontal="left" vertical="center" wrapText="1"/>
    </xf>
    <xf numFmtId="0" fontId="0" fillId="0" borderId="22" xfId="0" applyFont="1" applyFill="1" applyBorder="1" applyAlignment="1">
      <alignment horizontal="left" vertical="center" wrapText="1"/>
    </xf>
    <xf numFmtId="0" fontId="0" fillId="0" borderId="23" xfId="0" applyFont="1" applyFill="1" applyBorder="1" applyAlignment="1">
      <alignment horizontal="left" vertical="center" wrapText="1"/>
    </xf>
    <xf numFmtId="0" fontId="0" fillId="0" borderId="21" xfId="0" applyFont="1" applyFill="1" applyBorder="1" applyAlignment="1">
      <alignment horizontal="left" vertical="center" wrapText="1"/>
    </xf>
    <xf numFmtId="0" fontId="0" fillId="0" borderId="24" xfId="0" applyFont="1" applyFill="1" applyBorder="1" applyAlignment="1">
      <alignment horizontal="left" vertical="center" wrapText="1"/>
    </xf>
    <xf numFmtId="0" fontId="0" fillId="0" borderId="15" xfId="0" applyFill="1" applyBorder="1" applyAlignment="1">
      <alignment horizontal="left"/>
    </xf>
    <xf numFmtId="0" fontId="0" fillId="0" borderId="0" xfId="0" applyFill="1" applyBorder="1"/>
    <xf numFmtId="3" fontId="0" fillId="0" borderId="0" xfId="0" applyNumberFormat="1"/>
    <xf numFmtId="0" fontId="2" fillId="0" borderId="41" xfId="0" applyFont="1" applyBorder="1" applyAlignment="1">
      <alignment wrapText="1"/>
    </xf>
    <xf numFmtId="0" fontId="2" fillId="0" borderId="42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43" xfId="0" applyFont="1" applyBorder="1" applyAlignment="1">
      <alignment wrapText="1"/>
    </xf>
    <xf numFmtId="0" fontId="0" fillId="0" borderId="2" xfId="0" applyFill="1" applyBorder="1" applyAlignment="1">
      <alignment horizontal="left"/>
    </xf>
    <xf numFmtId="0" fontId="0" fillId="0" borderId="26" xfId="0" applyFill="1" applyBorder="1" applyAlignment="1">
      <alignment horizontal="left"/>
    </xf>
    <xf numFmtId="3" fontId="0" fillId="0" borderId="0" xfId="0" applyNumberFormat="1" applyFill="1"/>
    <xf numFmtId="165" fontId="0" fillId="0" borderId="0" xfId="0" applyNumberFormat="1" applyFill="1"/>
    <xf numFmtId="0" fontId="0" fillId="0" borderId="0" xfId="0" applyFill="1"/>
    <xf numFmtId="167" fontId="0" fillId="0" borderId="0" xfId="0" applyNumberFormat="1" applyFill="1"/>
    <xf numFmtId="164" fontId="0" fillId="0" borderId="5" xfId="0" applyNumberFormat="1" applyFill="1" applyBorder="1"/>
    <xf numFmtId="3" fontId="0" fillId="0" borderId="0" xfId="0" applyNumberFormat="1" applyFill="1"/>
    <xf numFmtId="3" fontId="0" fillId="0" borderId="30" xfId="0" applyNumberFormat="1" applyFill="1" applyBorder="1"/>
    <xf numFmtId="3" fontId="0" fillId="0" borderId="7" xfId="0" applyNumberFormat="1" applyFill="1" applyBorder="1"/>
    <xf numFmtId="3" fontId="0" fillId="0" borderId="3" xfId="0" applyNumberFormat="1" applyFill="1" applyBorder="1"/>
    <xf numFmtId="0" fontId="2" fillId="0" borderId="16" xfId="0" applyFont="1" applyBorder="1" applyAlignment="1">
      <alignment wrapText="1"/>
    </xf>
    <xf numFmtId="3" fontId="0" fillId="0" borderId="58" xfId="0" applyNumberFormat="1" applyFont="1" applyFill="1" applyBorder="1" applyAlignment="1">
      <alignment horizontal="right" wrapText="1"/>
    </xf>
    <xf numFmtId="3" fontId="0" fillId="0" borderId="19" xfId="0" applyNumberFormat="1" applyFont="1" applyFill="1" applyBorder="1" applyAlignment="1">
      <alignment horizontal="right" wrapText="1"/>
    </xf>
    <xf numFmtId="3" fontId="0" fillId="0" borderId="13" xfId="0" applyNumberFormat="1" applyFont="1" applyFill="1" applyBorder="1" applyAlignment="1">
      <alignment horizontal="left"/>
    </xf>
    <xf numFmtId="3" fontId="2" fillId="0" borderId="42" xfId="0" applyNumberFormat="1" applyFont="1" applyFill="1" applyBorder="1" applyAlignment="1">
      <alignment vertical="center" wrapText="1"/>
    </xf>
    <xf numFmtId="0" fontId="2" fillId="0" borderId="16" xfId="0" applyFont="1" applyFill="1" applyBorder="1" applyAlignment="1">
      <alignment wrapText="1"/>
    </xf>
    <xf numFmtId="3" fontId="0" fillId="0" borderId="62" xfId="0" applyNumberFormat="1" applyFont="1" applyFill="1" applyBorder="1" applyAlignment="1">
      <alignment horizontal="right" wrapText="1"/>
    </xf>
    <xf numFmtId="3" fontId="0" fillId="0" borderId="57" xfId="0" applyNumberFormat="1" applyFill="1" applyBorder="1"/>
    <xf numFmtId="3" fontId="0" fillId="0" borderId="14" xfId="0" applyNumberFormat="1" applyFont="1" applyFill="1" applyBorder="1" applyAlignment="1">
      <alignment horizontal="right"/>
    </xf>
    <xf numFmtId="3" fontId="0" fillId="0" borderId="29" xfId="0" applyNumberFormat="1" applyFont="1" applyBorder="1"/>
    <xf numFmtId="3" fontId="2" fillId="0" borderId="41" xfId="0" applyNumberFormat="1" applyFont="1" applyBorder="1" applyAlignment="1">
      <alignment vertical="center" wrapText="1"/>
    </xf>
    <xf numFmtId="3" fontId="0" fillId="0" borderId="41" xfId="0" applyNumberFormat="1" applyFont="1" applyFill="1" applyBorder="1" applyAlignment="1"/>
    <xf numFmtId="0" fontId="2" fillId="0" borderId="22" xfId="0" applyFont="1" applyFill="1" applyBorder="1" applyAlignment="1">
      <alignment horizontal="center" vertical="center" wrapText="1"/>
    </xf>
    <xf numFmtId="3" fontId="0" fillId="0" borderId="65" xfId="0" applyNumberFormat="1" applyFont="1" applyFill="1" applyBorder="1"/>
    <xf numFmtId="3" fontId="0" fillId="0" borderId="13" xfId="0" applyNumberFormat="1" applyFont="1" applyFill="1" applyBorder="1" applyAlignment="1">
      <alignment horizontal="left" vertical="top"/>
    </xf>
    <xf numFmtId="3" fontId="0" fillId="0" borderId="16" xfId="0" applyNumberFormat="1" applyFont="1" applyFill="1" applyBorder="1"/>
    <xf numFmtId="3" fontId="0" fillId="0" borderId="29" xfId="0" applyNumberFormat="1" applyFill="1" applyBorder="1"/>
    <xf numFmtId="3" fontId="0" fillId="0" borderId="30" xfId="0" applyNumberFormat="1" applyFont="1" applyBorder="1"/>
    <xf numFmtId="3" fontId="0" fillId="0" borderId="21" xfId="0" applyNumberFormat="1" applyFont="1" applyFill="1" applyBorder="1" applyAlignment="1"/>
    <xf numFmtId="3" fontId="0" fillId="0" borderId="13" xfId="0" applyNumberFormat="1" applyFont="1" applyFill="1" applyBorder="1" applyAlignment="1"/>
    <xf numFmtId="3" fontId="2" fillId="0" borderId="1" xfId="0" applyNumberFormat="1" applyFont="1" applyBorder="1" applyAlignment="1">
      <alignment vertical="center" wrapText="1"/>
    </xf>
    <xf numFmtId="164" fontId="0" fillId="0" borderId="1" xfId="0" applyNumberFormat="1" applyFill="1" applyBorder="1"/>
    <xf numFmtId="3" fontId="0" fillId="0" borderId="22" xfId="0" applyNumberFormat="1" applyFont="1" applyFill="1" applyBorder="1" applyAlignment="1">
      <alignment horizontal="right" wrapText="1"/>
    </xf>
    <xf numFmtId="3" fontId="0" fillId="0" borderId="0" xfId="0" applyNumberFormat="1" applyFont="1" applyFill="1" applyBorder="1"/>
    <xf numFmtId="3" fontId="0" fillId="0" borderId="5" xfId="0" applyNumberFormat="1" applyFill="1" applyBorder="1"/>
    <xf numFmtId="3" fontId="0" fillId="0" borderId="1" xfId="0" applyNumberFormat="1" applyFont="1" applyBorder="1"/>
    <xf numFmtId="3" fontId="0" fillId="0" borderId="19" xfId="0" applyNumberFormat="1" applyFont="1" applyFill="1" applyBorder="1" applyAlignment="1">
      <alignment horizontal="right" vertical="top" wrapText="1"/>
    </xf>
    <xf numFmtId="3" fontId="2" fillId="0" borderId="43" xfId="0" applyNumberFormat="1" applyFont="1" applyBorder="1" applyAlignment="1">
      <alignment vertical="center"/>
    </xf>
    <xf numFmtId="3" fontId="0" fillId="0" borderId="13" xfId="0" applyNumberFormat="1" applyFont="1" applyFill="1" applyBorder="1"/>
    <xf numFmtId="3" fontId="0" fillId="0" borderId="43" xfId="0" applyNumberFormat="1" applyFont="1" applyFill="1" applyBorder="1" applyAlignment="1"/>
    <xf numFmtId="3" fontId="0" fillId="0" borderId="68" xfId="0" applyNumberFormat="1" applyFont="1" applyFill="1" applyBorder="1"/>
    <xf numFmtId="3" fontId="0" fillId="0" borderId="4" xfId="0" applyNumberFormat="1" applyFont="1" applyFill="1" applyBorder="1" applyAlignment="1">
      <alignment horizontal="left"/>
    </xf>
    <xf numFmtId="3" fontId="0" fillId="0" borderId="24" xfId="0" applyNumberFormat="1" applyFont="1" applyFill="1" applyBorder="1"/>
    <xf numFmtId="3" fontId="0" fillId="0" borderId="43" xfId="0" applyNumberFormat="1" applyFill="1" applyBorder="1"/>
    <xf numFmtId="3" fontId="0" fillId="0" borderId="8" xfId="0" applyNumberFormat="1" applyFont="1" applyBorder="1"/>
    <xf numFmtId="3" fontId="0" fillId="0" borderId="22" xfId="0" applyNumberFormat="1" applyFont="1" applyFill="1" applyBorder="1" applyAlignment="1"/>
    <xf numFmtId="3" fontId="0" fillId="0" borderId="12" xfId="0" applyNumberFormat="1" applyFont="1" applyFill="1" applyBorder="1"/>
    <xf numFmtId="3" fontId="0" fillId="0" borderId="62" xfId="0" applyNumberFormat="1" applyFont="1" applyFill="1" applyBorder="1" applyAlignment="1"/>
    <xf numFmtId="3" fontId="2" fillId="0" borderId="16" xfId="0" applyNumberFormat="1" applyFont="1" applyFill="1" applyBorder="1" applyAlignment="1">
      <alignment vertical="center"/>
    </xf>
    <xf numFmtId="3" fontId="0" fillId="0" borderId="0" xfId="0" applyNumberFormat="1" applyFill="1" applyBorder="1"/>
    <xf numFmtId="3" fontId="0" fillId="0" borderId="71" xfId="0" applyNumberFormat="1" applyFill="1" applyBorder="1"/>
    <xf numFmtId="3" fontId="0" fillId="0" borderId="19" xfId="0" applyNumberFormat="1" applyFont="1" applyFill="1" applyBorder="1"/>
    <xf numFmtId="3" fontId="0" fillId="0" borderId="26" xfId="0" applyNumberFormat="1" applyFont="1" applyFill="1" applyBorder="1" applyAlignment="1">
      <alignment horizontal="left"/>
    </xf>
    <xf numFmtId="3" fontId="0" fillId="0" borderId="1" xfId="0" applyNumberFormat="1" applyFont="1" applyFill="1" applyBorder="1"/>
    <xf numFmtId="3" fontId="0" fillId="0" borderId="18" xfId="0" applyNumberFormat="1" applyFont="1" applyFill="1" applyBorder="1" applyAlignment="1">
      <alignment horizontal="left" vertical="top"/>
    </xf>
    <xf numFmtId="3" fontId="0" fillId="0" borderId="61" xfId="0" applyNumberFormat="1" applyFont="1" applyFill="1" applyBorder="1"/>
    <xf numFmtId="3" fontId="0" fillId="0" borderId="58" xfId="0" applyNumberFormat="1" applyFont="1" applyFill="1" applyBorder="1" applyAlignment="1"/>
    <xf numFmtId="0" fontId="3" fillId="0" borderId="1" xfId="0" applyFont="1" applyFill="1" applyBorder="1" applyAlignment="1">
      <alignment vertical="center" wrapText="1"/>
    </xf>
    <xf numFmtId="3" fontId="0" fillId="0" borderId="6" xfId="0" applyNumberFormat="1" applyFont="1" applyFill="1" applyBorder="1"/>
    <xf numFmtId="3" fontId="0" fillId="0" borderId="62" xfId="0" applyNumberFormat="1" applyFont="1" applyFill="1" applyBorder="1" applyAlignment="1">
      <alignment horizontal="right" vertical="top" wrapText="1"/>
    </xf>
    <xf numFmtId="3" fontId="0" fillId="0" borderId="27" xfId="0" applyNumberFormat="1" applyFill="1" applyBorder="1"/>
    <xf numFmtId="3" fontId="0" fillId="0" borderId="14" xfId="0" applyNumberFormat="1" applyFont="1" applyFill="1" applyBorder="1" applyAlignment="1">
      <alignment horizontal="right" wrapText="1"/>
    </xf>
    <xf numFmtId="3" fontId="0" fillId="0" borderId="2" xfId="0" applyNumberFormat="1" applyFill="1" applyBorder="1"/>
    <xf numFmtId="3" fontId="0" fillId="0" borderId="22" xfId="0" applyNumberFormat="1" applyFont="1" applyFill="1" applyBorder="1" applyAlignment="1">
      <alignment horizontal="right" vertical="top" wrapText="1"/>
    </xf>
    <xf numFmtId="3" fontId="0" fillId="0" borderId="66" xfId="0" applyNumberFormat="1" applyFont="1" applyFill="1" applyBorder="1"/>
    <xf numFmtId="3" fontId="0" fillId="0" borderId="61" xfId="0" applyNumberFormat="1" applyFont="1" applyFill="1" applyBorder="1" applyAlignment="1"/>
    <xf numFmtId="3" fontId="2" fillId="0" borderId="0" xfId="0" applyNumberFormat="1" applyFont="1" applyFill="1" applyBorder="1" applyAlignment="1">
      <alignment wrapText="1"/>
    </xf>
    <xf numFmtId="3" fontId="0" fillId="0" borderId="70" xfId="0" applyNumberFormat="1" applyFill="1" applyBorder="1"/>
    <xf numFmtId="3" fontId="0" fillId="0" borderId="62" xfId="0" applyNumberFormat="1" applyFont="1" applyFill="1" applyBorder="1"/>
    <xf numFmtId="3" fontId="0" fillId="0" borderId="19" xfId="0" applyNumberFormat="1" applyFont="1" applyFill="1" applyBorder="1" applyAlignment="1"/>
    <xf numFmtId="3" fontId="0" fillId="0" borderId="3" xfId="0" applyNumberFormat="1" applyFont="1" applyBorder="1"/>
    <xf numFmtId="3" fontId="0" fillId="0" borderId="8" xfId="0" applyNumberFormat="1" applyFill="1" applyBorder="1"/>
    <xf numFmtId="3" fontId="0" fillId="0" borderId="42" xfId="0" applyNumberFormat="1" applyFont="1" applyFill="1" applyBorder="1"/>
    <xf numFmtId="3" fontId="0" fillId="0" borderId="0" xfId="0" applyNumberFormat="1" applyFont="1" applyBorder="1"/>
    <xf numFmtId="3" fontId="0" fillId="0" borderId="2" xfId="0" applyNumberFormat="1" applyFont="1" applyFill="1" applyBorder="1" applyAlignment="1">
      <alignment horizontal="left"/>
    </xf>
    <xf numFmtId="3" fontId="0" fillId="0" borderId="41" xfId="0" applyNumberFormat="1" applyFont="1" applyFill="1" applyBorder="1" applyAlignment="1">
      <alignment horizontal="right" vertical="top" wrapText="1"/>
    </xf>
    <xf numFmtId="3" fontId="0" fillId="0" borderId="64" xfId="0" applyNumberFormat="1" applyFont="1" applyFill="1" applyBorder="1" applyAlignment="1"/>
    <xf numFmtId="3" fontId="0" fillId="0" borderId="17" xfId="0" applyNumberFormat="1" applyFont="1" applyFill="1" applyBorder="1"/>
    <xf numFmtId="0" fontId="3" fillId="0" borderId="4" xfId="0" applyFont="1" applyFill="1" applyBorder="1" applyAlignment="1">
      <alignment vertical="center" wrapText="1"/>
    </xf>
    <xf numFmtId="3" fontId="0" fillId="0" borderId="14" xfId="0" applyNumberFormat="1" applyFont="1" applyFill="1" applyBorder="1"/>
    <xf numFmtId="3" fontId="0" fillId="0" borderId="61" xfId="0" applyNumberFormat="1" applyFont="1" applyFill="1" applyBorder="1" applyAlignment="1">
      <alignment horizontal="left" vertical="top"/>
    </xf>
    <xf numFmtId="3" fontId="0" fillId="0" borderId="26" xfId="0" applyNumberFormat="1" applyFill="1" applyBorder="1"/>
    <xf numFmtId="3" fontId="0" fillId="0" borderId="58" xfId="0" applyNumberFormat="1" applyFont="1" applyFill="1" applyBorder="1" applyAlignment="1">
      <alignment horizontal="right" vertical="top" wrapText="1"/>
    </xf>
    <xf numFmtId="3" fontId="0" fillId="0" borderId="21" xfId="0" applyNumberFormat="1" applyFont="1" applyFill="1" applyBorder="1" applyAlignment="1">
      <alignment horizontal="left"/>
    </xf>
    <xf numFmtId="3" fontId="0" fillId="0" borderId="18" xfId="0" applyNumberFormat="1" applyFont="1" applyFill="1" applyBorder="1" applyAlignment="1">
      <alignment horizontal="left"/>
    </xf>
    <xf numFmtId="3" fontId="2" fillId="0" borderId="1" xfId="0" applyNumberFormat="1" applyFont="1" applyFill="1" applyBorder="1" applyAlignment="1">
      <alignment vertical="center" wrapText="1"/>
    </xf>
    <xf numFmtId="3" fontId="0" fillId="0" borderId="14" xfId="0" applyNumberFormat="1" applyFont="1" applyFill="1" applyBorder="1" applyAlignment="1"/>
    <xf numFmtId="3" fontId="0" fillId="0" borderId="69" xfId="0" applyNumberFormat="1" applyFill="1" applyBorder="1"/>
    <xf numFmtId="3" fontId="0" fillId="0" borderId="43" xfId="0" applyNumberFormat="1" applyFont="1" applyFill="1" applyBorder="1" applyAlignment="1">
      <alignment horizontal="left"/>
    </xf>
    <xf numFmtId="3" fontId="0" fillId="0" borderId="18" xfId="0" applyNumberFormat="1" applyFont="1" applyFill="1" applyBorder="1" applyAlignment="1"/>
    <xf numFmtId="3" fontId="0" fillId="0" borderId="5" xfId="0" applyNumberFormat="1" applyFont="1" applyBorder="1"/>
    <xf numFmtId="3" fontId="0" fillId="0" borderId="54" xfId="0" applyNumberFormat="1" applyFont="1" applyFill="1" applyBorder="1"/>
    <xf numFmtId="3" fontId="0" fillId="0" borderId="14" xfId="0" applyNumberFormat="1" applyFont="1" applyFill="1" applyBorder="1" applyAlignment="1">
      <alignment horizontal="right" vertical="top" wrapText="1"/>
    </xf>
    <xf numFmtId="164" fontId="0" fillId="0" borderId="8" xfId="0" applyNumberFormat="1" applyFill="1" applyBorder="1"/>
    <xf numFmtId="3" fontId="0" fillId="0" borderId="41" xfId="0" applyNumberFormat="1" applyFont="1" applyFill="1" applyBorder="1" applyAlignment="1">
      <alignment horizontal="right" wrapText="1"/>
    </xf>
    <xf numFmtId="3" fontId="0" fillId="0" borderId="0" xfId="0" applyNumberFormat="1" applyFont="1"/>
    <xf numFmtId="3" fontId="0" fillId="0" borderId="67" xfId="0" applyNumberFormat="1" applyFont="1" applyFill="1" applyBorder="1"/>
    <xf numFmtId="3" fontId="2" fillId="0" borderId="16" xfId="0" applyNumberFormat="1" applyFont="1" applyBorder="1" applyAlignment="1">
      <alignment vertical="center" wrapText="1"/>
    </xf>
    <xf numFmtId="3" fontId="0" fillId="0" borderId="41" xfId="0" applyNumberFormat="1" applyFill="1" applyBorder="1"/>
    <xf numFmtId="0" fontId="2" fillId="0" borderId="21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16" xfId="0" applyFont="1" applyFill="1" applyBorder="1" applyAlignment="1">
      <alignment horizontal="left" vertical="center" wrapText="1"/>
    </xf>
    <xf numFmtId="0" fontId="0" fillId="0" borderId="11" xfId="0" applyFill="1" applyBorder="1" applyAlignment="1">
      <alignment horizontal="left"/>
    </xf>
    <xf numFmtId="3" fontId="0" fillId="0" borderId="20" xfId="0" applyNumberFormat="1" applyFont="1" applyFill="1" applyBorder="1"/>
    <xf numFmtId="3" fontId="0" fillId="0" borderId="9" xfId="0" applyNumberFormat="1" applyFont="1" applyFill="1" applyBorder="1"/>
    <xf numFmtId="3" fontId="0" fillId="0" borderId="10" xfId="0" applyNumberFormat="1" applyFont="1" applyFill="1" applyBorder="1" applyAlignment="1"/>
    <xf numFmtId="3" fontId="0" fillId="0" borderId="1" xfId="0" applyNumberFormat="1" applyFill="1" applyBorder="1"/>
    <xf numFmtId="3" fontId="0" fillId="0" borderId="10" xfId="0" applyNumberFormat="1" applyFont="1" applyFill="1" applyBorder="1" applyAlignment="1">
      <alignment horizontal="left"/>
    </xf>
    <xf numFmtId="3" fontId="0" fillId="0" borderId="7" xfId="0" applyNumberFormat="1" applyFont="1" applyFill="1" applyBorder="1" applyAlignment="1">
      <alignment horizontal="right" vertical="top" wrapText="1"/>
    </xf>
    <xf numFmtId="3" fontId="0" fillId="0" borderId="74" xfId="0" applyNumberFormat="1" applyFont="1" applyFill="1" applyBorder="1"/>
    <xf numFmtId="3" fontId="0" fillId="0" borderId="15" xfId="0" applyNumberFormat="1" applyFont="1" applyFill="1" applyBorder="1"/>
    <xf numFmtId="3" fontId="0" fillId="0" borderId="63" xfId="0" applyNumberFormat="1" applyFont="1" applyFill="1" applyBorder="1"/>
    <xf numFmtId="0" fontId="0" fillId="0" borderId="0" xfId="0"/>
    <xf numFmtId="3" fontId="0" fillId="0" borderId="7" xfId="0" applyNumberFormat="1" applyFont="1" applyFill="1" applyBorder="1" applyAlignment="1"/>
    <xf numFmtId="3" fontId="0" fillId="0" borderId="18" xfId="0" applyNumberFormat="1" applyFont="1" applyFill="1" applyBorder="1"/>
    <xf numFmtId="164" fontId="0" fillId="0" borderId="12" xfId="0" applyNumberFormat="1" applyFont="1" applyFill="1" applyBorder="1" applyAlignment="1">
      <alignment horizontal="right"/>
    </xf>
    <xf numFmtId="164" fontId="0" fillId="0" borderId="17" xfId="0" applyNumberFormat="1" applyFont="1" applyFill="1" applyBorder="1" applyAlignment="1">
      <alignment horizontal="right"/>
    </xf>
    <xf numFmtId="3" fontId="0" fillId="0" borderId="61" xfId="0" applyNumberFormat="1" applyFont="1" applyFill="1" applyBorder="1" applyAlignment="1">
      <alignment horizontal="right"/>
    </xf>
    <xf numFmtId="3" fontId="0" fillId="0" borderId="62" xfId="0" applyNumberFormat="1" applyFont="1" applyFill="1" applyBorder="1" applyAlignment="1">
      <alignment horizontal="right"/>
    </xf>
    <xf numFmtId="3" fontId="0" fillId="0" borderId="63" xfId="0" applyNumberFormat="1" applyFont="1" applyFill="1" applyBorder="1" applyAlignment="1">
      <alignment horizontal="right"/>
    </xf>
    <xf numFmtId="3" fontId="0" fillId="0" borderId="13" xfId="0" applyNumberFormat="1" applyFont="1" applyFill="1" applyBorder="1" applyAlignment="1">
      <alignment horizontal="right"/>
    </xf>
    <xf numFmtId="3" fontId="0" fillId="0" borderId="15" xfId="0" applyNumberFormat="1" applyFont="1" applyFill="1" applyBorder="1" applyAlignment="1">
      <alignment horizontal="right"/>
    </xf>
    <xf numFmtId="3" fontId="0" fillId="0" borderId="18" xfId="0" applyNumberFormat="1" applyFont="1" applyFill="1" applyBorder="1" applyAlignment="1">
      <alignment horizontal="right"/>
    </xf>
    <xf numFmtId="3" fontId="0" fillId="0" borderId="19" xfId="0" applyNumberFormat="1" applyFont="1" applyFill="1" applyBorder="1" applyAlignment="1">
      <alignment horizontal="right"/>
    </xf>
    <xf numFmtId="3" fontId="0" fillId="0" borderId="20" xfId="0" applyNumberFormat="1" applyFont="1" applyFill="1" applyBorder="1" applyAlignment="1">
      <alignment horizontal="right"/>
    </xf>
    <xf numFmtId="3" fontId="0" fillId="0" borderId="54" xfId="0" applyNumberFormat="1" applyFont="1" applyFill="1" applyBorder="1" applyAlignment="1"/>
    <xf numFmtId="3" fontId="0" fillId="0" borderId="12" xfId="0" applyNumberFormat="1" applyFont="1" applyFill="1" applyBorder="1" applyAlignment="1"/>
    <xf numFmtId="3" fontId="0" fillId="0" borderId="17" xfId="0" applyNumberFormat="1" applyFont="1" applyFill="1" applyBorder="1" applyAlignment="1"/>
    <xf numFmtId="3" fontId="0" fillId="0" borderId="76" xfId="0" applyNumberFormat="1" applyFont="1" applyFill="1" applyBorder="1" applyAlignment="1"/>
    <xf numFmtId="3" fontId="0" fillId="0" borderId="75" xfId="0" applyNumberFormat="1" applyFont="1" applyFill="1" applyBorder="1" applyAlignment="1"/>
    <xf numFmtId="3" fontId="0" fillId="0" borderId="56" xfId="0" applyNumberFormat="1" applyFont="1" applyFill="1" applyBorder="1" applyAlignment="1"/>
    <xf numFmtId="3" fontId="0" fillId="0" borderId="73" xfId="0" applyNumberFormat="1" applyFont="1" applyFill="1" applyBorder="1" applyAlignment="1"/>
    <xf numFmtId="3" fontId="0" fillId="0" borderId="59" xfId="0" applyNumberFormat="1" applyFont="1" applyFill="1" applyBorder="1" applyAlignment="1"/>
    <xf numFmtId="3" fontId="0" fillId="0" borderId="4" xfId="0" applyNumberFormat="1" applyFill="1" applyBorder="1"/>
    <xf numFmtId="3" fontId="0" fillId="0" borderId="40" xfId="0" applyNumberFormat="1" applyFont="1" applyFill="1" applyBorder="1" applyAlignment="1"/>
    <xf numFmtId="3" fontId="0" fillId="0" borderId="0" xfId="0" applyNumberFormat="1" applyFill="1"/>
    <xf numFmtId="0" fontId="2" fillId="0" borderId="23" xfId="0" applyFont="1" applyFill="1" applyBorder="1" applyAlignment="1">
      <alignment horizontal="center" vertical="center" wrapText="1"/>
    </xf>
    <xf numFmtId="9" fontId="0" fillId="0" borderId="0" xfId="0" applyNumberFormat="1"/>
    <xf numFmtId="174" fontId="0" fillId="0" borderId="0" xfId="0" applyNumberFormat="1"/>
    <xf numFmtId="10" fontId="0" fillId="0" borderId="2" xfId="0" applyNumberFormat="1" applyBorder="1"/>
    <xf numFmtId="10" fontId="0" fillId="0" borderId="0" xfId="0" applyNumberFormat="1" applyBorder="1"/>
    <xf numFmtId="10" fontId="0" fillId="0" borderId="3" xfId="0" applyNumberFormat="1" applyBorder="1"/>
    <xf numFmtId="10" fontId="0" fillId="0" borderId="0" xfId="0" applyNumberFormat="1"/>
    <xf numFmtId="10" fontId="0" fillId="0" borderId="0" xfId="0" applyNumberFormat="1" applyFill="1"/>
    <xf numFmtId="10" fontId="0" fillId="0" borderId="26" xfId="0" applyNumberFormat="1" applyBorder="1"/>
    <xf numFmtId="10" fontId="0" fillId="0" borderId="27" xfId="0" applyNumberFormat="1" applyBorder="1"/>
    <xf numFmtId="10" fontId="0" fillId="0" borderId="30" xfId="0" applyNumberFormat="1" applyBorder="1"/>
    <xf numFmtId="10" fontId="0" fillId="0" borderId="4" xfId="0" applyNumberFormat="1" applyBorder="1"/>
    <xf numFmtId="10" fontId="0" fillId="0" borderId="28" xfId="0" applyNumberFormat="1" applyBorder="1"/>
    <xf numFmtId="10" fontId="0" fillId="0" borderId="29" xfId="0" applyNumberFormat="1" applyBorder="1"/>
    <xf numFmtId="3" fontId="0" fillId="0" borderId="28" xfId="0" applyNumberFormat="1" applyFill="1" applyBorder="1"/>
    <xf numFmtId="0" fontId="0" fillId="0" borderId="4" xfId="0" applyBorder="1"/>
    <xf numFmtId="9" fontId="0" fillId="0" borderId="28" xfId="0" applyNumberFormat="1" applyFill="1" applyBorder="1" applyProtection="1"/>
    <xf numFmtId="9" fontId="0" fillId="0" borderId="29" xfId="0" applyNumberFormat="1" applyFill="1" applyBorder="1" applyProtection="1"/>
    <xf numFmtId="0" fontId="0" fillId="0" borderId="2" xfId="0" applyBorder="1"/>
    <xf numFmtId="9" fontId="0" fillId="0" borderId="0" xfId="0" applyNumberFormat="1" applyBorder="1" applyProtection="1"/>
    <xf numFmtId="9" fontId="0" fillId="0" borderId="3" xfId="0" applyNumberFormat="1" applyBorder="1" applyProtection="1"/>
    <xf numFmtId="0" fontId="0" fillId="0" borderId="26" xfId="0" applyBorder="1"/>
    <xf numFmtId="9" fontId="0" fillId="0" borderId="27" xfId="0" applyNumberFormat="1" applyBorder="1" applyProtection="1"/>
    <xf numFmtId="9" fontId="0" fillId="0" borderId="30" xfId="0" applyNumberFormat="1" applyBorder="1" applyProtection="1"/>
    <xf numFmtId="10" fontId="0" fillId="0" borderId="5" xfId="0" applyNumberFormat="1" applyBorder="1"/>
    <xf numFmtId="10" fontId="0" fillId="0" borderId="8" xfId="0" applyNumberFormat="1" applyBorder="1"/>
    <xf numFmtId="174" fontId="0" fillId="0" borderId="2" xfId="0" applyNumberFormat="1" applyBorder="1"/>
    <xf numFmtId="174" fontId="0" fillId="0" borderId="0" xfId="0" applyNumberFormat="1" applyBorder="1"/>
    <xf numFmtId="174" fontId="0" fillId="0" borderId="3" xfId="0" applyNumberFormat="1" applyBorder="1"/>
    <xf numFmtId="174" fontId="0" fillId="0" borderId="26" xfId="0" applyNumberFormat="1" applyBorder="1"/>
    <xf numFmtId="174" fontId="0" fillId="0" borderId="27" xfId="0" applyNumberFormat="1" applyBorder="1"/>
    <xf numFmtId="174" fontId="0" fillId="0" borderId="30" xfId="0" applyNumberFormat="1" applyBorder="1"/>
    <xf numFmtId="0" fontId="2" fillId="0" borderId="55" xfId="0" applyFont="1" applyBorder="1" applyAlignment="1">
      <alignment wrapText="1"/>
    </xf>
    <xf numFmtId="0" fontId="2" fillId="0" borderId="72" xfId="0" applyFont="1" applyBorder="1" applyAlignment="1">
      <alignment horizontal="center" wrapText="1"/>
    </xf>
    <xf numFmtId="0" fontId="2" fillId="0" borderId="60" xfId="0" applyFont="1" applyBorder="1" applyAlignment="1">
      <alignment horizontal="center" wrapText="1"/>
    </xf>
    <xf numFmtId="164" fontId="0" fillId="0" borderId="54" xfId="0" applyNumberFormat="1" applyFont="1" applyFill="1" applyBorder="1" applyAlignment="1">
      <alignment horizontal="right"/>
    </xf>
    <xf numFmtId="0" fontId="0" fillId="0" borderId="0" xfId="0" applyFont="1" applyFill="1" applyAlignment="1"/>
    <xf numFmtId="175" fontId="0" fillId="0" borderId="13" xfId="0" applyNumberFormat="1" applyFont="1" applyFill="1" applyBorder="1" applyAlignment="1"/>
    <xf numFmtId="164" fontId="4" fillId="0" borderId="12" xfId="0" applyNumberFormat="1" applyFont="1" applyFill="1" applyBorder="1" applyAlignment="1">
      <alignment horizontal="right"/>
    </xf>
    <xf numFmtId="3" fontId="0" fillId="0" borderId="0" xfId="0" applyNumberFormat="1" applyBorder="1"/>
    <xf numFmtId="0" fontId="0" fillId="0" borderId="57" xfId="0" applyFill="1" applyBorder="1" applyAlignment="1">
      <alignment horizontal="left"/>
    </xf>
    <xf numFmtId="3" fontId="0" fillId="0" borderId="81" xfId="0" applyNumberFormat="1" applyBorder="1"/>
    <xf numFmtId="3" fontId="4" fillId="0" borderId="7" xfId="429" applyNumberFormat="1" applyFont="1" applyFill="1" applyBorder="1" applyAlignment="1">
      <alignment vertical="center"/>
    </xf>
    <xf numFmtId="0" fontId="0" fillId="0" borderId="57" xfId="0" applyFill="1" applyBorder="1"/>
    <xf numFmtId="3" fontId="4" fillId="0" borderId="57" xfId="429" applyNumberFormat="1" applyFont="1" applyFill="1" applyBorder="1" applyAlignment="1">
      <alignment vertical="center"/>
    </xf>
    <xf numFmtId="3" fontId="4" fillId="0" borderId="58" xfId="429" applyNumberFormat="1" applyFont="1" applyFill="1" applyBorder="1" applyAlignment="1">
      <alignment vertical="center"/>
    </xf>
    <xf numFmtId="0" fontId="0" fillId="0" borderId="7" xfId="0" applyFill="1" applyBorder="1" applyAlignment="1">
      <alignment horizontal="left"/>
    </xf>
    <xf numFmtId="3" fontId="0" fillId="0" borderId="82" xfId="0" applyNumberFormat="1" applyBorder="1"/>
    <xf numFmtId="0" fontId="4" fillId="0" borderId="57" xfId="0" applyFont="1" applyFill="1" applyBorder="1" applyAlignment="1">
      <alignment horizontal="left"/>
    </xf>
    <xf numFmtId="0" fontId="0" fillId="0" borderId="58" xfId="0" applyFill="1" applyBorder="1" applyAlignment="1">
      <alignment horizontal="left"/>
    </xf>
    <xf numFmtId="3" fontId="0" fillId="0" borderId="7" xfId="0" applyNumberFormat="1" applyFill="1" applyBorder="1"/>
    <xf numFmtId="3" fontId="0" fillId="0" borderId="57" xfId="0" applyNumberFormat="1" applyFill="1" applyBorder="1"/>
    <xf numFmtId="10" fontId="0" fillId="0" borderId="0" xfId="0" applyNumberFormat="1" applyBorder="1"/>
    <xf numFmtId="3" fontId="0" fillId="0" borderId="77" xfId="0" applyNumberFormat="1" applyBorder="1"/>
    <xf numFmtId="3" fontId="0" fillId="0" borderId="80" xfId="0" applyNumberFormat="1" applyBorder="1"/>
    <xf numFmtId="10" fontId="0" fillId="0" borderId="79" xfId="49" applyNumberFormat="1" applyFont="1" applyBorder="1"/>
    <xf numFmtId="3" fontId="0" fillId="0" borderId="78" xfId="0" applyNumberFormat="1" applyBorder="1"/>
    <xf numFmtId="10" fontId="0" fillId="0" borderId="6" xfId="49" applyNumberFormat="1" applyFont="1" applyBorder="1"/>
    <xf numFmtId="10" fontId="0" fillId="0" borderId="74" xfId="49" applyNumberFormat="1" applyFont="1" applyBorder="1"/>
    <xf numFmtId="3" fontId="2" fillId="0" borderId="78" xfId="0" applyNumberFormat="1" applyFont="1" applyFill="1" applyBorder="1" applyAlignment="1">
      <alignment horizontal="left" wrapText="1"/>
    </xf>
    <xf numFmtId="10" fontId="0" fillId="0" borderId="79" xfId="0" applyNumberFormat="1" applyBorder="1"/>
    <xf numFmtId="10" fontId="0" fillId="0" borderId="74" xfId="0" applyNumberFormat="1" applyBorder="1"/>
    <xf numFmtId="10" fontId="0" fillId="0" borderId="81" xfId="0" applyNumberFormat="1" applyBorder="1"/>
    <xf numFmtId="10" fontId="0" fillId="0" borderId="6" xfId="0" applyNumberFormat="1" applyBorder="1"/>
    <xf numFmtId="10" fontId="0" fillId="0" borderId="82" xfId="0" applyNumberFormat="1" applyBorder="1"/>
    <xf numFmtId="3" fontId="0" fillId="0" borderId="78" xfId="0" applyNumberFormat="1" applyFill="1" applyBorder="1"/>
    <xf numFmtId="3" fontId="0" fillId="0" borderId="58" xfId="0" applyNumberFormat="1" applyFill="1" applyBorder="1"/>
    <xf numFmtId="10" fontId="0" fillId="0" borderId="6" xfId="49" applyNumberFormat="1" applyFont="1" applyFill="1" applyBorder="1"/>
    <xf numFmtId="3" fontId="0" fillId="0" borderId="6" xfId="0" applyNumberFormat="1" applyFill="1" applyBorder="1"/>
    <xf numFmtId="174" fontId="0" fillId="33" borderId="6" xfId="49" applyNumberFormat="1" applyFont="1" applyFill="1" applyBorder="1"/>
    <xf numFmtId="174" fontId="0" fillId="33" borderId="78" xfId="49" applyNumberFormat="1" applyFont="1" applyFill="1" applyBorder="1"/>
    <xf numFmtId="0" fontId="2" fillId="0" borderId="6" xfId="0" applyFont="1" applyFill="1" applyBorder="1"/>
    <xf numFmtId="0" fontId="2" fillId="0" borderId="78" xfId="0" applyFont="1" applyFill="1" applyBorder="1"/>
    <xf numFmtId="3" fontId="0" fillId="0" borderId="80" xfId="0" applyNumberFormat="1" applyFill="1" applyBorder="1"/>
    <xf numFmtId="3" fontId="0" fillId="0" borderId="77" xfId="0" applyNumberFormat="1" applyFill="1" applyBorder="1"/>
    <xf numFmtId="0" fontId="2" fillId="0" borderId="6" xfId="0" applyFont="1" applyFill="1" applyBorder="1" applyAlignment="1">
      <alignment wrapText="1"/>
    </xf>
    <xf numFmtId="0" fontId="2" fillId="0" borderId="78" xfId="0" applyFont="1" applyFill="1" applyBorder="1" applyAlignment="1">
      <alignment wrapText="1"/>
    </xf>
    <xf numFmtId="10" fontId="0" fillId="0" borderId="79" xfId="49" applyNumberFormat="1" applyFont="1" applyFill="1" applyBorder="1"/>
    <xf numFmtId="10" fontId="0" fillId="0" borderId="74" xfId="49" applyNumberFormat="1" applyFont="1" applyFill="1" applyBorder="1"/>
    <xf numFmtId="3" fontId="25" fillId="0" borderId="58" xfId="0" applyNumberFormat="1" applyFont="1" applyFill="1" applyBorder="1" applyAlignment="1">
      <alignment wrapText="1"/>
    </xf>
    <xf numFmtId="165" fontId="2" fillId="0" borderId="6" xfId="0" applyNumberFormat="1" applyFont="1" applyFill="1" applyBorder="1" applyAlignment="1">
      <alignment wrapText="1"/>
    </xf>
    <xf numFmtId="3" fontId="2" fillId="0" borderId="78" xfId="0" applyNumberFormat="1" applyFont="1" applyFill="1" applyBorder="1" applyAlignment="1">
      <alignment wrapText="1"/>
    </xf>
    <xf numFmtId="0" fontId="25" fillId="0" borderId="6" xfId="0" applyFont="1" applyFill="1" applyBorder="1" applyAlignment="1">
      <alignment wrapText="1"/>
    </xf>
    <xf numFmtId="165" fontId="2" fillId="0" borderId="82" xfId="0" applyNumberFormat="1" applyFont="1" applyFill="1" applyBorder="1" applyAlignment="1">
      <alignment wrapText="1"/>
    </xf>
    <xf numFmtId="165" fontId="2" fillId="0" borderId="78" xfId="0" applyNumberFormat="1" applyFont="1" applyFill="1" applyBorder="1" applyAlignment="1">
      <alignment wrapText="1"/>
    </xf>
    <xf numFmtId="174" fontId="0" fillId="33" borderId="79" xfId="49" applyNumberFormat="1" applyFont="1" applyFill="1" applyBorder="1"/>
    <xf numFmtId="174" fontId="0" fillId="33" borderId="74" xfId="49" applyNumberFormat="1" applyFont="1" applyFill="1" applyBorder="1"/>
    <xf numFmtId="174" fontId="0" fillId="33" borderId="80" xfId="49" applyNumberFormat="1" applyFont="1" applyFill="1" applyBorder="1"/>
    <xf numFmtId="174" fontId="0" fillId="33" borderId="77" xfId="49" applyNumberFormat="1" applyFont="1" applyFill="1" applyBorder="1"/>
    <xf numFmtId="3" fontId="25" fillId="0" borderId="6" xfId="0" applyNumberFormat="1" applyFont="1" applyFill="1" applyBorder="1" applyAlignment="1">
      <alignment wrapText="1"/>
    </xf>
    <xf numFmtId="3" fontId="0" fillId="0" borderId="79" xfId="0" applyNumberFormat="1" applyFill="1" applyBorder="1"/>
    <xf numFmtId="3" fontId="0" fillId="0" borderId="74" xfId="0" applyNumberFormat="1" applyFill="1" applyBorder="1"/>
    <xf numFmtId="165" fontId="2" fillId="0" borderId="82" xfId="0" applyNumberFormat="1" applyFont="1" applyFill="1" applyBorder="1"/>
    <xf numFmtId="0" fontId="2" fillId="0" borderId="55" xfId="0" applyFont="1" applyBorder="1" applyAlignment="1">
      <alignment horizontal="center"/>
    </xf>
    <xf numFmtId="0" fontId="2" fillId="0" borderId="72" xfId="0" applyFont="1" applyBorder="1" applyAlignment="1">
      <alignment horizontal="center"/>
    </xf>
    <xf numFmtId="0" fontId="2" fillId="0" borderId="6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3" fillId="0" borderId="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3" fillId="0" borderId="8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55" xfId="0" applyFont="1" applyFill="1" applyBorder="1" applyAlignment="1">
      <alignment horizontal="center" vertical="center"/>
    </xf>
    <xf numFmtId="0" fontId="3" fillId="0" borderId="72" xfId="0" applyFont="1" applyFill="1" applyBorder="1" applyAlignment="1">
      <alignment horizontal="center" vertical="center"/>
    </xf>
    <xf numFmtId="0" fontId="3" fillId="0" borderId="60" xfId="0" applyFont="1" applyFill="1" applyBorder="1" applyAlignment="1">
      <alignment horizontal="center" vertical="center"/>
    </xf>
  </cellXfs>
  <cellStyles count="10985">
    <cellStyle name="20 % - Markeringsfarve1" xfId="20" builtinId="30" customBuiltin="1"/>
    <cellStyle name="20 % - Markeringsfarve1 10" xfId="1825"/>
    <cellStyle name="20 % - Markeringsfarve1 10 2" xfId="6817"/>
    <cellStyle name="20 % - Markeringsfarve1 11" xfId="3493"/>
    <cellStyle name="20 % - Markeringsfarve1 11 2" xfId="8479"/>
    <cellStyle name="20 % - Markeringsfarve1 12" xfId="5156"/>
    <cellStyle name="20 % - Markeringsfarve1 13" xfId="10140"/>
    <cellStyle name="20 % - Markeringsfarve1 2" xfId="53"/>
    <cellStyle name="20 % - Markeringsfarve1 2 10" xfId="1838"/>
    <cellStyle name="20 % - Markeringsfarve1 2 10 2" xfId="6830"/>
    <cellStyle name="20 % - Markeringsfarve1 2 11" xfId="3506"/>
    <cellStyle name="20 % - Markeringsfarve1 2 11 2" xfId="8492"/>
    <cellStyle name="20 % - Markeringsfarve1 2 12" xfId="5169"/>
    <cellStyle name="20 % - Markeringsfarve1 2 13" xfId="10153"/>
    <cellStyle name="20 % - Markeringsfarve1 2 2" xfId="78"/>
    <cellStyle name="20 % - Markeringsfarve1 2 2 10" xfId="3525"/>
    <cellStyle name="20 % - Markeringsfarve1 2 2 10 2" xfId="8511"/>
    <cellStyle name="20 % - Markeringsfarve1 2 2 11" xfId="5188"/>
    <cellStyle name="20 % - Markeringsfarve1 2 2 12" xfId="10171"/>
    <cellStyle name="20 % - Markeringsfarve1 2 2 2" xfId="146"/>
    <cellStyle name="20 % - Markeringsfarve1 2 2 2 2" xfId="519"/>
    <cellStyle name="20 % - Markeringsfarve1 2 2 2 2 2" xfId="1354"/>
    <cellStyle name="20 % - Markeringsfarve1 2 2 2 2 2 2" xfId="3022"/>
    <cellStyle name="20 % - Markeringsfarve1 2 2 2 2 2 2 2" xfId="8011"/>
    <cellStyle name="20 % - Markeringsfarve1 2 2 2 2 2 3" xfId="4686"/>
    <cellStyle name="20 % - Markeringsfarve1 2 2 2 2 2 3 2" xfId="9672"/>
    <cellStyle name="20 % - Markeringsfarve1 2 2 2 2 2 4" xfId="6349"/>
    <cellStyle name="20 % - Markeringsfarve1 2 2 2 2 3" xfId="2191"/>
    <cellStyle name="20 % - Markeringsfarve1 2 2 2 2 3 2" xfId="7180"/>
    <cellStyle name="20 % - Markeringsfarve1 2 2 2 2 4" xfId="3855"/>
    <cellStyle name="20 % - Markeringsfarve1 2 2 2 2 4 2" xfId="8841"/>
    <cellStyle name="20 % - Markeringsfarve1 2 2 2 2 5" xfId="5518"/>
    <cellStyle name="20 % - Markeringsfarve1 2 2 2 2 6" xfId="10505"/>
    <cellStyle name="20 % - Markeringsfarve1 2 2 2 3" xfId="794"/>
    <cellStyle name="20 % - Markeringsfarve1 2 2 2 3 2" xfId="1628"/>
    <cellStyle name="20 % - Markeringsfarve1 2 2 2 3 2 2" xfId="3296"/>
    <cellStyle name="20 % - Markeringsfarve1 2 2 2 3 2 2 2" xfId="8285"/>
    <cellStyle name="20 % - Markeringsfarve1 2 2 2 3 2 3" xfId="4960"/>
    <cellStyle name="20 % - Markeringsfarve1 2 2 2 3 2 3 2" xfId="9946"/>
    <cellStyle name="20 % - Markeringsfarve1 2 2 2 3 2 4" xfId="6623"/>
    <cellStyle name="20 % - Markeringsfarve1 2 2 2 3 3" xfId="2465"/>
    <cellStyle name="20 % - Markeringsfarve1 2 2 2 3 3 2" xfId="7454"/>
    <cellStyle name="20 % - Markeringsfarve1 2 2 2 3 4" xfId="4129"/>
    <cellStyle name="20 % - Markeringsfarve1 2 2 2 3 4 2" xfId="9115"/>
    <cellStyle name="20 % - Markeringsfarve1 2 2 2 3 5" xfId="5792"/>
    <cellStyle name="20 % - Markeringsfarve1 2 2 2 3 6" xfId="10779"/>
    <cellStyle name="20 % - Markeringsfarve1 2 2 2 4" xfId="1075"/>
    <cellStyle name="20 % - Markeringsfarve1 2 2 2 4 2" xfId="2743"/>
    <cellStyle name="20 % - Markeringsfarve1 2 2 2 4 2 2" xfId="7732"/>
    <cellStyle name="20 % - Markeringsfarve1 2 2 2 4 3" xfId="4407"/>
    <cellStyle name="20 % - Markeringsfarve1 2 2 2 4 3 2" xfId="9393"/>
    <cellStyle name="20 % - Markeringsfarve1 2 2 2 4 4" xfId="6070"/>
    <cellStyle name="20 % - Markeringsfarve1 2 2 2 5" xfId="1913"/>
    <cellStyle name="20 % - Markeringsfarve1 2 2 2 5 2" xfId="6902"/>
    <cellStyle name="20 % - Markeringsfarve1 2 2 2 6" xfId="3578"/>
    <cellStyle name="20 % - Markeringsfarve1 2 2 2 6 2" xfId="8564"/>
    <cellStyle name="20 % - Markeringsfarve1 2 2 2 7" xfId="5241"/>
    <cellStyle name="20 % - Markeringsfarve1 2 2 2 8" xfId="10225"/>
    <cellStyle name="20 % - Markeringsfarve1 2 2 3" xfId="201"/>
    <cellStyle name="20 % - Markeringsfarve1 2 2 3 2" xfId="573"/>
    <cellStyle name="20 % - Markeringsfarve1 2 2 3 2 2" xfId="1408"/>
    <cellStyle name="20 % - Markeringsfarve1 2 2 3 2 2 2" xfId="3076"/>
    <cellStyle name="20 % - Markeringsfarve1 2 2 3 2 2 2 2" xfId="8065"/>
    <cellStyle name="20 % - Markeringsfarve1 2 2 3 2 2 3" xfId="4740"/>
    <cellStyle name="20 % - Markeringsfarve1 2 2 3 2 2 3 2" xfId="9726"/>
    <cellStyle name="20 % - Markeringsfarve1 2 2 3 2 2 4" xfId="6403"/>
    <cellStyle name="20 % - Markeringsfarve1 2 2 3 2 3" xfId="2245"/>
    <cellStyle name="20 % - Markeringsfarve1 2 2 3 2 3 2" xfId="7234"/>
    <cellStyle name="20 % - Markeringsfarve1 2 2 3 2 4" xfId="3909"/>
    <cellStyle name="20 % - Markeringsfarve1 2 2 3 2 4 2" xfId="8895"/>
    <cellStyle name="20 % - Markeringsfarve1 2 2 3 2 5" xfId="5572"/>
    <cellStyle name="20 % - Markeringsfarve1 2 2 3 2 6" xfId="10559"/>
    <cellStyle name="20 % - Markeringsfarve1 2 2 3 3" xfId="848"/>
    <cellStyle name="20 % - Markeringsfarve1 2 2 3 3 2" xfId="1682"/>
    <cellStyle name="20 % - Markeringsfarve1 2 2 3 3 2 2" xfId="3350"/>
    <cellStyle name="20 % - Markeringsfarve1 2 2 3 3 2 2 2" xfId="8339"/>
    <cellStyle name="20 % - Markeringsfarve1 2 2 3 3 2 3" xfId="5014"/>
    <cellStyle name="20 % - Markeringsfarve1 2 2 3 3 2 3 2" xfId="10000"/>
    <cellStyle name="20 % - Markeringsfarve1 2 2 3 3 2 4" xfId="6677"/>
    <cellStyle name="20 % - Markeringsfarve1 2 2 3 3 3" xfId="2519"/>
    <cellStyle name="20 % - Markeringsfarve1 2 2 3 3 3 2" xfId="7508"/>
    <cellStyle name="20 % - Markeringsfarve1 2 2 3 3 4" xfId="4183"/>
    <cellStyle name="20 % - Markeringsfarve1 2 2 3 3 4 2" xfId="9169"/>
    <cellStyle name="20 % - Markeringsfarve1 2 2 3 3 5" xfId="5846"/>
    <cellStyle name="20 % - Markeringsfarve1 2 2 3 3 6" xfId="10833"/>
    <cellStyle name="20 % - Markeringsfarve1 2 2 3 4" xfId="1129"/>
    <cellStyle name="20 % - Markeringsfarve1 2 2 3 4 2" xfId="2797"/>
    <cellStyle name="20 % - Markeringsfarve1 2 2 3 4 2 2" xfId="7786"/>
    <cellStyle name="20 % - Markeringsfarve1 2 2 3 4 3" xfId="4461"/>
    <cellStyle name="20 % - Markeringsfarve1 2 2 3 4 3 2" xfId="9447"/>
    <cellStyle name="20 % - Markeringsfarve1 2 2 3 4 4" xfId="6124"/>
    <cellStyle name="20 % - Markeringsfarve1 2 2 3 5" xfId="1967"/>
    <cellStyle name="20 % - Markeringsfarve1 2 2 3 5 2" xfId="6956"/>
    <cellStyle name="20 % - Markeringsfarve1 2 2 3 6" xfId="3632"/>
    <cellStyle name="20 % - Markeringsfarve1 2 2 3 6 2" xfId="8618"/>
    <cellStyle name="20 % - Markeringsfarve1 2 2 3 7" xfId="5295"/>
    <cellStyle name="20 % - Markeringsfarve1 2 2 3 8" xfId="10279"/>
    <cellStyle name="20 % - Markeringsfarve1 2 2 4" xfId="256"/>
    <cellStyle name="20 % - Markeringsfarve1 2 2 4 2" xfId="628"/>
    <cellStyle name="20 % - Markeringsfarve1 2 2 4 2 2" xfId="1463"/>
    <cellStyle name="20 % - Markeringsfarve1 2 2 4 2 2 2" xfId="3131"/>
    <cellStyle name="20 % - Markeringsfarve1 2 2 4 2 2 2 2" xfId="8120"/>
    <cellStyle name="20 % - Markeringsfarve1 2 2 4 2 2 3" xfId="4795"/>
    <cellStyle name="20 % - Markeringsfarve1 2 2 4 2 2 3 2" xfId="9781"/>
    <cellStyle name="20 % - Markeringsfarve1 2 2 4 2 2 4" xfId="6458"/>
    <cellStyle name="20 % - Markeringsfarve1 2 2 4 2 3" xfId="2300"/>
    <cellStyle name="20 % - Markeringsfarve1 2 2 4 2 3 2" xfId="7289"/>
    <cellStyle name="20 % - Markeringsfarve1 2 2 4 2 4" xfId="3964"/>
    <cellStyle name="20 % - Markeringsfarve1 2 2 4 2 4 2" xfId="8950"/>
    <cellStyle name="20 % - Markeringsfarve1 2 2 4 2 5" xfId="5627"/>
    <cellStyle name="20 % - Markeringsfarve1 2 2 4 2 6" xfId="10614"/>
    <cellStyle name="20 % - Markeringsfarve1 2 2 4 3" xfId="903"/>
    <cellStyle name="20 % - Markeringsfarve1 2 2 4 3 2" xfId="1737"/>
    <cellStyle name="20 % - Markeringsfarve1 2 2 4 3 2 2" xfId="3405"/>
    <cellStyle name="20 % - Markeringsfarve1 2 2 4 3 2 2 2" xfId="8394"/>
    <cellStyle name="20 % - Markeringsfarve1 2 2 4 3 2 3" xfId="5069"/>
    <cellStyle name="20 % - Markeringsfarve1 2 2 4 3 2 3 2" xfId="10055"/>
    <cellStyle name="20 % - Markeringsfarve1 2 2 4 3 2 4" xfId="6732"/>
    <cellStyle name="20 % - Markeringsfarve1 2 2 4 3 3" xfId="2574"/>
    <cellStyle name="20 % - Markeringsfarve1 2 2 4 3 3 2" xfId="7563"/>
    <cellStyle name="20 % - Markeringsfarve1 2 2 4 3 4" xfId="4238"/>
    <cellStyle name="20 % - Markeringsfarve1 2 2 4 3 4 2" xfId="9224"/>
    <cellStyle name="20 % - Markeringsfarve1 2 2 4 3 5" xfId="5901"/>
    <cellStyle name="20 % - Markeringsfarve1 2 2 4 3 6" xfId="10888"/>
    <cellStyle name="20 % - Markeringsfarve1 2 2 4 4" xfId="1184"/>
    <cellStyle name="20 % - Markeringsfarve1 2 2 4 4 2" xfId="2852"/>
    <cellStyle name="20 % - Markeringsfarve1 2 2 4 4 2 2" xfId="7841"/>
    <cellStyle name="20 % - Markeringsfarve1 2 2 4 4 3" xfId="4516"/>
    <cellStyle name="20 % - Markeringsfarve1 2 2 4 4 3 2" xfId="9502"/>
    <cellStyle name="20 % - Markeringsfarve1 2 2 4 4 4" xfId="6179"/>
    <cellStyle name="20 % - Markeringsfarve1 2 2 4 5" xfId="2022"/>
    <cellStyle name="20 % - Markeringsfarve1 2 2 4 5 2" xfId="7011"/>
    <cellStyle name="20 % - Markeringsfarve1 2 2 4 6" xfId="3687"/>
    <cellStyle name="20 % - Markeringsfarve1 2 2 4 6 2" xfId="8673"/>
    <cellStyle name="20 % - Markeringsfarve1 2 2 4 7" xfId="5350"/>
    <cellStyle name="20 % - Markeringsfarve1 2 2 4 8" xfId="10334"/>
    <cellStyle name="20 % - Markeringsfarve1 2 2 5" xfId="312"/>
    <cellStyle name="20 % - Markeringsfarve1 2 2 5 2" xfId="684"/>
    <cellStyle name="20 % - Markeringsfarve1 2 2 5 2 2" xfId="1519"/>
    <cellStyle name="20 % - Markeringsfarve1 2 2 5 2 2 2" xfId="3187"/>
    <cellStyle name="20 % - Markeringsfarve1 2 2 5 2 2 2 2" xfId="8176"/>
    <cellStyle name="20 % - Markeringsfarve1 2 2 5 2 2 3" xfId="4851"/>
    <cellStyle name="20 % - Markeringsfarve1 2 2 5 2 2 3 2" xfId="9837"/>
    <cellStyle name="20 % - Markeringsfarve1 2 2 5 2 2 4" xfId="6514"/>
    <cellStyle name="20 % - Markeringsfarve1 2 2 5 2 3" xfId="2356"/>
    <cellStyle name="20 % - Markeringsfarve1 2 2 5 2 3 2" xfId="7345"/>
    <cellStyle name="20 % - Markeringsfarve1 2 2 5 2 4" xfId="4020"/>
    <cellStyle name="20 % - Markeringsfarve1 2 2 5 2 4 2" xfId="9006"/>
    <cellStyle name="20 % - Markeringsfarve1 2 2 5 2 5" xfId="5683"/>
    <cellStyle name="20 % - Markeringsfarve1 2 2 5 2 6" xfId="10670"/>
    <cellStyle name="20 % - Markeringsfarve1 2 2 5 3" xfId="959"/>
    <cellStyle name="20 % - Markeringsfarve1 2 2 5 3 2" xfId="1793"/>
    <cellStyle name="20 % - Markeringsfarve1 2 2 5 3 2 2" xfId="3461"/>
    <cellStyle name="20 % - Markeringsfarve1 2 2 5 3 2 2 2" xfId="8450"/>
    <cellStyle name="20 % - Markeringsfarve1 2 2 5 3 2 3" xfId="5125"/>
    <cellStyle name="20 % - Markeringsfarve1 2 2 5 3 2 3 2" xfId="10111"/>
    <cellStyle name="20 % - Markeringsfarve1 2 2 5 3 2 4" xfId="6788"/>
    <cellStyle name="20 % - Markeringsfarve1 2 2 5 3 3" xfId="2630"/>
    <cellStyle name="20 % - Markeringsfarve1 2 2 5 3 3 2" xfId="7619"/>
    <cellStyle name="20 % - Markeringsfarve1 2 2 5 3 4" xfId="4294"/>
    <cellStyle name="20 % - Markeringsfarve1 2 2 5 3 4 2" xfId="9280"/>
    <cellStyle name="20 % - Markeringsfarve1 2 2 5 3 5" xfId="5957"/>
    <cellStyle name="20 % - Markeringsfarve1 2 2 5 3 6" xfId="10944"/>
    <cellStyle name="20 % - Markeringsfarve1 2 2 5 4" xfId="1240"/>
    <cellStyle name="20 % - Markeringsfarve1 2 2 5 4 2" xfId="2908"/>
    <cellStyle name="20 % - Markeringsfarve1 2 2 5 4 2 2" xfId="7897"/>
    <cellStyle name="20 % - Markeringsfarve1 2 2 5 4 3" xfId="4572"/>
    <cellStyle name="20 % - Markeringsfarve1 2 2 5 4 3 2" xfId="9558"/>
    <cellStyle name="20 % - Markeringsfarve1 2 2 5 4 4" xfId="6235"/>
    <cellStyle name="20 % - Markeringsfarve1 2 2 5 5" xfId="2078"/>
    <cellStyle name="20 % - Markeringsfarve1 2 2 5 5 2" xfId="7067"/>
    <cellStyle name="20 % - Markeringsfarve1 2 2 5 6" xfId="3743"/>
    <cellStyle name="20 % - Markeringsfarve1 2 2 5 6 2" xfId="8729"/>
    <cellStyle name="20 % - Markeringsfarve1 2 2 5 7" xfId="5406"/>
    <cellStyle name="20 % - Markeringsfarve1 2 2 5 8" xfId="10390"/>
    <cellStyle name="20 % - Markeringsfarve1 2 2 6" xfId="465"/>
    <cellStyle name="20 % - Markeringsfarve1 2 2 6 2" xfId="1300"/>
    <cellStyle name="20 % - Markeringsfarve1 2 2 6 2 2" xfId="2968"/>
    <cellStyle name="20 % - Markeringsfarve1 2 2 6 2 2 2" xfId="7957"/>
    <cellStyle name="20 % - Markeringsfarve1 2 2 6 2 3" xfId="4632"/>
    <cellStyle name="20 % - Markeringsfarve1 2 2 6 2 3 2" xfId="9618"/>
    <cellStyle name="20 % - Markeringsfarve1 2 2 6 2 4" xfId="6295"/>
    <cellStyle name="20 % - Markeringsfarve1 2 2 6 3" xfId="2139"/>
    <cellStyle name="20 % - Markeringsfarve1 2 2 6 3 2" xfId="7128"/>
    <cellStyle name="20 % - Markeringsfarve1 2 2 6 4" xfId="3803"/>
    <cellStyle name="20 % - Markeringsfarve1 2 2 6 4 2" xfId="8789"/>
    <cellStyle name="20 % - Markeringsfarve1 2 2 6 5" xfId="5466"/>
    <cellStyle name="20 % - Markeringsfarve1 2 2 6 6" xfId="10438"/>
    <cellStyle name="20 % - Markeringsfarve1 2 2 7" xfId="740"/>
    <cellStyle name="20 % - Markeringsfarve1 2 2 7 2" xfId="1574"/>
    <cellStyle name="20 % - Markeringsfarve1 2 2 7 2 2" xfId="3242"/>
    <cellStyle name="20 % - Markeringsfarve1 2 2 7 2 2 2" xfId="8231"/>
    <cellStyle name="20 % - Markeringsfarve1 2 2 7 2 3" xfId="4906"/>
    <cellStyle name="20 % - Markeringsfarve1 2 2 7 2 3 2" xfId="9892"/>
    <cellStyle name="20 % - Markeringsfarve1 2 2 7 2 4" xfId="6569"/>
    <cellStyle name="20 % - Markeringsfarve1 2 2 7 3" xfId="2411"/>
    <cellStyle name="20 % - Markeringsfarve1 2 2 7 3 2" xfId="7400"/>
    <cellStyle name="20 % - Markeringsfarve1 2 2 7 4" xfId="4075"/>
    <cellStyle name="20 % - Markeringsfarve1 2 2 7 4 2" xfId="9061"/>
    <cellStyle name="20 % - Markeringsfarve1 2 2 7 5" xfId="5738"/>
    <cellStyle name="20 % - Markeringsfarve1 2 2 7 6" xfId="10725"/>
    <cellStyle name="20 % - Markeringsfarve1 2 2 8" xfId="1021"/>
    <cellStyle name="20 % - Markeringsfarve1 2 2 8 2" xfId="2689"/>
    <cellStyle name="20 % - Markeringsfarve1 2 2 8 2 2" xfId="7678"/>
    <cellStyle name="20 % - Markeringsfarve1 2 2 8 3" xfId="4353"/>
    <cellStyle name="20 % - Markeringsfarve1 2 2 8 3 2" xfId="9339"/>
    <cellStyle name="20 % - Markeringsfarve1 2 2 8 4" xfId="6016"/>
    <cellStyle name="20 % - Markeringsfarve1 2 2 9" xfId="1857"/>
    <cellStyle name="20 % - Markeringsfarve1 2 2 9 2" xfId="6849"/>
    <cellStyle name="20 % - Markeringsfarve1 2 3" xfId="129"/>
    <cellStyle name="20 % - Markeringsfarve1 2 3 2" xfId="502"/>
    <cellStyle name="20 % - Markeringsfarve1 2 3 2 2" xfId="1337"/>
    <cellStyle name="20 % - Markeringsfarve1 2 3 2 2 2" xfId="3005"/>
    <cellStyle name="20 % - Markeringsfarve1 2 3 2 2 2 2" xfId="7994"/>
    <cellStyle name="20 % - Markeringsfarve1 2 3 2 2 3" xfId="4669"/>
    <cellStyle name="20 % - Markeringsfarve1 2 3 2 2 3 2" xfId="9655"/>
    <cellStyle name="20 % - Markeringsfarve1 2 3 2 2 4" xfId="6332"/>
    <cellStyle name="20 % - Markeringsfarve1 2 3 2 3" xfId="2176"/>
    <cellStyle name="20 % - Markeringsfarve1 2 3 2 3 2" xfId="7165"/>
    <cellStyle name="20 % - Markeringsfarve1 2 3 2 4" xfId="3840"/>
    <cellStyle name="20 % - Markeringsfarve1 2 3 2 4 2" xfId="8826"/>
    <cellStyle name="20 % - Markeringsfarve1 2 3 2 5" xfId="5503"/>
    <cellStyle name="20 % - Markeringsfarve1 2 3 2 6" xfId="10488"/>
    <cellStyle name="20 % - Markeringsfarve1 2 3 3" xfId="777"/>
    <cellStyle name="20 % - Markeringsfarve1 2 3 3 2" xfId="1611"/>
    <cellStyle name="20 % - Markeringsfarve1 2 3 3 2 2" xfId="3279"/>
    <cellStyle name="20 % - Markeringsfarve1 2 3 3 2 2 2" xfId="8268"/>
    <cellStyle name="20 % - Markeringsfarve1 2 3 3 2 3" xfId="4943"/>
    <cellStyle name="20 % - Markeringsfarve1 2 3 3 2 3 2" xfId="9929"/>
    <cellStyle name="20 % - Markeringsfarve1 2 3 3 2 4" xfId="6606"/>
    <cellStyle name="20 % - Markeringsfarve1 2 3 3 3" xfId="2448"/>
    <cellStyle name="20 % - Markeringsfarve1 2 3 3 3 2" xfId="7437"/>
    <cellStyle name="20 % - Markeringsfarve1 2 3 3 4" xfId="4112"/>
    <cellStyle name="20 % - Markeringsfarve1 2 3 3 4 2" xfId="9098"/>
    <cellStyle name="20 % - Markeringsfarve1 2 3 3 5" xfId="5775"/>
    <cellStyle name="20 % - Markeringsfarve1 2 3 3 6" xfId="10762"/>
    <cellStyle name="20 % - Markeringsfarve1 2 3 4" xfId="1058"/>
    <cellStyle name="20 % - Markeringsfarve1 2 3 4 2" xfId="2726"/>
    <cellStyle name="20 % - Markeringsfarve1 2 3 4 2 2" xfId="7715"/>
    <cellStyle name="20 % - Markeringsfarve1 2 3 4 3" xfId="4390"/>
    <cellStyle name="20 % - Markeringsfarve1 2 3 4 3 2" xfId="9376"/>
    <cellStyle name="20 % - Markeringsfarve1 2 3 4 4" xfId="6053"/>
    <cellStyle name="20 % - Markeringsfarve1 2 3 5" xfId="1896"/>
    <cellStyle name="20 % - Markeringsfarve1 2 3 5 2" xfId="6885"/>
    <cellStyle name="20 % - Markeringsfarve1 2 3 6" xfId="3561"/>
    <cellStyle name="20 % - Markeringsfarve1 2 3 6 2" xfId="8547"/>
    <cellStyle name="20 % - Markeringsfarve1 2 3 7" xfId="5224"/>
    <cellStyle name="20 % - Markeringsfarve1 2 3 8" xfId="10208"/>
    <cellStyle name="20 % - Markeringsfarve1 2 4" xfId="183"/>
    <cellStyle name="20 % - Markeringsfarve1 2 4 2" xfId="555"/>
    <cellStyle name="20 % - Markeringsfarve1 2 4 2 2" xfId="1390"/>
    <cellStyle name="20 % - Markeringsfarve1 2 4 2 2 2" xfId="3058"/>
    <cellStyle name="20 % - Markeringsfarve1 2 4 2 2 2 2" xfId="8047"/>
    <cellStyle name="20 % - Markeringsfarve1 2 4 2 2 3" xfId="4722"/>
    <cellStyle name="20 % - Markeringsfarve1 2 4 2 2 3 2" xfId="9708"/>
    <cellStyle name="20 % - Markeringsfarve1 2 4 2 2 4" xfId="6385"/>
    <cellStyle name="20 % - Markeringsfarve1 2 4 2 3" xfId="2227"/>
    <cellStyle name="20 % - Markeringsfarve1 2 4 2 3 2" xfId="7216"/>
    <cellStyle name="20 % - Markeringsfarve1 2 4 2 4" xfId="3891"/>
    <cellStyle name="20 % - Markeringsfarve1 2 4 2 4 2" xfId="8877"/>
    <cellStyle name="20 % - Markeringsfarve1 2 4 2 5" xfId="5554"/>
    <cellStyle name="20 % - Markeringsfarve1 2 4 2 6" xfId="10541"/>
    <cellStyle name="20 % - Markeringsfarve1 2 4 3" xfId="830"/>
    <cellStyle name="20 % - Markeringsfarve1 2 4 3 2" xfId="1664"/>
    <cellStyle name="20 % - Markeringsfarve1 2 4 3 2 2" xfId="3332"/>
    <cellStyle name="20 % - Markeringsfarve1 2 4 3 2 2 2" xfId="8321"/>
    <cellStyle name="20 % - Markeringsfarve1 2 4 3 2 3" xfId="4996"/>
    <cellStyle name="20 % - Markeringsfarve1 2 4 3 2 3 2" xfId="9982"/>
    <cellStyle name="20 % - Markeringsfarve1 2 4 3 2 4" xfId="6659"/>
    <cellStyle name="20 % - Markeringsfarve1 2 4 3 3" xfId="2501"/>
    <cellStyle name="20 % - Markeringsfarve1 2 4 3 3 2" xfId="7490"/>
    <cellStyle name="20 % - Markeringsfarve1 2 4 3 4" xfId="4165"/>
    <cellStyle name="20 % - Markeringsfarve1 2 4 3 4 2" xfId="9151"/>
    <cellStyle name="20 % - Markeringsfarve1 2 4 3 5" xfId="5828"/>
    <cellStyle name="20 % - Markeringsfarve1 2 4 3 6" xfId="10815"/>
    <cellStyle name="20 % - Markeringsfarve1 2 4 4" xfId="1111"/>
    <cellStyle name="20 % - Markeringsfarve1 2 4 4 2" xfId="2779"/>
    <cellStyle name="20 % - Markeringsfarve1 2 4 4 2 2" xfId="7768"/>
    <cellStyle name="20 % - Markeringsfarve1 2 4 4 3" xfId="4443"/>
    <cellStyle name="20 % - Markeringsfarve1 2 4 4 3 2" xfId="9429"/>
    <cellStyle name="20 % - Markeringsfarve1 2 4 4 4" xfId="6106"/>
    <cellStyle name="20 % - Markeringsfarve1 2 4 5" xfId="1949"/>
    <cellStyle name="20 % - Markeringsfarve1 2 4 5 2" xfId="6938"/>
    <cellStyle name="20 % - Markeringsfarve1 2 4 6" xfId="3614"/>
    <cellStyle name="20 % - Markeringsfarve1 2 4 6 2" xfId="8600"/>
    <cellStyle name="20 % - Markeringsfarve1 2 4 7" xfId="5277"/>
    <cellStyle name="20 % - Markeringsfarve1 2 4 8" xfId="10261"/>
    <cellStyle name="20 % - Markeringsfarve1 2 5" xfId="237"/>
    <cellStyle name="20 % - Markeringsfarve1 2 5 2" xfId="609"/>
    <cellStyle name="20 % - Markeringsfarve1 2 5 2 2" xfId="1444"/>
    <cellStyle name="20 % - Markeringsfarve1 2 5 2 2 2" xfId="3112"/>
    <cellStyle name="20 % - Markeringsfarve1 2 5 2 2 2 2" xfId="8101"/>
    <cellStyle name="20 % - Markeringsfarve1 2 5 2 2 3" xfId="4776"/>
    <cellStyle name="20 % - Markeringsfarve1 2 5 2 2 3 2" xfId="9762"/>
    <cellStyle name="20 % - Markeringsfarve1 2 5 2 2 4" xfId="6439"/>
    <cellStyle name="20 % - Markeringsfarve1 2 5 2 3" xfId="2281"/>
    <cellStyle name="20 % - Markeringsfarve1 2 5 2 3 2" xfId="7270"/>
    <cellStyle name="20 % - Markeringsfarve1 2 5 2 4" xfId="3945"/>
    <cellStyle name="20 % - Markeringsfarve1 2 5 2 4 2" xfId="8931"/>
    <cellStyle name="20 % - Markeringsfarve1 2 5 2 5" xfId="5608"/>
    <cellStyle name="20 % - Markeringsfarve1 2 5 2 6" xfId="10595"/>
    <cellStyle name="20 % - Markeringsfarve1 2 5 3" xfId="884"/>
    <cellStyle name="20 % - Markeringsfarve1 2 5 3 2" xfId="1718"/>
    <cellStyle name="20 % - Markeringsfarve1 2 5 3 2 2" xfId="3386"/>
    <cellStyle name="20 % - Markeringsfarve1 2 5 3 2 2 2" xfId="8375"/>
    <cellStyle name="20 % - Markeringsfarve1 2 5 3 2 3" xfId="5050"/>
    <cellStyle name="20 % - Markeringsfarve1 2 5 3 2 3 2" xfId="10036"/>
    <cellStyle name="20 % - Markeringsfarve1 2 5 3 2 4" xfId="6713"/>
    <cellStyle name="20 % - Markeringsfarve1 2 5 3 3" xfId="2555"/>
    <cellStyle name="20 % - Markeringsfarve1 2 5 3 3 2" xfId="7544"/>
    <cellStyle name="20 % - Markeringsfarve1 2 5 3 4" xfId="4219"/>
    <cellStyle name="20 % - Markeringsfarve1 2 5 3 4 2" xfId="9205"/>
    <cellStyle name="20 % - Markeringsfarve1 2 5 3 5" xfId="5882"/>
    <cellStyle name="20 % - Markeringsfarve1 2 5 3 6" xfId="10869"/>
    <cellStyle name="20 % - Markeringsfarve1 2 5 4" xfId="1165"/>
    <cellStyle name="20 % - Markeringsfarve1 2 5 4 2" xfId="2833"/>
    <cellStyle name="20 % - Markeringsfarve1 2 5 4 2 2" xfId="7822"/>
    <cellStyle name="20 % - Markeringsfarve1 2 5 4 3" xfId="4497"/>
    <cellStyle name="20 % - Markeringsfarve1 2 5 4 3 2" xfId="9483"/>
    <cellStyle name="20 % - Markeringsfarve1 2 5 4 4" xfId="6160"/>
    <cellStyle name="20 % - Markeringsfarve1 2 5 5" xfId="2003"/>
    <cellStyle name="20 % - Markeringsfarve1 2 5 5 2" xfId="6992"/>
    <cellStyle name="20 % - Markeringsfarve1 2 5 6" xfId="3668"/>
    <cellStyle name="20 % - Markeringsfarve1 2 5 6 2" xfId="8654"/>
    <cellStyle name="20 % - Markeringsfarve1 2 5 7" xfId="5331"/>
    <cellStyle name="20 % - Markeringsfarve1 2 5 8" xfId="10315"/>
    <cellStyle name="20 % - Markeringsfarve1 2 6" xfId="293"/>
    <cellStyle name="20 % - Markeringsfarve1 2 6 2" xfId="665"/>
    <cellStyle name="20 % - Markeringsfarve1 2 6 2 2" xfId="1500"/>
    <cellStyle name="20 % - Markeringsfarve1 2 6 2 2 2" xfId="3168"/>
    <cellStyle name="20 % - Markeringsfarve1 2 6 2 2 2 2" xfId="8157"/>
    <cellStyle name="20 % - Markeringsfarve1 2 6 2 2 3" xfId="4832"/>
    <cellStyle name="20 % - Markeringsfarve1 2 6 2 2 3 2" xfId="9818"/>
    <cellStyle name="20 % - Markeringsfarve1 2 6 2 2 4" xfId="6495"/>
    <cellStyle name="20 % - Markeringsfarve1 2 6 2 3" xfId="2337"/>
    <cellStyle name="20 % - Markeringsfarve1 2 6 2 3 2" xfId="7326"/>
    <cellStyle name="20 % - Markeringsfarve1 2 6 2 4" xfId="4001"/>
    <cellStyle name="20 % - Markeringsfarve1 2 6 2 4 2" xfId="8987"/>
    <cellStyle name="20 % - Markeringsfarve1 2 6 2 5" xfId="5664"/>
    <cellStyle name="20 % - Markeringsfarve1 2 6 2 6" xfId="10651"/>
    <cellStyle name="20 % - Markeringsfarve1 2 6 3" xfId="940"/>
    <cellStyle name="20 % - Markeringsfarve1 2 6 3 2" xfId="1774"/>
    <cellStyle name="20 % - Markeringsfarve1 2 6 3 2 2" xfId="3442"/>
    <cellStyle name="20 % - Markeringsfarve1 2 6 3 2 2 2" xfId="8431"/>
    <cellStyle name="20 % - Markeringsfarve1 2 6 3 2 3" xfId="5106"/>
    <cellStyle name="20 % - Markeringsfarve1 2 6 3 2 3 2" xfId="10092"/>
    <cellStyle name="20 % - Markeringsfarve1 2 6 3 2 4" xfId="6769"/>
    <cellStyle name="20 % - Markeringsfarve1 2 6 3 3" xfId="2611"/>
    <cellStyle name="20 % - Markeringsfarve1 2 6 3 3 2" xfId="7600"/>
    <cellStyle name="20 % - Markeringsfarve1 2 6 3 4" xfId="4275"/>
    <cellStyle name="20 % - Markeringsfarve1 2 6 3 4 2" xfId="9261"/>
    <cellStyle name="20 % - Markeringsfarve1 2 6 3 5" xfId="5938"/>
    <cellStyle name="20 % - Markeringsfarve1 2 6 3 6" xfId="10925"/>
    <cellStyle name="20 % - Markeringsfarve1 2 6 4" xfId="1221"/>
    <cellStyle name="20 % - Markeringsfarve1 2 6 4 2" xfId="2889"/>
    <cellStyle name="20 % - Markeringsfarve1 2 6 4 2 2" xfId="7878"/>
    <cellStyle name="20 % - Markeringsfarve1 2 6 4 3" xfId="4553"/>
    <cellStyle name="20 % - Markeringsfarve1 2 6 4 3 2" xfId="9539"/>
    <cellStyle name="20 % - Markeringsfarve1 2 6 4 4" xfId="6216"/>
    <cellStyle name="20 % - Markeringsfarve1 2 6 5" xfId="2059"/>
    <cellStyle name="20 % - Markeringsfarve1 2 6 5 2" xfId="7048"/>
    <cellStyle name="20 % - Markeringsfarve1 2 6 6" xfId="3724"/>
    <cellStyle name="20 % - Markeringsfarve1 2 6 6 2" xfId="8710"/>
    <cellStyle name="20 % - Markeringsfarve1 2 6 7" xfId="5387"/>
    <cellStyle name="20 % - Markeringsfarve1 2 6 8" xfId="10371"/>
    <cellStyle name="20 % - Markeringsfarve1 2 7" xfId="447"/>
    <cellStyle name="20 % - Markeringsfarve1 2 7 2" xfId="1282"/>
    <cellStyle name="20 % - Markeringsfarve1 2 7 2 2" xfId="2950"/>
    <cellStyle name="20 % - Markeringsfarve1 2 7 2 2 2" xfId="7939"/>
    <cellStyle name="20 % - Markeringsfarve1 2 7 2 3" xfId="4614"/>
    <cellStyle name="20 % - Markeringsfarve1 2 7 2 3 2" xfId="9600"/>
    <cellStyle name="20 % - Markeringsfarve1 2 7 2 4" xfId="6277"/>
    <cellStyle name="20 % - Markeringsfarve1 2 7 3" xfId="2121"/>
    <cellStyle name="20 % - Markeringsfarve1 2 7 3 2" xfId="7110"/>
    <cellStyle name="20 % - Markeringsfarve1 2 7 4" xfId="3785"/>
    <cellStyle name="20 % - Markeringsfarve1 2 7 4 2" xfId="8771"/>
    <cellStyle name="20 % - Markeringsfarve1 2 7 5" xfId="5448"/>
    <cellStyle name="20 % - Markeringsfarve1 2 7 6" xfId="10427"/>
    <cellStyle name="20 % - Markeringsfarve1 2 8" xfId="722"/>
    <cellStyle name="20 % - Markeringsfarve1 2 8 2" xfId="1556"/>
    <cellStyle name="20 % - Markeringsfarve1 2 8 2 2" xfId="3224"/>
    <cellStyle name="20 % - Markeringsfarve1 2 8 2 2 2" xfId="8213"/>
    <cellStyle name="20 % - Markeringsfarve1 2 8 2 3" xfId="4888"/>
    <cellStyle name="20 % - Markeringsfarve1 2 8 2 3 2" xfId="9874"/>
    <cellStyle name="20 % - Markeringsfarve1 2 8 2 4" xfId="6551"/>
    <cellStyle name="20 % - Markeringsfarve1 2 8 3" xfId="2393"/>
    <cellStyle name="20 % - Markeringsfarve1 2 8 3 2" xfId="7382"/>
    <cellStyle name="20 % - Markeringsfarve1 2 8 4" xfId="4057"/>
    <cellStyle name="20 % - Markeringsfarve1 2 8 4 2" xfId="9043"/>
    <cellStyle name="20 % - Markeringsfarve1 2 8 5" xfId="5720"/>
    <cellStyle name="20 % - Markeringsfarve1 2 8 6" xfId="10707"/>
    <cellStyle name="20 % - Markeringsfarve1 2 9" xfId="1003"/>
    <cellStyle name="20 % - Markeringsfarve1 2 9 2" xfId="2671"/>
    <cellStyle name="20 % - Markeringsfarve1 2 9 2 2" xfId="7660"/>
    <cellStyle name="20 % - Markeringsfarve1 2 9 3" xfId="4335"/>
    <cellStyle name="20 % - Markeringsfarve1 2 9 3 2" xfId="9321"/>
    <cellStyle name="20 % - Markeringsfarve1 2 9 4" xfId="5998"/>
    <cellStyle name="20 % - Markeringsfarve1 3" xfId="116"/>
    <cellStyle name="20 % - Markeringsfarve1 3 2" xfId="489"/>
    <cellStyle name="20 % - Markeringsfarve1 3 2 2" xfId="1324"/>
    <cellStyle name="20 % - Markeringsfarve1 3 2 2 2" xfId="2992"/>
    <cellStyle name="20 % - Markeringsfarve1 3 2 2 2 2" xfId="7981"/>
    <cellStyle name="20 % - Markeringsfarve1 3 2 2 3" xfId="4656"/>
    <cellStyle name="20 % - Markeringsfarve1 3 2 2 3 2" xfId="9642"/>
    <cellStyle name="20 % - Markeringsfarve1 3 2 2 4" xfId="6319"/>
    <cellStyle name="20 % - Markeringsfarve1 3 2 3" xfId="2163"/>
    <cellStyle name="20 % - Markeringsfarve1 3 2 3 2" xfId="7152"/>
    <cellStyle name="20 % - Markeringsfarve1 3 2 4" xfId="3827"/>
    <cellStyle name="20 % - Markeringsfarve1 3 2 4 2" xfId="8813"/>
    <cellStyle name="20 % - Markeringsfarve1 3 2 5" xfId="5490"/>
    <cellStyle name="20 % - Markeringsfarve1 3 2 6" xfId="10475"/>
    <cellStyle name="20 % - Markeringsfarve1 3 3" xfId="764"/>
    <cellStyle name="20 % - Markeringsfarve1 3 3 2" xfId="1598"/>
    <cellStyle name="20 % - Markeringsfarve1 3 3 2 2" xfId="3266"/>
    <cellStyle name="20 % - Markeringsfarve1 3 3 2 2 2" xfId="8255"/>
    <cellStyle name="20 % - Markeringsfarve1 3 3 2 3" xfId="4930"/>
    <cellStyle name="20 % - Markeringsfarve1 3 3 2 3 2" xfId="9916"/>
    <cellStyle name="20 % - Markeringsfarve1 3 3 2 4" xfId="6593"/>
    <cellStyle name="20 % - Markeringsfarve1 3 3 3" xfId="2435"/>
    <cellStyle name="20 % - Markeringsfarve1 3 3 3 2" xfId="7424"/>
    <cellStyle name="20 % - Markeringsfarve1 3 3 4" xfId="4099"/>
    <cellStyle name="20 % - Markeringsfarve1 3 3 4 2" xfId="9085"/>
    <cellStyle name="20 % - Markeringsfarve1 3 3 5" xfId="5762"/>
    <cellStyle name="20 % - Markeringsfarve1 3 3 6" xfId="10749"/>
    <cellStyle name="20 % - Markeringsfarve1 3 4" xfId="1045"/>
    <cellStyle name="20 % - Markeringsfarve1 3 4 2" xfId="2713"/>
    <cellStyle name="20 % - Markeringsfarve1 3 4 2 2" xfId="7702"/>
    <cellStyle name="20 % - Markeringsfarve1 3 4 3" xfId="4377"/>
    <cellStyle name="20 % - Markeringsfarve1 3 4 3 2" xfId="9363"/>
    <cellStyle name="20 % - Markeringsfarve1 3 4 4" xfId="6040"/>
    <cellStyle name="20 % - Markeringsfarve1 3 5" xfId="1883"/>
    <cellStyle name="20 % - Markeringsfarve1 3 5 2" xfId="6872"/>
    <cellStyle name="20 % - Markeringsfarve1 3 6" xfId="3548"/>
    <cellStyle name="20 % - Markeringsfarve1 3 6 2" xfId="8534"/>
    <cellStyle name="20 % - Markeringsfarve1 3 7" xfId="5211"/>
    <cellStyle name="20 % - Markeringsfarve1 3 8" xfId="10195"/>
    <cellStyle name="20 % - Markeringsfarve1 4" xfId="169"/>
    <cellStyle name="20 % - Markeringsfarve1 4 2" xfId="542"/>
    <cellStyle name="20 % - Markeringsfarve1 4 2 2" xfId="1377"/>
    <cellStyle name="20 % - Markeringsfarve1 4 2 2 2" xfId="3045"/>
    <cellStyle name="20 % - Markeringsfarve1 4 2 2 2 2" xfId="8034"/>
    <cellStyle name="20 % - Markeringsfarve1 4 2 2 3" xfId="4709"/>
    <cellStyle name="20 % - Markeringsfarve1 4 2 2 3 2" xfId="9695"/>
    <cellStyle name="20 % - Markeringsfarve1 4 2 2 4" xfId="6372"/>
    <cellStyle name="20 % - Markeringsfarve1 4 2 3" xfId="2214"/>
    <cellStyle name="20 % - Markeringsfarve1 4 2 3 2" xfId="7203"/>
    <cellStyle name="20 % - Markeringsfarve1 4 2 4" xfId="3878"/>
    <cellStyle name="20 % - Markeringsfarve1 4 2 4 2" xfId="8864"/>
    <cellStyle name="20 % - Markeringsfarve1 4 2 5" xfId="5541"/>
    <cellStyle name="20 % - Markeringsfarve1 4 2 6" xfId="10528"/>
    <cellStyle name="20 % - Markeringsfarve1 4 3" xfId="817"/>
    <cellStyle name="20 % - Markeringsfarve1 4 3 2" xfId="1651"/>
    <cellStyle name="20 % - Markeringsfarve1 4 3 2 2" xfId="3319"/>
    <cellStyle name="20 % - Markeringsfarve1 4 3 2 2 2" xfId="8308"/>
    <cellStyle name="20 % - Markeringsfarve1 4 3 2 3" xfId="4983"/>
    <cellStyle name="20 % - Markeringsfarve1 4 3 2 3 2" xfId="9969"/>
    <cellStyle name="20 % - Markeringsfarve1 4 3 2 4" xfId="6646"/>
    <cellStyle name="20 % - Markeringsfarve1 4 3 3" xfId="2488"/>
    <cellStyle name="20 % - Markeringsfarve1 4 3 3 2" xfId="7477"/>
    <cellStyle name="20 % - Markeringsfarve1 4 3 4" xfId="4152"/>
    <cellStyle name="20 % - Markeringsfarve1 4 3 4 2" xfId="9138"/>
    <cellStyle name="20 % - Markeringsfarve1 4 3 5" xfId="5815"/>
    <cellStyle name="20 % - Markeringsfarve1 4 3 6" xfId="10802"/>
    <cellStyle name="20 % - Markeringsfarve1 4 4" xfId="1098"/>
    <cellStyle name="20 % - Markeringsfarve1 4 4 2" xfId="2766"/>
    <cellStyle name="20 % - Markeringsfarve1 4 4 2 2" xfId="7755"/>
    <cellStyle name="20 % - Markeringsfarve1 4 4 3" xfId="4430"/>
    <cellStyle name="20 % - Markeringsfarve1 4 4 3 2" xfId="9416"/>
    <cellStyle name="20 % - Markeringsfarve1 4 4 4" xfId="6093"/>
    <cellStyle name="20 % - Markeringsfarve1 4 5" xfId="1936"/>
    <cellStyle name="20 % - Markeringsfarve1 4 5 2" xfId="6925"/>
    <cellStyle name="20 % - Markeringsfarve1 4 6" xfId="3601"/>
    <cellStyle name="20 % - Markeringsfarve1 4 6 2" xfId="8587"/>
    <cellStyle name="20 % - Markeringsfarve1 4 7" xfId="5264"/>
    <cellStyle name="20 % - Markeringsfarve1 4 8" xfId="10248"/>
    <cellStyle name="20 % - Markeringsfarve1 5" xfId="225"/>
    <cellStyle name="20 % - Markeringsfarve1 5 2" xfId="597"/>
    <cellStyle name="20 % - Markeringsfarve1 5 2 2" xfId="1432"/>
    <cellStyle name="20 % - Markeringsfarve1 5 2 2 2" xfId="3100"/>
    <cellStyle name="20 % - Markeringsfarve1 5 2 2 2 2" xfId="8089"/>
    <cellStyle name="20 % - Markeringsfarve1 5 2 2 3" xfId="4764"/>
    <cellStyle name="20 % - Markeringsfarve1 5 2 2 3 2" xfId="9750"/>
    <cellStyle name="20 % - Markeringsfarve1 5 2 2 4" xfId="6427"/>
    <cellStyle name="20 % - Markeringsfarve1 5 2 3" xfId="2269"/>
    <cellStyle name="20 % - Markeringsfarve1 5 2 3 2" xfId="7258"/>
    <cellStyle name="20 % - Markeringsfarve1 5 2 4" xfId="3933"/>
    <cellStyle name="20 % - Markeringsfarve1 5 2 4 2" xfId="8919"/>
    <cellStyle name="20 % - Markeringsfarve1 5 2 5" xfId="5596"/>
    <cellStyle name="20 % - Markeringsfarve1 5 2 6" xfId="10583"/>
    <cellStyle name="20 % - Markeringsfarve1 5 3" xfId="872"/>
    <cellStyle name="20 % - Markeringsfarve1 5 3 2" xfId="1706"/>
    <cellStyle name="20 % - Markeringsfarve1 5 3 2 2" xfId="3374"/>
    <cellStyle name="20 % - Markeringsfarve1 5 3 2 2 2" xfId="8363"/>
    <cellStyle name="20 % - Markeringsfarve1 5 3 2 3" xfId="5038"/>
    <cellStyle name="20 % - Markeringsfarve1 5 3 2 3 2" xfId="10024"/>
    <cellStyle name="20 % - Markeringsfarve1 5 3 2 4" xfId="6701"/>
    <cellStyle name="20 % - Markeringsfarve1 5 3 3" xfId="2543"/>
    <cellStyle name="20 % - Markeringsfarve1 5 3 3 2" xfId="7532"/>
    <cellStyle name="20 % - Markeringsfarve1 5 3 4" xfId="4207"/>
    <cellStyle name="20 % - Markeringsfarve1 5 3 4 2" xfId="9193"/>
    <cellStyle name="20 % - Markeringsfarve1 5 3 5" xfId="5870"/>
    <cellStyle name="20 % - Markeringsfarve1 5 3 6" xfId="10857"/>
    <cellStyle name="20 % - Markeringsfarve1 5 4" xfId="1153"/>
    <cellStyle name="20 % - Markeringsfarve1 5 4 2" xfId="2821"/>
    <cellStyle name="20 % - Markeringsfarve1 5 4 2 2" xfId="7810"/>
    <cellStyle name="20 % - Markeringsfarve1 5 4 3" xfId="4485"/>
    <cellStyle name="20 % - Markeringsfarve1 5 4 3 2" xfId="9471"/>
    <cellStyle name="20 % - Markeringsfarve1 5 4 4" xfId="6148"/>
    <cellStyle name="20 % - Markeringsfarve1 5 5" xfId="1991"/>
    <cellStyle name="20 % - Markeringsfarve1 5 5 2" xfId="6980"/>
    <cellStyle name="20 % - Markeringsfarve1 5 6" xfId="3656"/>
    <cellStyle name="20 % - Markeringsfarve1 5 6 2" xfId="8642"/>
    <cellStyle name="20 % - Markeringsfarve1 5 7" xfId="5319"/>
    <cellStyle name="20 % - Markeringsfarve1 5 8" xfId="10303"/>
    <cellStyle name="20 % - Markeringsfarve1 6" xfId="280"/>
    <cellStyle name="20 % - Markeringsfarve1 6 2" xfId="652"/>
    <cellStyle name="20 % - Markeringsfarve1 6 2 2" xfId="1487"/>
    <cellStyle name="20 % - Markeringsfarve1 6 2 2 2" xfId="3155"/>
    <cellStyle name="20 % - Markeringsfarve1 6 2 2 2 2" xfId="8144"/>
    <cellStyle name="20 % - Markeringsfarve1 6 2 2 3" xfId="4819"/>
    <cellStyle name="20 % - Markeringsfarve1 6 2 2 3 2" xfId="9805"/>
    <cellStyle name="20 % - Markeringsfarve1 6 2 2 4" xfId="6482"/>
    <cellStyle name="20 % - Markeringsfarve1 6 2 3" xfId="2324"/>
    <cellStyle name="20 % - Markeringsfarve1 6 2 3 2" xfId="7313"/>
    <cellStyle name="20 % - Markeringsfarve1 6 2 4" xfId="3988"/>
    <cellStyle name="20 % - Markeringsfarve1 6 2 4 2" xfId="8974"/>
    <cellStyle name="20 % - Markeringsfarve1 6 2 5" xfId="5651"/>
    <cellStyle name="20 % - Markeringsfarve1 6 2 6" xfId="10638"/>
    <cellStyle name="20 % - Markeringsfarve1 6 3" xfId="927"/>
    <cellStyle name="20 % - Markeringsfarve1 6 3 2" xfId="1761"/>
    <cellStyle name="20 % - Markeringsfarve1 6 3 2 2" xfId="3429"/>
    <cellStyle name="20 % - Markeringsfarve1 6 3 2 2 2" xfId="8418"/>
    <cellStyle name="20 % - Markeringsfarve1 6 3 2 3" xfId="5093"/>
    <cellStyle name="20 % - Markeringsfarve1 6 3 2 3 2" xfId="10079"/>
    <cellStyle name="20 % - Markeringsfarve1 6 3 2 4" xfId="6756"/>
    <cellStyle name="20 % - Markeringsfarve1 6 3 3" xfId="2598"/>
    <cellStyle name="20 % - Markeringsfarve1 6 3 3 2" xfId="7587"/>
    <cellStyle name="20 % - Markeringsfarve1 6 3 4" xfId="4262"/>
    <cellStyle name="20 % - Markeringsfarve1 6 3 4 2" xfId="9248"/>
    <cellStyle name="20 % - Markeringsfarve1 6 3 5" xfId="5925"/>
    <cellStyle name="20 % - Markeringsfarve1 6 3 6" xfId="10912"/>
    <cellStyle name="20 % - Markeringsfarve1 6 4" xfId="1208"/>
    <cellStyle name="20 % - Markeringsfarve1 6 4 2" xfId="2876"/>
    <cellStyle name="20 % - Markeringsfarve1 6 4 2 2" xfId="7865"/>
    <cellStyle name="20 % - Markeringsfarve1 6 4 3" xfId="4540"/>
    <cellStyle name="20 % - Markeringsfarve1 6 4 3 2" xfId="9526"/>
    <cellStyle name="20 % - Markeringsfarve1 6 4 4" xfId="6203"/>
    <cellStyle name="20 % - Markeringsfarve1 6 5" xfId="2046"/>
    <cellStyle name="20 % - Markeringsfarve1 6 5 2" xfId="7035"/>
    <cellStyle name="20 % - Markeringsfarve1 6 6" xfId="3711"/>
    <cellStyle name="20 % - Markeringsfarve1 6 6 2" xfId="8697"/>
    <cellStyle name="20 % - Markeringsfarve1 6 7" xfId="5374"/>
    <cellStyle name="20 % - Markeringsfarve1 6 8" xfId="10358"/>
    <cellStyle name="20 % - Markeringsfarve1 7" xfId="434"/>
    <cellStyle name="20 % - Markeringsfarve1 7 2" xfId="1269"/>
    <cellStyle name="20 % - Markeringsfarve1 7 2 2" xfId="2937"/>
    <cellStyle name="20 % - Markeringsfarve1 7 2 2 2" xfId="7926"/>
    <cellStyle name="20 % - Markeringsfarve1 7 2 3" xfId="4601"/>
    <cellStyle name="20 % - Markeringsfarve1 7 2 3 2" xfId="9587"/>
    <cellStyle name="20 % - Markeringsfarve1 7 2 4" xfId="6264"/>
    <cellStyle name="20 % - Markeringsfarve1 7 3" xfId="2108"/>
    <cellStyle name="20 % - Markeringsfarve1 7 3 2" xfId="7097"/>
    <cellStyle name="20 % - Markeringsfarve1 7 4" xfId="3772"/>
    <cellStyle name="20 % - Markeringsfarve1 7 4 2" xfId="8758"/>
    <cellStyle name="20 % - Markeringsfarve1 7 5" xfId="5435"/>
    <cellStyle name="20 % - Markeringsfarve1 7 6" xfId="10448"/>
    <cellStyle name="20 % - Markeringsfarve1 8" xfId="709"/>
    <cellStyle name="20 % - Markeringsfarve1 8 2" xfId="1543"/>
    <cellStyle name="20 % - Markeringsfarve1 8 2 2" xfId="3211"/>
    <cellStyle name="20 % - Markeringsfarve1 8 2 2 2" xfId="8200"/>
    <cellStyle name="20 % - Markeringsfarve1 8 2 3" xfId="4875"/>
    <cellStyle name="20 % - Markeringsfarve1 8 2 3 2" xfId="9861"/>
    <cellStyle name="20 % - Markeringsfarve1 8 2 4" xfId="6538"/>
    <cellStyle name="20 % - Markeringsfarve1 8 3" xfId="2380"/>
    <cellStyle name="20 % - Markeringsfarve1 8 3 2" xfId="7369"/>
    <cellStyle name="20 % - Markeringsfarve1 8 4" xfId="4044"/>
    <cellStyle name="20 % - Markeringsfarve1 8 4 2" xfId="9030"/>
    <cellStyle name="20 % - Markeringsfarve1 8 5" xfId="5707"/>
    <cellStyle name="20 % - Markeringsfarve1 8 6" xfId="10694"/>
    <cellStyle name="20 % - Markeringsfarve1 9" xfId="990"/>
    <cellStyle name="20 % - Markeringsfarve1 9 2" xfId="2658"/>
    <cellStyle name="20 % - Markeringsfarve1 9 2 2" xfId="7647"/>
    <cellStyle name="20 % - Markeringsfarve1 9 3" xfId="4322"/>
    <cellStyle name="20 % - Markeringsfarve1 9 3 2" xfId="9308"/>
    <cellStyle name="20 % - Markeringsfarve1 9 4" xfId="5985"/>
    <cellStyle name="20 % - Markeringsfarve2" xfId="24" builtinId="34" customBuiltin="1"/>
    <cellStyle name="20 % - Markeringsfarve2 10" xfId="1827"/>
    <cellStyle name="20 % - Markeringsfarve2 10 2" xfId="6819"/>
    <cellStyle name="20 % - Markeringsfarve2 11" xfId="3495"/>
    <cellStyle name="20 % - Markeringsfarve2 11 2" xfId="8481"/>
    <cellStyle name="20 % - Markeringsfarve2 12" xfId="5158"/>
    <cellStyle name="20 % - Markeringsfarve2 13" xfId="10142"/>
    <cellStyle name="20 % - Markeringsfarve2 2" xfId="54"/>
    <cellStyle name="20 % - Markeringsfarve2 2 10" xfId="1839"/>
    <cellStyle name="20 % - Markeringsfarve2 2 10 2" xfId="6831"/>
    <cellStyle name="20 % - Markeringsfarve2 2 11" xfId="3507"/>
    <cellStyle name="20 % - Markeringsfarve2 2 11 2" xfId="8493"/>
    <cellStyle name="20 % - Markeringsfarve2 2 12" xfId="5170"/>
    <cellStyle name="20 % - Markeringsfarve2 2 13" xfId="10154"/>
    <cellStyle name="20 % - Markeringsfarve2 2 2" xfId="79"/>
    <cellStyle name="20 % - Markeringsfarve2 2 2 10" xfId="3526"/>
    <cellStyle name="20 % - Markeringsfarve2 2 2 10 2" xfId="8512"/>
    <cellStyle name="20 % - Markeringsfarve2 2 2 11" xfId="5189"/>
    <cellStyle name="20 % - Markeringsfarve2 2 2 12" xfId="10172"/>
    <cellStyle name="20 % - Markeringsfarve2 2 2 2" xfId="147"/>
    <cellStyle name="20 % - Markeringsfarve2 2 2 2 2" xfId="520"/>
    <cellStyle name="20 % - Markeringsfarve2 2 2 2 2 2" xfId="1355"/>
    <cellStyle name="20 % - Markeringsfarve2 2 2 2 2 2 2" xfId="3023"/>
    <cellStyle name="20 % - Markeringsfarve2 2 2 2 2 2 2 2" xfId="8012"/>
    <cellStyle name="20 % - Markeringsfarve2 2 2 2 2 2 3" xfId="4687"/>
    <cellStyle name="20 % - Markeringsfarve2 2 2 2 2 2 3 2" xfId="9673"/>
    <cellStyle name="20 % - Markeringsfarve2 2 2 2 2 2 4" xfId="6350"/>
    <cellStyle name="20 % - Markeringsfarve2 2 2 2 2 3" xfId="2192"/>
    <cellStyle name="20 % - Markeringsfarve2 2 2 2 2 3 2" xfId="7181"/>
    <cellStyle name="20 % - Markeringsfarve2 2 2 2 2 4" xfId="3856"/>
    <cellStyle name="20 % - Markeringsfarve2 2 2 2 2 4 2" xfId="8842"/>
    <cellStyle name="20 % - Markeringsfarve2 2 2 2 2 5" xfId="5519"/>
    <cellStyle name="20 % - Markeringsfarve2 2 2 2 2 6" xfId="10506"/>
    <cellStyle name="20 % - Markeringsfarve2 2 2 2 3" xfId="795"/>
    <cellStyle name="20 % - Markeringsfarve2 2 2 2 3 2" xfId="1629"/>
    <cellStyle name="20 % - Markeringsfarve2 2 2 2 3 2 2" xfId="3297"/>
    <cellStyle name="20 % - Markeringsfarve2 2 2 2 3 2 2 2" xfId="8286"/>
    <cellStyle name="20 % - Markeringsfarve2 2 2 2 3 2 3" xfId="4961"/>
    <cellStyle name="20 % - Markeringsfarve2 2 2 2 3 2 3 2" xfId="9947"/>
    <cellStyle name="20 % - Markeringsfarve2 2 2 2 3 2 4" xfId="6624"/>
    <cellStyle name="20 % - Markeringsfarve2 2 2 2 3 3" xfId="2466"/>
    <cellStyle name="20 % - Markeringsfarve2 2 2 2 3 3 2" xfId="7455"/>
    <cellStyle name="20 % - Markeringsfarve2 2 2 2 3 4" xfId="4130"/>
    <cellStyle name="20 % - Markeringsfarve2 2 2 2 3 4 2" xfId="9116"/>
    <cellStyle name="20 % - Markeringsfarve2 2 2 2 3 5" xfId="5793"/>
    <cellStyle name="20 % - Markeringsfarve2 2 2 2 3 6" xfId="10780"/>
    <cellStyle name="20 % - Markeringsfarve2 2 2 2 4" xfId="1076"/>
    <cellStyle name="20 % - Markeringsfarve2 2 2 2 4 2" xfId="2744"/>
    <cellStyle name="20 % - Markeringsfarve2 2 2 2 4 2 2" xfId="7733"/>
    <cellStyle name="20 % - Markeringsfarve2 2 2 2 4 3" xfId="4408"/>
    <cellStyle name="20 % - Markeringsfarve2 2 2 2 4 3 2" xfId="9394"/>
    <cellStyle name="20 % - Markeringsfarve2 2 2 2 4 4" xfId="6071"/>
    <cellStyle name="20 % - Markeringsfarve2 2 2 2 5" xfId="1914"/>
    <cellStyle name="20 % - Markeringsfarve2 2 2 2 5 2" xfId="6903"/>
    <cellStyle name="20 % - Markeringsfarve2 2 2 2 6" xfId="3579"/>
    <cellStyle name="20 % - Markeringsfarve2 2 2 2 6 2" xfId="8565"/>
    <cellStyle name="20 % - Markeringsfarve2 2 2 2 7" xfId="5242"/>
    <cellStyle name="20 % - Markeringsfarve2 2 2 2 8" xfId="10226"/>
    <cellStyle name="20 % - Markeringsfarve2 2 2 3" xfId="202"/>
    <cellStyle name="20 % - Markeringsfarve2 2 2 3 2" xfId="574"/>
    <cellStyle name="20 % - Markeringsfarve2 2 2 3 2 2" xfId="1409"/>
    <cellStyle name="20 % - Markeringsfarve2 2 2 3 2 2 2" xfId="3077"/>
    <cellStyle name="20 % - Markeringsfarve2 2 2 3 2 2 2 2" xfId="8066"/>
    <cellStyle name="20 % - Markeringsfarve2 2 2 3 2 2 3" xfId="4741"/>
    <cellStyle name="20 % - Markeringsfarve2 2 2 3 2 2 3 2" xfId="9727"/>
    <cellStyle name="20 % - Markeringsfarve2 2 2 3 2 2 4" xfId="6404"/>
    <cellStyle name="20 % - Markeringsfarve2 2 2 3 2 3" xfId="2246"/>
    <cellStyle name="20 % - Markeringsfarve2 2 2 3 2 3 2" xfId="7235"/>
    <cellStyle name="20 % - Markeringsfarve2 2 2 3 2 4" xfId="3910"/>
    <cellStyle name="20 % - Markeringsfarve2 2 2 3 2 4 2" xfId="8896"/>
    <cellStyle name="20 % - Markeringsfarve2 2 2 3 2 5" xfId="5573"/>
    <cellStyle name="20 % - Markeringsfarve2 2 2 3 2 6" xfId="10560"/>
    <cellStyle name="20 % - Markeringsfarve2 2 2 3 3" xfId="849"/>
    <cellStyle name="20 % - Markeringsfarve2 2 2 3 3 2" xfId="1683"/>
    <cellStyle name="20 % - Markeringsfarve2 2 2 3 3 2 2" xfId="3351"/>
    <cellStyle name="20 % - Markeringsfarve2 2 2 3 3 2 2 2" xfId="8340"/>
    <cellStyle name="20 % - Markeringsfarve2 2 2 3 3 2 3" xfId="5015"/>
    <cellStyle name="20 % - Markeringsfarve2 2 2 3 3 2 3 2" xfId="10001"/>
    <cellStyle name="20 % - Markeringsfarve2 2 2 3 3 2 4" xfId="6678"/>
    <cellStyle name="20 % - Markeringsfarve2 2 2 3 3 3" xfId="2520"/>
    <cellStyle name="20 % - Markeringsfarve2 2 2 3 3 3 2" xfId="7509"/>
    <cellStyle name="20 % - Markeringsfarve2 2 2 3 3 4" xfId="4184"/>
    <cellStyle name="20 % - Markeringsfarve2 2 2 3 3 4 2" xfId="9170"/>
    <cellStyle name="20 % - Markeringsfarve2 2 2 3 3 5" xfId="5847"/>
    <cellStyle name="20 % - Markeringsfarve2 2 2 3 3 6" xfId="10834"/>
    <cellStyle name="20 % - Markeringsfarve2 2 2 3 4" xfId="1130"/>
    <cellStyle name="20 % - Markeringsfarve2 2 2 3 4 2" xfId="2798"/>
    <cellStyle name="20 % - Markeringsfarve2 2 2 3 4 2 2" xfId="7787"/>
    <cellStyle name="20 % - Markeringsfarve2 2 2 3 4 3" xfId="4462"/>
    <cellStyle name="20 % - Markeringsfarve2 2 2 3 4 3 2" xfId="9448"/>
    <cellStyle name="20 % - Markeringsfarve2 2 2 3 4 4" xfId="6125"/>
    <cellStyle name="20 % - Markeringsfarve2 2 2 3 5" xfId="1968"/>
    <cellStyle name="20 % - Markeringsfarve2 2 2 3 5 2" xfId="6957"/>
    <cellStyle name="20 % - Markeringsfarve2 2 2 3 6" xfId="3633"/>
    <cellStyle name="20 % - Markeringsfarve2 2 2 3 6 2" xfId="8619"/>
    <cellStyle name="20 % - Markeringsfarve2 2 2 3 7" xfId="5296"/>
    <cellStyle name="20 % - Markeringsfarve2 2 2 3 8" xfId="10280"/>
    <cellStyle name="20 % - Markeringsfarve2 2 2 4" xfId="257"/>
    <cellStyle name="20 % - Markeringsfarve2 2 2 4 2" xfId="629"/>
    <cellStyle name="20 % - Markeringsfarve2 2 2 4 2 2" xfId="1464"/>
    <cellStyle name="20 % - Markeringsfarve2 2 2 4 2 2 2" xfId="3132"/>
    <cellStyle name="20 % - Markeringsfarve2 2 2 4 2 2 2 2" xfId="8121"/>
    <cellStyle name="20 % - Markeringsfarve2 2 2 4 2 2 3" xfId="4796"/>
    <cellStyle name="20 % - Markeringsfarve2 2 2 4 2 2 3 2" xfId="9782"/>
    <cellStyle name="20 % - Markeringsfarve2 2 2 4 2 2 4" xfId="6459"/>
    <cellStyle name="20 % - Markeringsfarve2 2 2 4 2 3" xfId="2301"/>
    <cellStyle name="20 % - Markeringsfarve2 2 2 4 2 3 2" xfId="7290"/>
    <cellStyle name="20 % - Markeringsfarve2 2 2 4 2 4" xfId="3965"/>
    <cellStyle name="20 % - Markeringsfarve2 2 2 4 2 4 2" xfId="8951"/>
    <cellStyle name="20 % - Markeringsfarve2 2 2 4 2 5" xfId="5628"/>
    <cellStyle name="20 % - Markeringsfarve2 2 2 4 2 6" xfId="10615"/>
    <cellStyle name="20 % - Markeringsfarve2 2 2 4 3" xfId="904"/>
    <cellStyle name="20 % - Markeringsfarve2 2 2 4 3 2" xfId="1738"/>
    <cellStyle name="20 % - Markeringsfarve2 2 2 4 3 2 2" xfId="3406"/>
    <cellStyle name="20 % - Markeringsfarve2 2 2 4 3 2 2 2" xfId="8395"/>
    <cellStyle name="20 % - Markeringsfarve2 2 2 4 3 2 3" xfId="5070"/>
    <cellStyle name="20 % - Markeringsfarve2 2 2 4 3 2 3 2" xfId="10056"/>
    <cellStyle name="20 % - Markeringsfarve2 2 2 4 3 2 4" xfId="6733"/>
    <cellStyle name="20 % - Markeringsfarve2 2 2 4 3 3" xfId="2575"/>
    <cellStyle name="20 % - Markeringsfarve2 2 2 4 3 3 2" xfId="7564"/>
    <cellStyle name="20 % - Markeringsfarve2 2 2 4 3 4" xfId="4239"/>
    <cellStyle name="20 % - Markeringsfarve2 2 2 4 3 4 2" xfId="9225"/>
    <cellStyle name="20 % - Markeringsfarve2 2 2 4 3 5" xfId="5902"/>
    <cellStyle name="20 % - Markeringsfarve2 2 2 4 3 6" xfId="10889"/>
    <cellStyle name="20 % - Markeringsfarve2 2 2 4 4" xfId="1185"/>
    <cellStyle name="20 % - Markeringsfarve2 2 2 4 4 2" xfId="2853"/>
    <cellStyle name="20 % - Markeringsfarve2 2 2 4 4 2 2" xfId="7842"/>
    <cellStyle name="20 % - Markeringsfarve2 2 2 4 4 3" xfId="4517"/>
    <cellStyle name="20 % - Markeringsfarve2 2 2 4 4 3 2" xfId="9503"/>
    <cellStyle name="20 % - Markeringsfarve2 2 2 4 4 4" xfId="6180"/>
    <cellStyle name="20 % - Markeringsfarve2 2 2 4 5" xfId="2023"/>
    <cellStyle name="20 % - Markeringsfarve2 2 2 4 5 2" xfId="7012"/>
    <cellStyle name="20 % - Markeringsfarve2 2 2 4 6" xfId="3688"/>
    <cellStyle name="20 % - Markeringsfarve2 2 2 4 6 2" xfId="8674"/>
    <cellStyle name="20 % - Markeringsfarve2 2 2 4 7" xfId="5351"/>
    <cellStyle name="20 % - Markeringsfarve2 2 2 4 8" xfId="10335"/>
    <cellStyle name="20 % - Markeringsfarve2 2 2 5" xfId="313"/>
    <cellStyle name="20 % - Markeringsfarve2 2 2 5 2" xfId="685"/>
    <cellStyle name="20 % - Markeringsfarve2 2 2 5 2 2" xfId="1520"/>
    <cellStyle name="20 % - Markeringsfarve2 2 2 5 2 2 2" xfId="3188"/>
    <cellStyle name="20 % - Markeringsfarve2 2 2 5 2 2 2 2" xfId="8177"/>
    <cellStyle name="20 % - Markeringsfarve2 2 2 5 2 2 3" xfId="4852"/>
    <cellStyle name="20 % - Markeringsfarve2 2 2 5 2 2 3 2" xfId="9838"/>
    <cellStyle name="20 % - Markeringsfarve2 2 2 5 2 2 4" xfId="6515"/>
    <cellStyle name="20 % - Markeringsfarve2 2 2 5 2 3" xfId="2357"/>
    <cellStyle name="20 % - Markeringsfarve2 2 2 5 2 3 2" xfId="7346"/>
    <cellStyle name="20 % - Markeringsfarve2 2 2 5 2 4" xfId="4021"/>
    <cellStyle name="20 % - Markeringsfarve2 2 2 5 2 4 2" xfId="9007"/>
    <cellStyle name="20 % - Markeringsfarve2 2 2 5 2 5" xfId="5684"/>
    <cellStyle name="20 % - Markeringsfarve2 2 2 5 2 6" xfId="10671"/>
    <cellStyle name="20 % - Markeringsfarve2 2 2 5 3" xfId="960"/>
    <cellStyle name="20 % - Markeringsfarve2 2 2 5 3 2" xfId="1794"/>
    <cellStyle name="20 % - Markeringsfarve2 2 2 5 3 2 2" xfId="3462"/>
    <cellStyle name="20 % - Markeringsfarve2 2 2 5 3 2 2 2" xfId="8451"/>
    <cellStyle name="20 % - Markeringsfarve2 2 2 5 3 2 3" xfId="5126"/>
    <cellStyle name="20 % - Markeringsfarve2 2 2 5 3 2 3 2" xfId="10112"/>
    <cellStyle name="20 % - Markeringsfarve2 2 2 5 3 2 4" xfId="6789"/>
    <cellStyle name="20 % - Markeringsfarve2 2 2 5 3 3" xfId="2631"/>
    <cellStyle name="20 % - Markeringsfarve2 2 2 5 3 3 2" xfId="7620"/>
    <cellStyle name="20 % - Markeringsfarve2 2 2 5 3 4" xfId="4295"/>
    <cellStyle name="20 % - Markeringsfarve2 2 2 5 3 4 2" xfId="9281"/>
    <cellStyle name="20 % - Markeringsfarve2 2 2 5 3 5" xfId="5958"/>
    <cellStyle name="20 % - Markeringsfarve2 2 2 5 3 6" xfId="10945"/>
    <cellStyle name="20 % - Markeringsfarve2 2 2 5 4" xfId="1241"/>
    <cellStyle name="20 % - Markeringsfarve2 2 2 5 4 2" xfId="2909"/>
    <cellStyle name="20 % - Markeringsfarve2 2 2 5 4 2 2" xfId="7898"/>
    <cellStyle name="20 % - Markeringsfarve2 2 2 5 4 3" xfId="4573"/>
    <cellStyle name="20 % - Markeringsfarve2 2 2 5 4 3 2" xfId="9559"/>
    <cellStyle name="20 % - Markeringsfarve2 2 2 5 4 4" xfId="6236"/>
    <cellStyle name="20 % - Markeringsfarve2 2 2 5 5" xfId="2079"/>
    <cellStyle name="20 % - Markeringsfarve2 2 2 5 5 2" xfId="7068"/>
    <cellStyle name="20 % - Markeringsfarve2 2 2 5 6" xfId="3744"/>
    <cellStyle name="20 % - Markeringsfarve2 2 2 5 6 2" xfId="8730"/>
    <cellStyle name="20 % - Markeringsfarve2 2 2 5 7" xfId="5407"/>
    <cellStyle name="20 % - Markeringsfarve2 2 2 5 8" xfId="10391"/>
    <cellStyle name="20 % - Markeringsfarve2 2 2 6" xfId="466"/>
    <cellStyle name="20 % - Markeringsfarve2 2 2 6 2" xfId="1301"/>
    <cellStyle name="20 % - Markeringsfarve2 2 2 6 2 2" xfId="2969"/>
    <cellStyle name="20 % - Markeringsfarve2 2 2 6 2 2 2" xfId="7958"/>
    <cellStyle name="20 % - Markeringsfarve2 2 2 6 2 3" xfId="4633"/>
    <cellStyle name="20 % - Markeringsfarve2 2 2 6 2 3 2" xfId="9619"/>
    <cellStyle name="20 % - Markeringsfarve2 2 2 6 2 4" xfId="6296"/>
    <cellStyle name="20 % - Markeringsfarve2 2 2 6 3" xfId="2140"/>
    <cellStyle name="20 % - Markeringsfarve2 2 2 6 3 2" xfId="7129"/>
    <cellStyle name="20 % - Markeringsfarve2 2 2 6 4" xfId="3804"/>
    <cellStyle name="20 % - Markeringsfarve2 2 2 6 4 2" xfId="8790"/>
    <cellStyle name="20 % - Markeringsfarve2 2 2 6 5" xfId="5467"/>
    <cellStyle name="20 % - Markeringsfarve2 2 2 6 6" xfId="10429"/>
    <cellStyle name="20 % - Markeringsfarve2 2 2 7" xfId="741"/>
    <cellStyle name="20 % - Markeringsfarve2 2 2 7 2" xfId="1575"/>
    <cellStyle name="20 % - Markeringsfarve2 2 2 7 2 2" xfId="3243"/>
    <cellStyle name="20 % - Markeringsfarve2 2 2 7 2 2 2" xfId="8232"/>
    <cellStyle name="20 % - Markeringsfarve2 2 2 7 2 3" xfId="4907"/>
    <cellStyle name="20 % - Markeringsfarve2 2 2 7 2 3 2" xfId="9893"/>
    <cellStyle name="20 % - Markeringsfarve2 2 2 7 2 4" xfId="6570"/>
    <cellStyle name="20 % - Markeringsfarve2 2 2 7 3" xfId="2412"/>
    <cellStyle name="20 % - Markeringsfarve2 2 2 7 3 2" xfId="7401"/>
    <cellStyle name="20 % - Markeringsfarve2 2 2 7 4" xfId="4076"/>
    <cellStyle name="20 % - Markeringsfarve2 2 2 7 4 2" xfId="9062"/>
    <cellStyle name="20 % - Markeringsfarve2 2 2 7 5" xfId="5739"/>
    <cellStyle name="20 % - Markeringsfarve2 2 2 7 6" xfId="10726"/>
    <cellStyle name="20 % - Markeringsfarve2 2 2 8" xfId="1022"/>
    <cellStyle name="20 % - Markeringsfarve2 2 2 8 2" xfId="2690"/>
    <cellStyle name="20 % - Markeringsfarve2 2 2 8 2 2" xfId="7679"/>
    <cellStyle name="20 % - Markeringsfarve2 2 2 8 3" xfId="4354"/>
    <cellStyle name="20 % - Markeringsfarve2 2 2 8 3 2" xfId="9340"/>
    <cellStyle name="20 % - Markeringsfarve2 2 2 8 4" xfId="6017"/>
    <cellStyle name="20 % - Markeringsfarve2 2 2 9" xfId="1858"/>
    <cellStyle name="20 % - Markeringsfarve2 2 2 9 2" xfId="6850"/>
    <cellStyle name="20 % - Markeringsfarve2 2 3" xfId="130"/>
    <cellStyle name="20 % - Markeringsfarve2 2 3 2" xfId="503"/>
    <cellStyle name="20 % - Markeringsfarve2 2 3 2 2" xfId="1338"/>
    <cellStyle name="20 % - Markeringsfarve2 2 3 2 2 2" xfId="3006"/>
    <cellStyle name="20 % - Markeringsfarve2 2 3 2 2 2 2" xfId="7995"/>
    <cellStyle name="20 % - Markeringsfarve2 2 3 2 2 3" xfId="4670"/>
    <cellStyle name="20 % - Markeringsfarve2 2 3 2 2 3 2" xfId="9656"/>
    <cellStyle name="20 % - Markeringsfarve2 2 3 2 2 4" xfId="6333"/>
    <cellStyle name="20 % - Markeringsfarve2 2 3 2 3" xfId="2177"/>
    <cellStyle name="20 % - Markeringsfarve2 2 3 2 3 2" xfId="7166"/>
    <cellStyle name="20 % - Markeringsfarve2 2 3 2 4" xfId="3841"/>
    <cellStyle name="20 % - Markeringsfarve2 2 3 2 4 2" xfId="8827"/>
    <cellStyle name="20 % - Markeringsfarve2 2 3 2 5" xfId="5504"/>
    <cellStyle name="20 % - Markeringsfarve2 2 3 2 6" xfId="10489"/>
    <cellStyle name="20 % - Markeringsfarve2 2 3 3" xfId="778"/>
    <cellStyle name="20 % - Markeringsfarve2 2 3 3 2" xfId="1612"/>
    <cellStyle name="20 % - Markeringsfarve2 2 3 3 2 2" xfId="3280"/>
    <cellStyle name="20 % - Markeringsfarve2 2 3 3 2 2 2" xfId="8269"/>
    <cellStyle name="20 % - Markeringsfarve2 2 3 3 2 3" xfId="4944"/>
    <cellStyle name="20 % - Markeringsfarve2 2 3 3 2 3 2" xfId="9930"/>
    <cellStyle name="20 % - Markeringsfarve2 2 3 3 2 4" xfId="6607"/>
    <cellStyle name="20 % - Markeringsfarve2 2 3 3 3" xfId="2449"/>
    <cellStyle name="20 % - Markeringsfarve2 2 3 3 3 2" xfId="7438"/>
    <cellStyle name="20 % - Markeringsfarve2 2 3 3 4" xfId="4113"/>
    <cellStyle name="20 % - Markeringsfarve2 2 3 3 4 2" xfId="9099"/>
    <cellStyle name="20 % - Markeringsfarve2 2 3 3 5" xfId="5776"/>
    <cellStyle name="20 % - Markeringsfarve2 2 3 3 6" xfId="10763"/>
    <cellStyle name="20 % - Markeringsfarve2 2 3 4" xfId="1059"/>
    <cellStyle name="20 % - Markeringsfarve2 2 3 4 2" xfId="2727"/>
    <cellStyle name="20 % - Markeringsfarve2 2 3 4 2 2" xfId="7716"/>
    <cellStyle name="20 % - Markeringsfarve2 2 3 4 3" xfId="4391"/>
    <cellStyle name="20 % - Markeringsfarve2 2 3 4 3 2" xfId="9377"/>
    <cellStyle name="20 % - Markeringsfarve2 2 3 4 4" xfId="6054"/>
    <cellStyle name="20 % - Markeringsfarve2 2 3 5" xfId="1897"/>
    <cellStyle name="20 % - Markeringsfarve2 2 3 5 2" xfId="6886"/>
    <cellStyle name="20 % - Markeringsfarve2 2 3 6" xfId="3562"/>
    <cellStyle name="20 % - Markeringsfarve2 2 3 6 2" xfId="8548"/>
    <cellStyle name="20 % - Markeringsfarve2 2 3 7" xfId="5225"/>
    <cellStyle name="20 % - Markeringsfarve2 2 3 8" xfId="10209"/>
    <cellStyle name="20 % - Markeringsfarve2 2 4" xfId="184"/>
    <cellStyle name="20 % - Markeringsfarve2 2 4 2" xfId="556"/>
    <cellStyle name="20 % - Markeringsfarve2 2 4 2 2" xfId="1391"/>
    <cellStyle name="20 % - Markeringsfarve2 2 4 2 2 2" xfId="3059"/>
    <cellStyle name="20 % - Markeringsfarve2 2 4 2 2 2 2" xfId="8048"/>
    <cellStyle name="20 % - Markeringsfarve2 2 4 2 2 3" xfId="4723"/>
    <cellStyle name="20 % - Markeringsfarve2 2 4 2 2 3 2" xfId="9709"/>
    <cellStyle name="20 % - Markeringsfarve2 2 4 2 2 4" xfId="6386"/>
    <cellStyle name="20 % - Markeringsfarve2 2 4 2 3" xfId="2228"/>
    <cellStyle name="20 % - Markeringsfarve2 2 4 2 3 2" xfId="7217"/>
    <cellStyle name="20 % - Markeringsfarve2 2 4 2 4" xfId="3892"/>
    <cellStyle name="20 % - Markeringsfarve2 2 4 2 4 2" xfId="8878"/>
    <cellStyle name="20 % - Markeringsfarve2 2 4 2 5" xfId="5555"/>
    <cellStyle name="20 % - Markeringsfarve2 2 4 2 6" xfId="10542"/>
    <cellStyle name="20 % - Markeringsfarve2 2 4 3" xfId="831"/>
    <cellStyle name="20 % - Markeringsfarve2 2 4 3 2" xfId="1665"/>
    <cellStyle name="20 % - Markeringsfarve2 2 4 3 2 2" xfId="3333"/>
    <cellStyle name="20 % - Markeringsfarve2 2 4 3 2 2 2" xfId="8322"/>
    <cellStyle name="20 % - Markeringsfarve2 2 4 3 2 3" xfId="4997"/>
    <cellStyle name="20 % - Markeringsfarve2 2 4 3 2 3 2" xfId="9983"/>
    <cellStyle name="20 % - Markeringsfarve2 2 4 3 2 4" xfId="6660"/>
    <cellStyle name="20 % - Markeringsfarve2 2 4 3 3" xfId="2502"/>
    <cellStyle name="20 % - Markeringsfarve2 2 4 3 3 2" xfId="7491"/>
    <cellStyle name="20 % - Markeringsfarve2 2 4 3 4" xfId="4166"/>
    <cellStyle name="20 % - Markeringsfarve2 2 4 3 4 2" xfId="9152"/>
    <cellStyle name="20 % - Markeringsfarve2 2 4 3 5" xfId="5829"/>
    <cellStyle name="20 % - Markeringsfarve2 2 4 3 6" xfId="10816"/>
    <cellStyle name="20 % - Markeringsfarve2 2 4 4" xfId="1112"/>
    <cellStyle name="20 % - Markeringsfarve2 2 4 4 2" xfId="2780"/>
    <cellStyle name="20 % - Markeringsfarve2 2 4 4 2 2" xfId="7769"/>
    <cellStyle name="20 % - Markeringsfarve2 2 4 4 3" xfId="4444"/>
    <cellStyle name="20 % - Markeringsfarve2 2 4 4 3 2" xfId="9430"/>
    <cellStyle name="20 % - Markeringsfarve2 2 4 4 4" xfId="6107"/>
    <cellStyle name="20 % - Markeringsfarve2 2 4 5" xfId="1950"/>
    <cellStyle name="20 % - Markeringsfarve2 2 4 5 2" xfId="6939"/>
    <cellStyle name="20 % - Markeringsfarve2 2 4 6" xfId="3615"/>
    <cellStyle name="20 % - Markeringsfarve2 2 4 6 2" xfId="8601"/>
    <cellStyle name="20 % - Markeringsfarve2 2 4 7" xfId="5278"/>
    <cellStyle name="20 % - Markeringsfarve2 2 4 8" xfId="10262"/>
    <cellStyle name="20 % - Markeringsfarve2 2 5" xfId="238"/>
    <cellStyle name="20 % - Markeringsfarve2 2 5 2" xfId="610"/>
    <cellStyle name="20 % - Markeringsfarve2 2 5 2 2" xfId="1445"/>
    <cellStyle name="20 % - Markeringsfarve2 2 5 2 2 2" xfId="3113"/>
    <cellStyle name="20 % - Markeringsfarve2 2 5 2 2 2 2" xfId="8102"/>
    <cellStyle name="20 % - Markeringsfarve2 2 5 2 2 3" xfId="4777"/>
    <cellStyle name="20 % - Markeringsfarve2 2 5 2 2 3 2" xfId="9763"/>
    <cellStyle name="20 % - Markeringsfarve2 2 5 2 2 4" xfId="6440"/>
    <cellStyle name="20 % - Markeringsfarve2 2 5 2 3" xfId="2282"/>
    <cellStyle name="20 % - Markeringsfarve2 2 5 2 3 2" xfId="7271"/>
    <cellStyle name="20 % - Markeringsfarve2 2 5 2 4" xfId="3946"/>
    <cellStyle name="20 % - Markeringsfarve2 2 5 2 4 2" xfId="8932"/>
    <cellStyle name="20 % - Markeringsfarve2 2 5 2 5" xfId="5609"/>
    <cellStyle name="20 % - Markeringsfarve2 2 5 2 6" xfId="10596"/>
    <cellStyle name="20 % - Markeringsfarve2 2 5 3" xfId="885"/>
    <cellStyle name="20 % - Markeringsfarve2 2 5 3 2" xfId="1719"/>
    <cellStyle name="20 % - Markeringsfarve2 2 5 3 2 2" xfId="3387"/>
    <cellStyle name="20 % - Markeringsfarve2 2 5 3 2 2 2" xfId="8376"/>
    <cellStyle name="20 % - Markeringsfarve2 2 5 3 2 3" xfId="5051"/>
    <cellStyle name="20 % - Markeringsfarve2 2 5 3 2 3 2" xfId="10037"/>
    <cellStyle name="20 % - Markeringsfarve2 2 5 3 2 4" xfId="6714"/>
    <cellStyle name="20 % - Markeringsfarve2 2 5 3 3" xfId="2556"/>
    <cellStyle name="20 % - Markeringsfarve2 2 5 3 3 2" xfId="7545"/>
    <cellStyle name="20 % - Markeringsfarve2 2 5 3 4" xfId="4220"/>
    <cellStyle name="20 % - Markeringsfarve2 2 5 3 4 2" xfId="9206"/>
    <cellStyle name="20 % - Markeringsfarve2 2 5 3 5" xfId="5883"/>
    <cellStyle name="20 % - Markeringsfarve2 2 5 3 6" xfId="10870"/>
    <cellStyle name="20 % - Markeringsfarve2 2 5 4" xfId="1166"/>
    <cellStyle name="20 % - Markeringsfarve2 2 5 4 2" xfId="2834"/>
    <cellStyle name="20 % - Markeringsfarve2 2 5 4 2 2" xfId="7823"/>
    <cellStyle name="20 % - Markeringsfarve2 2 5 4 3" xfId="4498"/>
    <cellStyle name="20 % - Markeringsfarve2 2 5 4 3 2" xfId="9484"/>
    <cellStyle name="20 % - Markeringsfarve2 2 5 4 4" xfId="6161"/>
    <cellStyle name="20 % - Markeringsfarve2 2 5 5" xfId="2004"/>
    <cellStyle name="20 % - Markeringsfarve2 2 5 5 2" xfId="6993"/>
    <cellStyle name="20 % - Markeringsfarve2 2 5 6" xfId="3669"/>
    <cellStyle name="20 % - Markeringsfarve2 2 5 6 2" xfId="8655"/>
    <cellStyle name="20 % - Markeringsfarve2 2 5 7" xfId="5332"/>
    <cellStyle name="20 % - Markeringsfarve2 2 5 8" xfId="10316"/>
    <cellStyle name="20 % - Markeringsfarve2 2 6" xfId="294"/>
    <cellStyle name="20 % - Markeringsfarve2 2 6 2" xfId="666"/>
    <cellStyle name="20 % - Markeringsfarve2 2 6 2 2" xfId="1501"/>
    <cellStyle name="20 % - Markeringsfarve2 2 6 2 2 2" xfId="3169"/>
    <cellStyle name="20 % - Markeringsfarve2 2 6 2 2 2 2" xfId="8158"/>
    <cellStyle name="20 % - Markeringsfarve2 2 6 2 2 3" xfId="4833"/>
    <cellStyle name="20 % - Markeringsfarve2 2 6 2 2 3 2" xfId="9819"/>
    <cellStyle name="20 % - Markeringsfarve2 2 6 2 2 4" xfId="6496"/>
    <cellStyle name="20 % - Markeringsfarve2 2 6 2 3" xfId="2338"/>
    <cellStyle name="20 % - Markeringsfarve2 2 6 2 3 2" xfId="7327"/>
    <cellStyle name="20 % - Markeringsfarve2 2 6 2 4" xfId="4002"/>
    <cellStyle name="20 % - Markeringsfarve2 2 6 2 4 2" xfId="8988"/>
    <cellStyle name="20 % - Markeringsfarve2 2 6 2 5" xfId="5665"/>
    <cellStyle name="20 % - Markeringsfarve2 2 6 2 6" xfId="10652"/>
    <cellStyle name="20 % - Markeringsfarve2 2 6 3" xfId="941"/>
    <cellStyle name="20 % - Markeringsfarve2 2 6 3 2" xfId="1775"/>
    <cellStyle name="20 % - Markeringsfarve2 2 6 3 2 2" xfId="3443"/>
    <cellStyle name="20 % - Markeringsfarve2 2 6 3 2 2 2" xfId="8432"/>
    <cellStyle name="20 % - Markeringsfarve2 2 6 3 2 3" xfId="5107"/>
    <cellStyle name="20 % - Markeringsfarve2 2 6 3 2 3 2" xfId="10093"/>
    <cellStyle name="20 % - Markeringsfarve2 2 6 3 2 4" xfId="6770"/>
    <cellStyle name="20 % - Markeringsfarve2 2 6 3 3" xfId="2612"/>
    <cellStyle name="20 % - Markeringsfarve2 2 6 3 3 2" xfId="7601"/>
    <cellStyle name="20 % - Markeringsfarve2 2 6 3 4" xfId="4276"/>
    <cellStyle name="20 % - Markeringsfarve2 2 6 3 4 2" xfId="9262"/>
    <cellStyle name="20 % - Markeringsfarve2 2 6 3 5" xfId="5939"/>
    <cellStyle name="20 % - Markeringsfarve2 2 6 3 6" xfId="10926"/>
    <cellStyle name="20 % - Markeringsfarve2 2 6 4" xfId="1222"/>
    <cellStyle name="20 % - Markeringsfarve2 2 6 4 2" xfId="2890"/>
    <cellStyle name="20 % - Markeringsfarve2 2 6 4 2 2" xfId="7879"/>
    <cellStyle name="20 % - Markeringsfarve2 2 6 4 3" xfId="4554"/>
    <cellStyle name="20 % - Markeringsfarve2 2 6 4 3 2" xfId="9540"/>
    <cellStyle name="20 % - Markeringsfarve2 2 6 4 4" xfId="6217"/>
    <cellStyle name="20 % - Markeringsfarve2 2 6 5" xfId="2060"/>
    <cellStyle name="20 % - Markeringsfarve2 2 6 5 2" xfId="7049"/>
    <cellStyle name="20 % - Markeringsfarve2 2 6 6" xfId="3725"/>
    <cellStyle name="20 % - Markeringsfarve2 2 6 6 2" xfId="8711"/>
    <cellStyle name="20 % - Markeringsfarve2 2 6 7" xfId="5388"/>
    <cellStyle name="20 % - Markeringsfarve2 2 6 8" xfId="10372"/>
    <cellStyle name="20 % - Markeringsfarve2 2 7" xfId="448"/>
    <cellStyle name="20 % - Markeringsfarve2 2 7 2" xfId="1283"/>
    <cellStyle name="20 % - Markeringsfarve2 2 7 2 2" xfId="2951"/>
    <cellStyle name="20 % - Markeringsfarve2 2 7 2 2 2" xfId="7940"/>
    <cellStyle name="20 % - Markeringsfarve2 2 7 2 3" xfId="4615"/>
    <cellStyle name="20 % - Markeringsfarve2 2 7 2 3 2" xfId="9601"/>
    <cellStyle name="20 % - Markeringsfarve2 2 7 2 4" xfId="6278"/>
    <cellStyle name="20 % - Markeringsfarve2 2 7 3" xfId="2122"/>
    <cellStyle name="20 % - Markeringsfarve2 2 7 3 2" xfId="7111"/>
    <cellStyle name="20 % - Markeringsfarve2 2 7 4" xfId="3786"/>
    <cellStyle name="20 % - Markeringsfarve2 2 7 4 2" xfId="8772"/>
    <cellStyle name="20 % - Markeringsfarve2 2 7 5" xfId="5449"/>
    <cellStyle name="20 % - Markeringsfarve2 2 7 6" xfId="10455"/>
    <cellStyle name="20 % - Markeringsfarve2 2 8" xfId="723"/>
    <cellStyle name="20 % - Markeringsfarve2 2 8 2" xfId="1557"/>
    <cellStyle name="20 % - Markeringsfarve2 2 8 2 2" xfId="3225"/>
    <cellStyle name="20 % - Markeringsfarve2 2 8 2 2 2" xfId="8214"/>
    <cellStyle name="20 % - Markeringsfarve2 2 8 2 3" xfId="4889"/>
    <cellStyle name="20 % - Markeringsfarve2 2 8 2 3 2" xfId="9875"/>
    <cellStyle name="20 % - Markeringsfarve2 2 8 2 4" xfId="6552"/>
    <cellStyle name="20 % - Markeringsfarve2 2 8 3" xfId="2394"/>
    <cellStyle name="20 % - Markeringsfarve2 2 8 3 2" xfId="7383"/>
    <cellStyle name="20 % - Markeringsfarve2 2 8 4" xfId="4058"/>
    <cellStyle name="20 % - Markeringsfarve2 2 8 4 2" xfId="9044"/>
    <cellStyle name="20 % - Markeringsfarve2 2 8 5" xfId="5721"/>
    <cellStyle name="20 % - Markeringsfarve2 2 8 6" xfId="10708"/>
    <cellStyle name="20 % - Markeringsfarve2 2 9" xfId="1004"/>
    <cellStyle name="20 % - Markeringsfarve2 2 9 2" xfId="2672"/>
    <cellStyle name="20 % - Markeringsfarve2 2 9 2 2" xfId="7661"/>
    <cellStyle name="20 % - Markeringsfarve2 2 9 3" xfId="4336"/>
    <cellStyle name="20 % - Markeringsfarve2 2 9 3 2" xfId="9322"/>
    <cellStyle name="20 % - Markeringsfarve2 2 9 4" xfId="5999"/>
    <cellStyle name="20 % - Markeringsfarve2 3" xfId="118"/>
    <cellStyle name="20 % - Markeringsfarve2 3 2" xfId="491"/>
    <cellStyle name="20 % - Markeringsfarve2 3 2 2" xfId="1326"/>
    <cellStyle name="20 % - Markeringsfarve2 3 2 2 2" xfId="2994"/>
    <cellStyle name="20 % - Markeringsfarve2 3 2 2 2 2" xfId="7983"/>
    <cellStyle name="20 % - Markeringsfarve2 3 2 2 3" xfId="4658"/>
    <cellStyle name="20 % - Markeringsfarve2 3 2 2 3 2" xfId="9644"/>
    <cellStyle name="20 % - Markeringsfarve2 3 2 2 4" xfId="6321"/>
    <cellStyle name="20 % - Markeringsfarve2 3 2 3" xfId="2165"/>
    <cellStyle name="20 % - Markeringsfarve2 3 2 3 2" xfId="7154"/>
    <cellStyle name="20 % - Markeringsfarve2 3 2 4" xfId="3829"/>
    <cellStyle name="20 % - Markeringsfarve2 3 2 4 2" xfId="8815"/>
    <cellStyle name="20 % - Markeringsfarve2 3 2 5" xfId="5492"/>
    <cellStyle name="20 % - Markeringsfarve2 3 2 6" xfId="10477"/>
    <cellStyle name="20 % - Markeringsfarve2 3 3" xfId="766"/>
    <cellStyle name="20 % - Markeringsfarve2 3 3 2" xfId="1600"/>
    <cellStyle name="20 % - Markeringsfarve2 3 3 2 2" xfId="3268"/>
    <cellStyle name="20 % - Markeringsfarve2 3 3 2 2 2" xfId="8257"/>
    <cellStyle name="20 % - Markeringsfarve2 3 3 2 3" xfId="4932"/>
    <cellStyle name="20 % - Markeringsfarve2 3 3 2 3 2" xfId="9918"/>
    <cellStyle name="20 % - Markeringsfarve2 3 3 2 4" xfId="6595"/>
    <cellStyle name="20 % - Markeringsfarve2 3 3 3" xfId="2437"/>
    <cellStyle name="20 % - Markeringsfarve2 3 3 3 2" xfId="7426"/>
    <cellStyle name="20 % - Markeringsfarve2 3 3 4" xfId="4101"/>
    <cellStyle name="20 % - Markeringsfarve2 3 3 4 2" xfId="9087"/>
    <cellStyle name="20 % - Markeringsfarve2 3 3 5" xfId="5764"/>
    <cellStyle name="20 % - Markeringsfarve2 3 3 6" xfId="10751"/>
    <cellStyle name="20 % - Markeringsfarve2 3 4" xfId="1047"/>
    <cellStyle name="20 % - Markeringsfarve2 3 4 2" xfId="2715"/>
    <cellStyle name="20 % - Markeringsfarve2 3 4 2 2" xfId="7704"/>
    <cellStyle name="20 % - Markeringsfarve2 3 4 3" xfId="4379"/>
    <cellStyle name="20 % - Markeringsfarve2 3 4 3 2" xfId="9365"/>
    <cellStyle name="20 % - Markeringsfarve2 3 4 4" xfId="6042"/>
    <cellStyle name="20 % - Markeringsfarve2 3 5" xfId="1885"/>
    <cellStyle name="20 % - Markeringsfarve2 3 5 2" xfId="6874"/>
    <cellStyle name="20 % - Markeringsfarve2 3 6" xfId="3550"/>
    <cellStyle name="20 % - Markeringsfarve2 3 6 2" xfId="8536"/>
    <cellStyle name="20 % - Markeringsfarve2 3 7" xfId="5213"/>
    <cellStyle name="20 % - Markeringsfarve2 3 8" xfId="10197"/>
    <cellStyle name="20 % - Markeringsfarve2 4" xfId="171"/>
    <cellStyle name="20 % - Markeringsfarve2 4 2" xfId="544"/>
    <cellStyle name="20 % - Markeringsfarve2 4 2 2" xfId="1379"/>
    <cellStyle name="20 % - Markeringsfarve2 4 2 2 2" xfId="3047"/>
    <cellStyle name="20 % - Markeringsfarve2 4 2 2 2 2" xfId="8036"/>
    <cellStyle name="20 % - Markeringsfarve2 4 2 2 3" xfId="4711"/>
    <cellStyle name="20 % - Markeringsfarve2 4 2 2 3 2" xfId="9697"/>
    <cellStyle name="20 % - Markeringsfarve2 4 2 2 4" xfId="6374"/>
    <cellStyle name="20 % - Markeringsfarve2 4 2 3" xfId="2216"/>
    <cellStyle name="20 % - Markeringsfarve2 4 2 3 2" xfId="7205"/>
    <cellStyle name="20 % - Markeringsfarve2 4 2 4" xfId="3880"/>
    <cellStyle name="20 % - Markeringsfarve2 4 2 4 2" xfId="8866"/>
    <cellStyle name="20 % - Markeringsfarve2 4 2 5" xfId="5543"/>
    <cellStyle name="20 % - Markeringsfarve2 4 2 6" xfId="10530"/>
    <cellStyle name="20 % - Markeringsfarve2 4 3" xfId="819"/>
    <cellStyle name="20 % - Markeringsfarve2 4 3 2" xfId="1653"/>
    <cellStyle name="20 % - Markeringsfarve2 4 3 2 2" xfId="3321"/>
    <cellStyle name="20 % - Markeringsfarve2 4 3 2 2 2" xfId="8310"/>
    <cellStyle name="20 % - Markeringsfarve2 4 3 2 3" xfId="4985"/>
    <cellStyle name="20 % - Markeringsfarve2 4 3 2 3 2" xfId="9971"/>
    <cellStyle name="20 % - Markeringsfarve2 4 3 2 4" xfId="6648"/>
    <cellStyle name="20 % - Markeringsfarve2 4 3 3" xfId="2490"/>
    <cellStyle name="20 % - Markeringsfarve2 4 3 3 2" xfId="7479"/>
    <cellStyle name="20 % - Markeringsfarve2 4 3 4" xfId="4154"/>
    <cellStyle name="20 % - Markeringsfarve2 4 3 4 2" xfId="9140"/>
    <cellStyle name="20 % - Markeringsfarve2 4 3 5" xfId="5817"/>
    <cellStyle name="20 % - Markeringsfarve2 4 3 6" xfId="10804"/>
    <cellStyle name="20 % - Markeringsfarve2 4 4" xfId="1100"/>
    <cellStyle name="20 % - Markeringsfarve2 4 4 2" xfId="2768"/>
    <cellStyle name="20 % - Markeringsfarve2 4 4 2 2" xfId="7757"/>
    <cellStyle name="20 % - Markeringsfarve2 4 4 3" xfId="4432"/>
    <cellStyle name="20 % - Markeringsfarve2 4 4 3 2" xfId="9418"/>
    <cellStyle name="20 % - Markeringsfarve2 4 4 4" xfId="6095"/>
    <cellStyle name="20 % - Markeringsfarve2 4 5" xfId="1938"/>
    <cellStyle name="20 % - Markeringsfarve2 4 5 2" xfId="6927"/>
    <cellStyle name="20 % - Markeringsfarve2 4 6" xfId="3603"/>
    <cellStyle name="20 % - Markeringsfarve2 4 6 2" xfId="8589"/>
    <cellStyle name="20 % - Markeringsfarve2 4 7" xfId="5266"/>
    <cellStyle name="20 % - Markeringsfarve2 4 8" xfId="10250"/>
    <cellStyle name="20 % - Markeringsfarve2 5" xfId="227"/>
    <cellStyle name="20 % - Markeringsfarve2 5 2" xfId="599"/>
    <cellStyle name="20 % - Markeringsfarve2 5 2 2" xfId="1434"/>
    <cellStyle name="20 % - Markeringsfarve2 5 2 2 2" xfId="3102"/>
    <cellStyle name="20 % - Markeringsfarve2 5 2 2 2 2" xfId="8091"/>
    <cellStyle name="20 % - Markeringsfarve2 5 2 2 3" xfId="4766"/>
    <cellStyle name="20 % - Markeringsfarve2 5 2 2 3 2" xfId="9752"/>
    <cellStyle name="20 % - Markeringsfarve2 5 2 2 4" xfId="6429"/>
    <cellStyle name="20 % - Markeringsfarve2 5 2 3" xfId="2271"/>
    <cellStyle name="20 % - Markeringsfarve2 5 2 3 2" xfId="7260"/>
    <cellStyle name="20 % - Markeringsfarve2 5 2 4" xfId="3935"/>
    <cellStyle name="20 % - Markeringsfarve2 5 2 4 2" xfId="8921"/>
    <cellStyle name="20 % - Markeringsfarve2 5 2 5" xfId="5598"/>
    <cellStyle name="20 % - Markeringsfarve2 5 2 6" xfId="10585"/>
    <cellStyle name="20 % - Markeringsfarve2 5 3" xfId="874"/>
    <cellStyle name="20 % - Markeringsfarve2 5 3 2" xfId="1708"/>
    <cellStyle name="20 % - Markeringsfarve2 5 3 2 2" xfId="3376"/>
    <cellStyle name="20 % - Markeringsfarve2 5 3 2 2 2" xfId="8365"/>
    <cellStyle name="20 % - Markeringsfarve2 5 3 2 3" xfId="5040"/>
    <cellStyle name="20 % - Markeringsfarve2 5 3 2 3 2" xfId="10026"/>
    <cellStyle name="20 % - Markeringsfarve2 5 3 2 4" xfId="6703"/>
    <cellStyle name="20 % - Markeringsfarve2 5 3 3" xfId="2545"/>
    <cellStyle name="20 % - Markeringsfarve2 5 3 3 2" xfId="7534"/>
    <cellStyle name="20 % - Markeringsfarve2 5 3 4" xfId="4209"/>
    <cellStyle name="20 % - Markeringsfarve2 5 3 4 2" xfId="9195"/>
    <cellStyle name="20 % - Markeringsfarve2 5 3 5" xfId="5872"/>
    <cellStyle name="20 % - Markeringsfarve2 5 3 6" xfId="10859"/>
    <cellStyle name="20 % - Markeringsfarve2 5 4" xfId="1155"/>
    <cellStyle name="20 % - Markeringsfarve2 5 4 2" xfId="2823"/>
    <cellStyle name="20 % - Markeringsfarve2 5 4 2 2" xfId="7812"/>
    <cellStyle name="20 % - Markeringsfarve2 5 4 3" xfId="4487"/>
    <cellStyle name="20 % - Markeringsfarve2 5 4 3 2" xfId="9473"/>
    <cellStyle name="20 % - Markeringsfarve2 5 4 4" xfId="6150"/>
    <cellStyle name="20 % - Markeringsfarve2 5 5" xfId="1993"/>
    <cellStyle name="20 % - Markeringsfarve2 5 5 2" xfId="6982"/>
    <cellStyle name="20 % - Markeringsfarve2 5 6" xfId="3658"/>
    <cellStyle name="20 % - Markeringsfarve2 5 6 2" xfId="8644"/>
    <cellStyle name="20 % - Markeringsfarve2 5 7" xfId="5321"/>
    <cellStyle name="20 % - Markeringsfarve2 5 8" xfId="10305"/>
    <cellStyle name="20 % - Markeringsfarve2 6" xfId="282"/>
    <cellStyle name="20 % - Markeringsfarve2 6 2" xfId="654"/>
    <cellStyle name="20 % - Markeringsfarve2 6 2 2" xfId="1489"/>
    <cellStyle name="20 % - Markeringsfarve2 6 2 2 2" xfId="3157"/>
    <cellStyle name="20 % - Markeringsfarve2 6 2 2 2 2" xfId="8146"/>
    <cellStyle name="20 % - Markeringsfarve2 6 2 2 3" xfId="4821"/>
    <cellStyle name="20 % - Markeringsfarve2 6 2 2 3 2" xfId="9807"/>
    <cellStyle name="20 % - Markeringsfarve2 6 2 2 4" xfId="6484"/>
    <cellStyle name="20 % - Markeringsfarve2 6 2 3" xfId="2326"/>
    <cellStyle name="20 % - Markeringsfarve2 6 2 3 2" xfId="7315"/>
    <cellStyle name="20 % - Markeringsfarve2 6 2 4" xfId="3990"/>
    <cellStyle name="20 % - Markeringsfarve2 6 2 4 2" xfId="8976"/>
    <cellStyle name="20 % - Markeringsfarve2 6 2 5" xfId="5653"/>
    <cellStyle name="20 % - Markeringsfarve2 6 2 6" xfId="10640"/>
    <cellStyle name="20 % - Markeringsfarve2 6 3" xfId="929"/>
    <cellStyle name="20 % - Markeringsfarve2 6 3 2" xfId="1763"/>
    <cellStyle name="20 % - Markeringsfarve2 6 3 2 2" xfId="3431"/>
    <cellStyle name="20 % - Markeringsfarve2 6 3 2 2 2" xfId="8420"/>
    <cellStyle name="20 % - Markeringsfarve2 6 3 2 3" xfId="5095"/>
    <cellStyle name="20 % - Markeringsfarve2 6 3 2 3 2" xfId="10081"/>
    <cellStyle name="20 % - Markeringsfarve2 6 3 2 4" xfId="6758"/>
    <cellStyle name="20 % - Markeringsfarve2 6 3 3" xfId="2600"/>
    <cellStyle name="20 % - Markeringsfarve2 6 3 3 2" xfId="7589"/>
    <cellStyle name="20 % - Markeringsfarve2 6 3 4" xfId="4264"/>
    <cellStyle name="20 % - Markeringsfarve2 6 3 4 2" xfId="9250"/>
    <cellStyle name="20 % - Markeringsfarve2 6 3 5" xfId="5927"/>
    <cellStyle name="20 % - Markeringsfarve2 6 3 6" xfId="10914"/>
    <cellStyle name="20 % - Markeringsfarve2 6 4" xfId="1210"/>
    <cellStyle name="20 % - Markeringsfarve2 6 4 2" xfId="2878"/>
    <cellStyle name="20 % - Markeringsfarve2 6 4 2 2" xfId="7867"/>
    <cellStyle name="20 % - Markeringsfarve2 6 4 3" xfId="4542"/>
    <cellStyle name="20 % - Markeringsfarve2 6 4 3 2" xfId="9528"/>
    <cellStyle name="20 % - Markeringsfarve2 6 4 4" xfId="6205"/>
    <cellStyle name="20 % - Markeringsfarve2 6 5" xfId="2048"/>
    <cellStyle name="20 % - Markeringsfarve2 6 5 2" xfId="7037"/>
    <cellStyle name="20 % - Markeringsfarve2 6 6" xfId="3713"/>
    <cellStyle name="20 % - Markeringsfarve2 6 6 2" xfId="8699"/>
    <cellStyle name="20 % - Markeringsfarve2 6 7" xfId="5376"/>
    <cellStyle name="20 % - Markeringsfarve2 6 8" xfId="10360"/>
    <cellStyle name="20 % - Markeringsfarve2 7" xfId="436"/>
    <cellStyle name="20 % - Markeringsfarve2 7 2" xfId="1271"/>
    <cellStyle name="20 % - Markeringsfarve2 7 2 2" xfId="2939"/>
    <cellStyle name="20 % - Markeringsfarve2 7 2 2 2" xfId="7928"/>
    <cellStyle name="20 % - Markeringsfarve2 7 2 3" xfId="4603"/>
    <cellStyle name="20 % - Markeringsfarve2 7 2 3 2" xfId="9589"/>
    <cellStyle name="20 % - Markeringsfarve2 7 2 4" xfId="6266"/>
    <cellStyle name="20 % - Markeringsfarve2 7 3" xfId="2110"/>
    <cellStyle name="20 % - Markeringsfarve2 7 3 2" xfId="7099"/>
    <cellStyle name="20 % - Markeringsfarve2 7 4" xfId="3774"/>
    <cellStyle name="20 % - Markeringsfarve2 7 4 2" xfId="8760"/>
    <cellStyle name="20 % - Markeringsfarve2 7 5" xfId="5437"/>
    <cellStyle name="20 % - Markeringsfarve2 7 6" xfId="10431"/>
    <cellStyle name="20 % - Markeringsfarve2 8" xfId="711"/>
    <cellStyle name="20 % - Markeringsfarve2 8 2" xfId="1545"/>
    <cellStyle name="20 % - Markeringsfarve2 8 2 2" xfId="3213"/>
    <cellStyle name="20 % - Markeringsfarve2 8 2 2 2" xfId="8202"/>
    <cellStyle name="20 % - Markeringsfarve2 8 2 3" xfId="4877"/>
    <cellStyle name="20 % - Markeringsfarve2 8 2 3 2" xfId="9863"/>
    <cellStyle name="20 % - Markeringsfarve2 8 2 4" xfId="6540"/>
    <cellStyle name="20 % - Markeringsfarve2 8 3" xfId="2382"/>
    <cellStyle name="20 % - Markeringsfarve2 8 3 2" xfId="7371"/>
    <cellStyle name="20 % - Markeringsfarve2 8 4" xfId="4046"/>
    <cellStyle name="20 % - Markeringsfarve2 8 4 2" xfId="9032"/>
    <cellStyle name="20 % - Markeringsfarve2 8 5" xfId="5709"/>
    <cellStyle name="20 % - Markeringsfarve2 8 6" xfId="10696"/>
    <cellStyle name="20 % - Markeringsfarve2 9" xfId="992"/>
    <cellStyle name="20 % - Markeringsfarve2 9 2" xfId="2660"/>
    <cellStyle name="20 % - Markeringsfarve2 9 2 2" xfId="7649"/>
    <cellStyle name="20 % - Markeringsfarve2 9 3" xfId="4324"/>
    <cellStyle name="20 % - Markeringsfarve2 9 3 2" xfId="9310"/>
    <cellStyle name="20 % - Markeringsfarve2 9 4" xfId="5987"/>
    <cellStyle name="20 % - Markeringsfarve3" xfId="28" builtinId="38" customBuiltin="1"/>
    <cellStyle name="20 % - Markeringsfarve3 10" xfId="1829"/>
    <cellStyle name="20 % - Markeringsfarve3 10 2" xfId="6821"/>
    <cellStyle name="20 % - Markeringsfarve3 11" xfId="3497"/>
    <cellStyle name="20 % - Markeringsfarve3 11 2" xfId="8483"/>
    <cellStyle name="20 % - Markeringsfarve3 12" xfId="5160"/>
    <cellStyle name="20 % - Markeringsfarve3 13" xfId="10144"/>
    <cellStyle name="20 % - Markeringsfarve3 2" xfId="55"/>
    <cellStyle name="20 % - Markeringsfarve3 2 10" xfId="1840"/>
    <cellStyle name="20 % - Markeringsfarve3 2 10 2" xfId="6832"/>
    <cellStyle name="20 % - Markeringsfarve3 2 11" xfId="3508"/>
    <cellStyle name="20 % - Markeringsfarve3 2 11 2" xfId="8494"/>
    <cellStyle name="20 % - Markeringsfarve3 2 12" xfId="5171"/>
    <cellStyle name="20 % - Markeringsfarve3 2 13" xfId="10155"/>
    <cellStyle name="20 % - Markeringsfarve3 2 2" xfId="80"/>
    <cellStyle name="20 % - Markeringsfarve3 2 2 10" xfId="3527"/>
    <cellStyle name="20 % - Markeringsfarve3 2 2 10 2" xfId="8513"/>
    <cellStyle name="20 % - Markeringsfarve3 2 2 11" xfId="5190"/>
    <cellStyle name="20 % - Markeringsfarve3 2 2 12" xfId="10173"/>
    <cellStyle name="20 % - Markeringsfarve3 2 2 2" xfId="148"/>
    <cellStyle name="20 % - Markeringsfarve3 2 2 2 2" xfId="521"/>
    <cellStyle name="20 % - Markeringsfarve3 2 2 2 2 2" xfId="1356"/>
    <cellStyle name="20 % - Markeringsfarve3 2 2 2 2 2 2" xfId="3024"/>
    <cellStyle name="20 % - Markeringsfarve3 2 2 2 2 2 2 2" xfId="8013"/>
    <cellStyle name="20 % - Markeringsfarve3 2 2 2 2 2 3" xfId="4688"/>
    <cellStyle name="20 % - Markeringsfarve3 2 2 2 2 2 3 2" xfId="9674"/>
    <cellStyle name="20 % - Markeringsfarve3 2 2 2 2 2 4" xfId="6351"/>
    <cellStyle name="20 % - Markeringsfarve3 2 2 2 2 3" xfId="2193"/>
    <cellStyle name="20 % - Markeringsfarve3 2 2 2 2 3 2" xfId="7182"/>
    <cellStyle name="20 % - Markeringsfarve3 2 2 2 2 4" xfId="3857"/>
    <cellStyle name="20 % - Markeringsfarve3 2 2 2 2 4 2" xfId="8843"/>
    <cellStyle name="20 % - Markeringsfarve3 2 2 2 2 5" xfId="5520"/>
    <cellStyle name="20 % - Markeringsfarve3 2 2 2 2 6" xfId="10507"/>
    <cellStyle name="20 % - Markeringsfarve3 2 2 2 3" xfId="796"/>
    <cellStyle name="20 % - Markeringsfarve3 2 2 2 3 2" xfId="1630"/>
    <cellStyle name="20 % - Markeringsfarve3 2 2 2 3 2 2" xfId="3298"/>
    <cellStyle name="20 % - Markeringsfarve3 2 2 2 3 2 2 2" xfId="8287"/>
    <cellStyle name="20 % - Markeringsfarve3 2 2 2 3 2 3" xfId="4962"/>
    <cellStyle name="20 % - Markeringsfarve3 2 2 2 3 2 3 2" xfId="9948"/>
    <cellStyle name="20 % - Markeringsfarve3 2 2 2 3 2 4" xfId="6625"/>
    <cellStyle name="20 % - Markeringsfarve3 2 2 2 3 3" xfId="2467"/>
    <cellStyle name="20 % - Markeringsfarve3 2 2 2 3 3 2" xfId="7456"/>
    <cellStyle name="20 % - Markeringsfarve3 2 2 2 3 4" xfId="4131"/>
    <cellStyle name="20 % - Markeringsfarve3 2 2 2 3 4 2" xfId="9117"/>
    <cellStyle name="20 % - Markeringsfarve3 2 2 2 3 5" xfId="5794"/>
    <cellStyle name="20 % - Markeringsfarve3 2 2 2 3 6" xfId="10781"/>
    <cellStyle name="20 % - Markeringsfarve3 2 2 2 4" xfId="1077"/>
    <cellStyle name="20 % - Markeringsfarve3 2 2 2 4 2" xfId="2745"/>
    <cellStyle name="20 % - Markeringsfarve3 2 2 2 4 2 2" xfId="7734"/>
    <cellStyle name="20 % - Markeringsfarve3 2 2 2 4 3" xfId="4409"/>
    <cellStyle name="20 % - Markeringsfarve3 2 2 2 4 3 2" xfId="9395"/>
    <cellStyle name="20 % - Markeringsfarve3 2 2 2 4 4" xfId="6072"/>
    <cellStyle name="20 % - Markeringsfarve3 2 2 2 5" xfId="1915"/>
    <cellStyle name="20 % - Markeringsfarve3 2 2 2 5 2" xfId="6904"/>
    <cellStyle name="20 % - Markeringsfarve3 2 2 2 6" xfId="3580"/>
    <cellStyle name="20 % - Markeringsfarve3 2 2 2 6 2" xfId="8566"/>
    <cellStyle name="20 % - Markeringsfarve3 2 2 2 7" xfId="5243"/>
    <cellStyle name="20 % - Markeringsfarve3 2 2 2 8" xfId="10227"/>
    <cellStyle name="20 % - Markeringsfarve3 2 2 3" xfId="203"/>
    <cellStyle name="20 % - Markeringsfarve3 2 2 3 2" xfId="575"/>
    <cellStyle name="20 % - Markeringsfarve3 2 2 3 2 2" xfId="1410"/>
    <cellStyle name="20 % - Markeringsfarve3 2 2 3 2 2 2" xfId="3078"/>
    <cellStyle name="20 % - Markeringsfarve3 2 2 3 2 2 2 2" xfId="8067"/>
    <cellStyle name="20 % - Markeringsfarve3 2 2 3 2 2 3" xfId="4742"/>
    <cellStyle name="20 % - Markeringsfarve3 2 2 3 2 2 3 2" xfId="9728"/>
    <cellStyle name="20 % - Markeringsfarve3 2 2 3 2 2 4" xfId="6405"/>
    <cellStyle name="20 % - Markeringsfarve3 2 2 3 2 3" xfId="2247"/>
    <cellStyle name="20 % - Markeringsfarve3 2 2 3 2 3 2" xfId="7236"/>
    <cellStyle name="20 % - Markeringsfarve3 2 2 3 2 4" xfId="3911"/>
    <cellStyle name="20 % - Markeringsfarve3 2 2 3 2 4 2" xfId="8897"/>
    <cellStyle name="20 % - Markeringsfarve3 2 2 3 2 5" xfId="5574"/>
    <cellStyle name="20 % - Markeringsfarve3 2 2 3 2 6" xfId="10561"/>
    <cellStyle name="20 % - Markeringsfarve3 2 2 3 3" xfId="850"/>
    <cellStyle name="20 % - Markeringsfarve3 2 2 3 3 2" xfId="1684"/>
    <cellStyle name="20 % - Markeringsfarve3 2 2 3 3 2 2" xfId="3352"/>
    <cellStyle name="20 % - Markeringsfarve3 2 2 3 3 2 2 2" xfId="8341"/>
    <cellStyle name="20 % - Markeringsfarve3 2 2 3 3 2 3" xfId="5016"/>
    <cellStyle name="20 % - Markeringsfarve3 2 2 3 3 2 3 2" xfId="10002"/>
    <cellStyle name="20 % - Markeringsfarve3 2 2 3 3 2 4" xfId="6679"/>
    <cellStyle name="20 % - Markeringsfarve3 2 2 3 3 3" xfId="2521"/>
    <cellStyle name="20 % - Markeringsfarve3 2 2 3 3 3 2" xfId="7510"/>
    <cellStyle name="20 % - Markeringsfarve3 2 2 3 3 4" xfId="4185"/>
    <cellStyle name="20 % - Markeringsfarve3 2 2 3 3 4 2" xfId="9171"/>
    <cellStyle name="20 % - Markeringsfarve3 2 2 3 3 5" xfId="5848"/>
    <cellStyle name="20 % - Markeringsfarve3 2 2 3 3 6" xfId="10835"/>
    <cellStyle name="20 % - Markeringsfarve3 2 2 3 4" xfId="1131"/>
    <cellStyle name="20 % - Markeringsfarve3 2 2 3 4 2" xfId="2799"/>
    <cellStyle name="20 % - Markeringsfarve3 2 2 3 4 2 2" xfId="7788"/>
    <cellStyle name="20 % - Markeringsfarve3 2 2 3 4 3" xfId="4463"/>
    <cellStyle name="20 % - Markeringsfarve3 2 2 3 4 3 2" xfId="9449"/>
    <cellStyle name="20 % - Markeringsfarve3 2 2 3 4 4" xfId="6126"/>
    <cellStyle name="20 % - Markeringsfarve3 2 2 3 5" xfId="1969"/>
    <cellStyle name="20 % - Markeringsfarve3 2 2 3 5 2" xfId="6958"/>
    <cellStyle name="20 % - Markeringsfarve3 2 2 3 6" xfId="3634"/>
    <cellStyle name="20 % - Markeringsfarve3 2 2 3 6 2" xfId="8620"/>
    <cellStyle name="20 % - Markeringsfarve3 2 2 3 7" xfId="5297"/>
    <cellStyle name="20 % - Markeringsfarve3 2 2 3 8" xfId="10281"/>
    <cellStyle name="20 % - Markeringsfarve3 2 2 4" xfId="258"/>
    <cellStyle name="20 % - Markeringsfarve3 2 2 4 2" xfId="630"/>
    <cellStyle name="20 % - Markeringsfarve3 2 2 4 2 2" xfId="1465"/>
    <cellStyle name="20 % - Markeringsfarve3 2 2 4 2 2 2" xfId="3133"/>
    <cellStyle name="20 % - Markeringsfarve3 2 2 4 2 2 2 2" xfId="8122"/>
    <cellStyle name="20 % - Markeringsfarve3 2 2 4 2 2 3" xfId="4797"/>
    <cellStyle name="20 % - Markeringsfarve3 2 2 4 2 2 3 2" xfId="9783"/>
    <cellStyle name="20 % - Markeringsfarve3 2 2 4 2 2 4" xfId="6460"/>
    <cellStyle name="20 % - Markeringsfarve3 2 2 4 2 3" xfId="2302"/>
    <cellStyle name="20 % - Markeringsfarve3 2 2 4 2 3 2" xfId="7291"/>
    <cellStyle name="20 % - Markeringsfarve3 2 2 4 2 4" xfId="3966"/>
    <cellStyle name="20 % - Markeringsfarve3 2 2 4 2 4 2" xfId="8952"/>
    <cellStyle name="20 % - Markeringsfarve3 2 2 4 2 5" xfId="5629"/>
    <cellStyle name="20 % - Markeringsfarve3 2 2 4 2 6" xfId="10616"/>
    <cellStyle name="20 % - Markeringsfarve3 2 2 4 3" xfId="905"/>
    <cellStyle name="20 % - Markeringsfarve3 2 2 4 3 2" xfId="1739"/>
    <cellStyle name="20 % - Markeringsfarve3 2 2 4 3 2 2" xfId="3407"/>
    <cellStyle name="20 % - Markeringsfarve3 2 2 4 3 2 2 2" xfId="8396"/>
    <cellStyle name="20 % - Markeringsfarve3 2 2 4 3 2 3" xfId="5071"/>
    <cellStyle name="20 % - Markeringsfarve3 2 2 4 3 2 3 2" xfId="10057"/>
    <cellStyle name="20 % - Markeringsfarve3 2 2 4 3 2 4" xfId="6734"/>
    <cellStyle name="20 % - Markeringsfarve3 2 2 4 3 3" xfId="2576"/>
    <cellStyle name="20 % - Markeringsfarve3 2 2 4 3 3 2" xfId="7565"/>
    <cellStyle name="20 % - Markeringsfarve3 2 2 4 3 4" xfId="4240"/>
    <cellStyle name="20 % - Markeringsfarve3 2 2 4 3 4 2" xfId="9226"/>
    <cellStyle name="20 % - Markeringsfarve3 2 2 4 3 5" xfId="5903"/>
    <cellStyle name="20 % - Markeringsfarve3 2 2 4 3 6" xfId="10890"/>
    <cellStyle name="20 % - Markeringsfarve3 2 2 4 4" xfId="1186"/>
    <cellStyle name="20 % - Markeringsfarve3 2 2 4 4 2" xfId="2854"/>
    <cellStyle name="20 % - Markeringsfarve3 2 2 4 4 2 2" xfId="7843"/>
    <cellStyle name="20 % - Markeringsfarve3 2 2 4 4 3" xfId="4518"/>
    <cellStyle name="20 % - Markeringsfarve3 2 2 4 4 3 2" xfId="9504"/>
    <cellStyle name="20 % - Markeringsfarve3 2 2 4 4 4" xfId="6181"/>
    <cellStyle name="20 % - Markeringsfarve3 2 2 4 5" xfId="2024"/>
    <cellStyle name="20 % - Markeringsfarve3 2 2 4 5 2" xfId="7013"/>
    <cellStyle name="20 % - Markeringsfarve3 2 2 4 6" xfId="3689"/>
    <cellStyle name="20 % - Markeringsfarve3 2 2 4 6 2" xfId="8675"/>
    <cellStyle name="20 % - Markeringsfarve3 2 2 4 7" xfId="5352"/>
    <cellStyle name="20 % - Markeringsfarve3 2 2 4 8" xfId="10336"/>
    <cellStyle name="20 % - Markeringsfarve3 2 2 5" xfId="314"/>
    <cellStyle name="20 % - Markeringsfarve3 2 2 5 2" xfId="686"/>
    <cellStyle name="20 % - Markeringsfarve3 2 2 5 2 2" xfId="1521"/>
    <cellStyle name="20 % - Markeringsfarve3 2 2 5 2 2 2" xfId="3189"/>
    <cellStyle name="20 % - Markeringsfarve3 2 2 5 2 2 2 2" xfId="8178"/>
    <cellStyle name="20 % - Markeringsfarve3 2 2 5 2 2 3" xfId="4853"/>
    <cellStyle name="20 % - Markeringsfarve3 2 2 5 2 2 3 2" xfId="9839"/>
    <cellStyle name="20 % - Markeringsfarve3 2 2 5 2 2 4" xfId="6516"/>
    <cellStyle name="20 % - Markeringsfarve3 2 2 5 2 3" xfId="2358"/>
    <cellStyle name="20 % - Markeringsfarve3 2 2 5 2 3 2" xfId="7347"/>
    <cellStyle name="20 % - Markeringsfarve3 2 2 5 2 4" xfId="4022"/>
    <cellStyle name="20 % - Markeringsfarve3 2 2 5 2 4 2" xfId="9008"/>
    <cellStyle name="20 % - Markeringsfarve3 2 2 5 2 5" xfId="5685"/>
    <cellStyle name="20 % - Markeringsfarve3 2 2 5 2 6" xfId="10672"/>
    <cellStyle name="20 % - Markeringsfarve3 2 2 5 3" xfId="961"/>
    <cellStyle name="20 % - Markeringsfarve3 2 2 5 3 2" xfId="1795"/>
    <cellStyle name="20 % - Markeringsfarve3 2 2 5 3 2 2" xfId="3463"/>
    <cellStyle name="20 % - Markeringsfarve3 2 2 5 3 2 2 2" xfId="8452"/>
    <cellStyle name="20 % - Markeringsfarve3 2 2 5 3 2 3" xfId="5127"/>
    <cellStyle name="20 % - Markeringsfarve3 2 2 5 3 2 3 2" xfId="10113"/>
    <cellStyle name="20 % - Markeringsfarve3 2 2 5 3 2 4" xfId="6790"/>
    <cellStyle name="20 % - Markeringsfarve3 2 2 5 3 3" xfId="2632"/>
    <cellStyle name="20 % - Markeringsfarve3 2 2 5 3 3 2" xfId="7621"/>
    <cellStyle name="20 % - Markeringsfarve3 2 2 5 3 4" xfId="4296"/>
    <cellStyle name="20 % - Markeringsfarve3 2 2 5 3 4 2" xfId="9282"/>
    <cellStyle name="20 % - Markeringsfarve3 2 2 5 3 5" xfId="5959"/>
    <cellStyle name="20 % - Markeringsfarve3 2 2 5 3 6" xfId="10946"/>
    <cellStyle name="20 % - Markeringsfarve3 2 2 5 4" xfId="1242"/>
    <cellStyle name="20 % - Markeringsfarve3 2 2 5 4 2" xfId="2910"/>
    <cellStyle name="20 % - Markeringsfarve3 2 2 5 4 2 2" xfId="7899"/>
    <cellStyle name="20 % - Markeringsfarve3 2 2 5 4 3" xfId="4574"/>
    <cellStyle name="20 % - Markeringsfarve3 2 2 5 4 3 2" xfId="9560"/>
    <cellStyle name="20 % - Markeringsfarve3 2 2 5 4 4" xfId="6237"/>
    <cellStyle name="20 % - Markeringsfarve3 2 2 5 5" xfId="2080"/>
    <cellStyle name="20 % - Markeringsfarve3 2 2 5 5 2" xfId="7069"/>
    <cellStyle name="20 % - Markeringsfarve3 2 2 5 6" xfId="3745"/>
    <cellStyle name="20 % - Markeringsfarve3 2 2 5 6 2" xfId="8731"/>
    <cellStyle name="20 % - Markeringsfarve3 2 2 5 7" xfId="5408"/>
    <cellStyle name="20 % - Markeringsfarve3 2 2 5 8" xfId="10392"/>
    <cellStyle name="20 % - Markeringsfarve3 2 2 6" xfId="467"/>
    <cellStyle name="20 % - Markeringsfarve3 2 2 6 2" xfId="1302"/>
    <cellStyle name="20 % - Markeringsfarve3 2 2 6 2 2" xfId="2970"/>
    <cellStyle name="20 % - Markeringsfarve3 2 2 6 2 2 2" xfId="7959"/>
    <cellStyle name="20 % - Markeringsfarve3 2 2 6 2 3" xfId="4634"/>
    <cellStyle name="20 % - Markeringsfarve3 2 2 6 2 3 2" xfId="9620"/>
    <cellStyle name="20 % - Markeringsfarve3 2 2 6 2 4" xfId="6297"/>
    <cellStyle name="20 % - Markeringsfarve3 2 2 6 3" xfId="2141"/>
    <cellStyle name="20 % - Markeringsfarve3 2 2 6 3 2" xfId="7130"/>
    <cellStyle name="20 % - Markeringsfarve3 2 2 6 4" xfId="3805"/>
    <cellStyle name="20 % - Markeringsfarve3 2 2 6 4 2" xfId="8791"/>
    <cellStyle name="20 % - Markeringsfarve3 2 2 6 5" xfId="5468"/>
    <cellStyle name="20 % - Markeringsfarve3 2 2 6 6" xfId="10457"/>
    <cellStyle name="20 % - Markeringsfarve3 2 2 7" xfId="742"/>
    <cellStyle name="20 % - Markeringsfarve3 2 2 7 2" xfId="1576"/>
    <cellStyle name="20 % - Markeringsfarve3 2 2 7 2 2" xfId="3244"/>
    <cellStyle name="20 % - Markeringsfarve3 2 2 7 2 2 2" xfId="8233"/>
    <cellStyle name="20 % - Markeringsfarve3 2 2 7 2 3" xfId="4908"/>
    <cellStyle name="20 % - Markeringsfarve3 2 2 7 2 3 2" xfId="9894"/>
    <cellStyle name="20 % - Markeringsfarve3 2 2 7 2 4" xfId="6571"/>
    <cellStyle name="20 % - Markeringsfarve3 2 2 7 3" xfId="2413"/>
    <cellStyle name="20 % - Markeringsfarve3 2 2 7 3 2" xfId="7402"/>
    <cellStyle name="20 % - Markeringsfarve3 2 2 7 4" xfId="4077"/>
    <cellStyle name="20 % - Markeringsfarve3 2 2 7 4 2" xfId="9063"/>
    <cellStyle name="20 % - Markeringsfarve3 2 2 7 5" xfId="5740"/>
    <cellStyle name="20 % - Markeringsfarve3 2 2 7 6" xfId="10727"/>
    <cellStyle name="20 % - Markeringsfarve3 2 2 8" xfId="1023"/>
    <cellStyle name="20 % - Markeringsfarve3 2 2 8 2" xfId="2691"/>
    <cellStyle name="20 % - Markeringsfarve3 2 2 8 2 2" xfId="7680"/>
    <cellStyle name="20 % - Markeringsfarve3 2 2 8 3" xfId="4355"/>
    <cellStyle name="20 % - Markeringsfarve3 2 2 8 3 2" xfId="9341"/>
    <cellStyle name="20 % - Markeringsfarve3 2 2 8 4" xfId="6018"/>
    <cellStyle name="20 % - Markeringsfarve3 2 2 9" xfId="1859"/>
    <cellStyle name="20 % - Markeringsfarve3 2 2 9 2" xfId="6851"/>
    <cellStyle name="20 % - Markeringsfarve3 2 3" xfId="131"/>
    <cellStyle name="20 % - Markeringsfarve3 2 3 2" xfId="504"/>
    <cellStyle name="20 % - Markeringsfarve3 2 3 2 2" xfId="1339"/>
    <cellStyle name="20 % - Markeringsfarve3 2 3 2 2 2" xfId="3007"/>
    <cellStyle name="20 % - Markeringsfarve3 2 3 2 2 2 2" xfId="7996"/>
    <cellStyle name="20 % - Markeringsfarve3 2 3 2 2 3" xfId="4671"/>
    <cellStyle name="20 % - Markeringsfarve3 2 3 2 2 3 2" xfId="9657"/>
    <cellStyle name="20 % - Markeringsfarve3 2 3 2 2 4" xfId="6334"/>
    <cellStyle name="20 % - Markeringsfarve3 2 3 2 3" xfId="2178"/>
    <cellStyle name="20 % - Markeringsfarve3 2 3 2 3 2" xfId="7167"/>
    <cellStyle name="20 % - Markeringsfarve3 2 3 2 4" xfId="3842"/>
    <cellStyle name="20 % - Markeringsfarve3 2 3 2 4 2" xfId="8828"/>
    <cellStyle name="20 % - Markeringsfarve3 2 3 2 5" xfId="5505"/>
    <cellStyle name="20 % - Markeringsfarve3 2 3 2 6" xfId="10490"/>
    <cellStyle name="20 % - Markeringsfarve3 2 3 3" xfId="779"/>
    <cellStyle name="20 % - Markeringsfarve3 2 3 3 2" xfId="1613"/>
    <cellStyle name="20 % - Markeringsfarve3 2 3 3 2 2" xfId="3281"/>
    <cellStyle name="20 % - Markeringsfarve3 2 3 3 2 2 2" xfId="8270"/>
    <cellStyle name="20 % - Markeringsfarve3 2 3 3 2 3" xfId="4945"/>
    <cellStyle name="20 % - Markeringsfarve3 2 3 3 2 3 2" xfId="9931"/>
    <cellStyle name="20 % - Markeringsfarve3 2 3 3 2 4" xfId="6608"/>
    <cellStyle name="20 % - Markeringsfarve3 2 3 3 3" xfId="2450"/>
    <cellStyle name="20 % - Markeringsfarve3 2 3 3 3 2" xfId="7439"/>
    <cellStyle name="20 % - Markeringsfarve3 2 3 3 4" xfId="4114"/>
    <cellStyle name="20 % - Markeringsfarve3 2 3 3 4 2" xfId="9100"/>
    <cellStyle name="20 % - Markeringsfarve3 2 3 3 5" xfId="5777"/>
    <cellStyle name="20 % - Markeringsfarve3 2 3 3 6" xfId="10764"/>
    <cellStyle name="20 % - Markeringsfarve3 2 3 4" xfId="1060"/>
    <cellStyle name="20 % - Markeringsfarve3 2 3 4 2" xfId="2728"/>
    <cellStyle name="20 % - Markeringsfarve3 2 3 4 2 2" xfId="7717"/>
    <cellStyle name="20 % - Markeringsfarve3 2 3 4 3" xfId="4392"/>
    <cellStyle name="20 % - Markeringsfarve3 2 3 4 3 2" xfId="9378"/>
    <cellStyle name="20 % - Markeringsfarve3 2 3 4 4" xfId="6055"/>
    <cellStyle name="20 % - Markeringsfarve3 2 3 5" xfId="1898"/>
    <cellStyle name="20 % - Markeringsfarve3 2 3 5 2" xfId="6887"/>
    <cellStyle name="20 % - Markeringsfarve3 2 3 6" xfId="3563"/>
    <cellStyle name="20 % - Markeringsfarve3 2 3 6 2" xfId="8549"/>
    <cellStyle name="20 % - Markeringsfarve3 2 3 7" xfId="5226"/>
    <cellStyle name="20 % - Markeringsfarve3 2 3 8" xfId="10210"/>
    <cellStyle name="20 % - Markeringsfarve3 2 4" xfId="185"/>
    <cellStyle name="20 % - Markeringsfarve3 2 4 2" xfId="557"/>
    <cellStyle name="20 % - Markeringsfarve3 2 4 2 2" xfId="1392"/>
    <cellStyle name="20 % - Markeringsfarve3 2 4 2 2 2" xfId="3060"/>
    <cellStyle name="20 % - Markeringsfarve3 2 4 2 2 2 2" xfId="8049"/>
    <cellStyle name="20 % - Markeringsfarve3 2 4 2 2 3" xfId="4724"/>
    <cellStyle name="20 % - Markeringsfarve3 2 4 2 2 3 2" xfId="9710"/>
    <cellStyle name="20 % - Markeringsfarve3 2 4 2 2 4" xfId="6387"/>
    <cellStyle name="20 % - Markeringsfarve3 2 4 2 3" xfId="2229"/>
    <cellStyle name="20 % - Markeringsfarve3 2 4 2 3 2" xfId="7218"/>
    <cellStyle name="20 % - Markeringsfarve3 2 4 2 4" xfId="3893"/>
    <cellStyle name="20 % - Markeringsfarve3 2 4 2 4 2" xfId="8879"/>
    <cellStyle name="20 % - Markeringsfarve3 2 4 2 5" xfId="5556"/>
    <cellStyle name="20 % - Markeringsfarve3 2 4 2 6" xfId="10543"/>
    <cellStyle name="20 % - Markeringsfarve3 2 4 3" xfId="832"/>
    <cellStyle name="20 % - Markeringsfarve3 2 4 3 2" xfId="1666"/>
    <cellStyle name="20 % - Markeringsfarve3 2 4 3 2 2" xfId="3334"/>
    <cellStyle name="20 % - Markeringsfarve3 2 4 3 2 2 2" xfId="8323"/>
    <cellStyle name="20 % - Markeringsfarve3 2 4 3 2 3" xfId="4998"/>
    <cellStyle name="20 % - Markeringsfarve3 2 4 3 2 3 2" xfId="9984"/>
    <cellStyle name="20 % - Markeringsfarve3 2 4 3 2 4" xfId="6661"/>
    <cellStyle name="20 % - Markeringsfarve3 2 4 3 3" xfId="2503"/>
    <cellStyle name="20 % - Markeringsfarve3 2 4 3 3 2" xfId="7492"/>
    <cellStyle name="20 % - Markeringsfarve3 2 4 3 4" xfId="4167"/>
    <cellStyle name="20 % - Markeringsfarve3 2 4 3 4 2" xfId="9153"/>
    <cellStyle name="20 % - Markeringsfarve3 2 4 3 5" xfId="5830"/>
    <cellStyle name="20 % - Markeringsfarve3 2 4 3 6" xfId="10817"/>
    <cellStyle name="20 % - Markeringsfarve3 2 4 4" xfId="1113"/>
    <cellStyle name="20 % - Markeringsfarve3 2 4 4 2" xfId="2781"/>
    <cellStyle name="20 % - Markeringsfarve3 2 4 4 2 2" xfId="7770"/>
    <cellStyle name="20 % - Markeringsfarve3 2 4 4 3" xfId="4445"/>
    <cellStyle name="20 % - Markeringsfarve3 2 4 4 3 2" xfId="9431"/>
    <cellStyle name="20 % - Markeringsfarve3 2 4 4 4" xfId="6108"/>
    <cellStyle name="20 % - Markeringsfarve3 2 4 5" xfId="1951"/>
    <cellStyle name="20 % - Markeringsfarve3 2 4 5 2" xfId="6940"/>
    <cellStyle name="20 % - Markeringsfarve3 2 4 6" xfId="3616"/>
    <cellStyle name="20 % - Markeringsfarve3 2 4 6 2" xfId="8602"/>
    <cellStyle name="20 % - Markeringsfarve3 2 4 7" xfId="5279"/>
    <cellStyle name="20 % - Markeringsfarve3 2 4 8" xfId="10263"/>
    <cellStyle name="20 % - Markeringsfarve3 2 5" xfId="239"/>
    <cellStyle name="20 % - Markeringsfarve3 2 5 2" xfId="611"/>
    <cellStyle name="20 % - Markeringsfarve3 2 5 2 2" xfId="1446"/>
    <cellStyle name="20 % - Markeringsfarve3 2 5 2 2 2" xfId="3114"/>
    <cellStyle name="20 % - Markeringsfarve3 2 5 2 2 2 2" xfId="8103"/>
    <cellStyle name="20 % - Markeringsfarve3 2 5 2 2 3" xfId="4778"/>
    <cellStyle name="20 % - Markeringsfarve3 2 5 2 2 3 2" xfId="9764"/>
    <cellStyle name="20 % - Markeringsfarve3 2 5 2 2 4" xfId="6441"/>
    <cellStyle name="20 % - Markeringsfarve3 2 5 2 3" xfId="2283"/>
    <cellStyle name="20 % - Markeringsfarve3 2 5 2 3 2" xfId="7272"/>
    <cellStyle name="20 % - Markeringsfarve3 2 5 2 4" xfId="3947"/>
    <cellStyle name="20 % - Markeringsfarve3 2 5 2 4 2" xfId="8933"/>
    <cellStyle name="20 % - Markeringsfarve3 2 5 2 5" xfId="5610"/>
    <cellStyle name="20 % - Markeringsfarve3 2 5 2 6" xfId="10597"/>
    <cellStyle name="20 % - Markeringsfarve3 2 5 3" xfId="886"/>
    <cellStyle name="20 % - Markeringsfarve3 2 5 3 2" xfId="1720"/>
    <cellStyle name="20 % - Markeringsfarve3 2 5 3 2 2" xfId="3388"/>
    <cellStyle name="20 % - Markeringsfarve3 2 5 3 2 2 2" xfId="8377"/>
    <cellStyle name="20 % - Markeringsfarve3 2 5 3 2 3" xfId="5052"/>
    <cellStyle name="20 % - Markeringsfarve3 2 5 3 2 3 2" xfId="10038"/>
    <cellStyle name="20 % - Markeringsfarve3 2 5 3 2 4" xfId="6715"/>
    <cellStyle name="20 % - Markeringsfarve3 2 5 3 3" xfId="2557"/>
    <cellStyle name="20 % - Markeringsfarve3 2 5 3 3 2" xfId="7546"/>
    <cellStyle name="20 % - Markeringsfarve3 2 5 3 4" xfId="4221"/>
    <cellStyle name="20 % - Markeringsfarve3 2 5 3 4 2" xfId="9207"/>
    <cellStyle name="20 % - Markeringsfarve3 2 5 3 5" xfId="5884"/>
    <cellStyle name="20 % - Markeringsfarve3 2 5 3 6" xfId="10871"/>
    <cellStyle name="20 % - Markeringsfarve3 2 5 4" xfId="1167"/>
    <cellStyle name="20 % - Markeringsfarve3 2 5 4 2" xfId="2835"/>
    <cellStyle name="20 % - Markeringsfarve3 2 5 4 2 2" xfId="7824"/>
    <cellStyle name="20 % - Markeringsfarve3 2 5 4 3" xfId="4499"/>
    <cellStyle name="20 % - Markeringsfarve3 2 5 4 3 2" xfId="9485"/>
    <cellStyle name="20 % - Markeringsfarve3 2 5 4 4" xfId="6162"/>
    <cellStyle name="20 % - Markeringsfarve3 2 5 5" xfId="2005"/>
    <cellStyle name="20 % - Markeringsfarve3 2 5 5 2" xfId="6994"/>
    <cellStyle name="20 % - Markeringsfarve3 2 5 6" xfId="3670"/>
    <cellStyle name="20 % - Markeringsfarve3 2 5 6 2" xfId="8656"/>
    <cellStyle name="20 % - Markeringsfarve3 2 5 7" xfId="5333"/>
    <cellStyle name="20 % - Markeringsfarve3 2 5 8" xfId="10317"/>
    <cellStyle name="20 % - Markeringsfarve3 2 6" xfId="295"/>
    <cellStyle name="20 % - Markeringsfarve3 2 6 2" xfId="667"/>
    <cellStyle name="20 % - Markeringsfarve3 2 6 2 2" xfId="1502"/>
    <cellStyle name="20 % - Markeringsfarve3 2 6 2 2 2" xfId="3170"/>
    <cellStyle name="20 % - Markeringsfarve3 2 6 2 2 2 2" xfId="8159"/>
    <cellStyle name="20 % - Markeringsfarve3 2 6 2 2 3" xfId="4834"/>
    <cellStyle name="20 % - Markeringsfarve3 2 6 2 2 3 2" xfId="9820"/>
    <cellStyle name="20 % - Markeringsfarve3 2 6 2 2 4" xfId="6497"/>
    <cellStyle name="20 % - Markeringsfarve3 2 6 2 3" xfId="2339"/>
    <cellStyle name="20 % - Markeringsfarve3 2 6 2 3 2" xfId="7328"/>
    <cellStyle name="20 % - Markeringsfarve3 2 6 2 4" xfId="4003"/>
    <cellStyle name="20 % - Markeringsfarve3 2 6 2 4 2" xfId="8989"/>
    <cellStyle name="20 % - Markeringsfarve3 2 6 2 5" xfId="5666"/>
    <cellStyle name="20 % - Markeringsfarve3 2 6 2 6" xfId="10653"/>
    <cellStyle name="20 % - Markeringsfarve3 2 6 3" xfId="942"/>
    <cellStyle name="20 % - Markeringsfarve3 2 6 3 2" xfId="1776"/>
    <cellStyle name="20 % - Markeringsfarve3 2 6 3 2 2" xfId="3444"/>
    <cellStyle name="20 % - Markeringsfarve3 2 6 3 2 2 2" xfId="8433"/>
    <cellStyle name="20 % - Markeringsfarve3 2 6 3 2 3" xfId="5108"/>
    <cellStyle name="20 % - Markeringsfarve3 2 6 3 2 3 2" xfId="10094"/>
    <cellStyle name="20 % - Markeringsfarve3 2 6 3 2 4" xfId="6771"/>
    <cellStyle name="20 % - Markeringsfarve3 2 6 3 3" xfId="2613"/>
    <cellStyle name="20 % - Markeringsfarve3 2 6 3 3 2" xfId="7602"/>
    <cellStyle name="20 % - Markeringsfarve3 2 6 3 4" xfId="4277"/>
    <cellStyle name="20 % - Markeringsfarve3 2 6 3 4 2" xfId="9263"/>
    <cellStyle name="20 % - Markeringsfarve3 2 6 3 5" xfId="5940"/>
    <cellStyle name="20 % - Markeringsfarve3 2 6 3 6" xfId="10927"/>
    <cellStyle name="20 % - Markeringsfarve3 2 6 4" xfId="1223"/>
    <cellStyle name="20 % - Markeringsfarve3 2 6 4 2" xfId="2891"/>
    <cellStyle name="20 % - Markeringsfarve3 2 6 4 2 2" xfId="7880"/>
    <cellStyle name="20 % - Markeringsfarve3 2 6 4 3" xfId="4555"/>
    <cellStyle name="20 % - Markeringsfarve3 2 6 4 3 2" xfId="9541"/>
    <cellStyle name="20 % - Markeringsfarve3 2 6 4 4" xfId="6218"/>
    <cellStyle name="20 % - Markeringsfarve3 2 6 5" xfId="2061"/>
    <cellStyle name="20 % - Markeringsfarve3 2 6 5 2" xfId="7050"/>
    <cellStyle name="20 % - Markeringsfarve3 2 6 6" xfId="3726"/>
    <cellStyle name="20 % - Markeringsfarve3 2 6 6 2" xfId="8712"/>
    <cellStyle name="20 % - Markeringsfarve3 2 6 7" xfId="5389"/>
    <cellStyle name="20 % - Markeringsfarve3 2 6 8" xfId="10373"/>
    <cellStyle name="20 % - Markeringsfarve3 2 7" xfId="449"/>
    <cellStyle name="20 % - Markeringsfarve3 2 7 2" xfId="1284"/>
    <cellStyle name="20 % - Markeringsfarve3 2 7 2 2" xfId="2952"/>
    <cellStyle name="20 % - Markeringsfarve3 2 7 2 2 2" xfId="7941"/>
    <cellStyle name="20 % - Markeringsfarve3 2 7 2 3" xfId="4616"/>
    <cellStyle name="20 % - Markeringsfarve3 2 7 2 3 2" xfId="9602"/>
    <cellStyle name="20 % - Markeringsfarve3 2 7 2 4" xfId="6279"/>
    <cellStyle name="20 % - Markeringsfarve3 2 7 3" xfId="2123"/>
    <cellStyle name="20 % - Markeringsfarve3 2 7 3 2" xfId="7112"/>
    <cellStyle name="20 % - Markeringsfarve3 2 7 4" xfId="3787"/>
    <cellStyle name="20 % - Markeringsfarve3 2 7 4 2" xfId="8773"/>
    <cellStyle name="20 % - Markeringsfarve3 2 7 5" xfId="5450"/>
    <cellStyle name="20 % - Markeringsfarve3 2 7 6" xfId="10447"/>
    <cellStyle name="20 % - Markeringsfarve3 2 8" xfId="724"/>
    <cellStyle name="20 % - Markeringsfarve3 2 8 2" xfId="1558"/>
    <cellStyle name="20 % - Markeringsfarve3 2 8 2 2" xfId="3226"/>
    <cellStyle name="20 % - Markeringsfarve3 2 8 2 2 2" xfId="8215"/>
    <cellStyle name="20 % - Markeringsfarve3 2 8 2 3" xfId="4890"/>
    <cellStyle name="20 % - Markeringsfarve3 2 8 2 3 2" xfId="9876"/>
    <cellStyle name="20 % - Markeringsfarve3 2 8 2 4" xfId="6553"/>
    <cellStyle name="20 % - Markeringsfarve3 2 8 3" xfId="2395"/>
    <cellStyle name="20 % - Markeringsfarve3 2 8 3 2" xfId="7384"/>
    <cellStyle name="20 % - Markeringsfarve3 2 8 4" xfId="4059"/>
    <cellStyle name="20 % - Markeringsfarve3 2 8 4 2" xfId="9045"/>
    <cellStyle name="20 % - Markeringsfarve3 2 8 5" xfId="5722"/>
    <cellStyle name="20 % - Markeringsfarve3 2 8 6" xfId="10709"/>
    <cellStyle name="20 % - Markeringsfarve3 2 9" xfId="1005"/>
    <cellStyle name="20 % - Markeringsfarve3 2 9 2" xfId="2673"/>
    <cellStyle name="20 % - Markeringsfarve3 2 9 2 2" xfId="7662"/>
    <cellStyle name="20 % - Markeringsfarve3 2 9 3" xfId="4337"/>
    <cellStyle name="20 % - Markeringsfarve3 2 9 3 2" xfId="9323"/>
    <cellStyle name="20 % - Markeringsfarve3 2 9 4" xfId="6000"/>
    <cellStyle name="20 % - Markeringsfarve3 3" xfId="120"/>
    <cellStyle name="20 % - Markeringsfarve3 3 2" xfId="493"/>
    <cellStyle name="20 % - Markeringsfarve3 3 2 2" xfId="1328"/>
    <cellStyle name="20 % - Markeringsfarve3 3 2 2 2" xfId="2996"/>
    <cellStyle name="20 % - Markeringsfarve3 3 2 2 2 2" xfId="7985"/>
    <cellStyle name="20 % - Markeringsfarve3 3 2 2 3" xfId="4660"/>
    <cellStyle name="20 % - Markeringsfarve3 3 2 2 3 2" xfId="9646"/>
    <cellStyle name="20 % - Markeringsfarve3 3 2 2 4" xfId="6323"/>
    <cellStyle name="20 % - Markeringsfarve3 3 2 3" xfId="2167"/>
    <cellStyle name="20 % - Markeringsfarve3 3 2 3 2" xfId="7156"/>
    <cellStyle name="20 % - Markeringsfarve3 3 2 4" xfId="3831"/>
    <cellStyle name="20 % - Markeringsfarve3 3 2 4 2" xfId="8817"/>
    <cellStyle name="20 % - Markeringsfarve3 3 2 5" xfId="5494"/>
    <cellStyle name="20 % - Markeringsfarve3 3 2 6" xfId="10479"/>
    <cellStyle name="20 % - Markeringsfarve3 3 3" xfId="768"/>
    <cellStyle name="20 % - Markeringsfarve3 3 3 2" xfId="1602"/>
    <cellStyle name="20 % - Markeringsfarve3 3 3 2 2" xfId="3270"/>
    <cellStyle name="20 % - Markeringsfarve3 3 3 2 2 2" xfId="8259"/>
    <cellStyle name="20 % - Markeringsfarve3 3 3 2 3" xfId="4934"/>
    <cellStyle name="20 % - Markeringsfarve3 3 3 2 3 2" xfId="9920"/>
    <cellStyle name="20 % - Markeringsfarve3 3 3 2 4" xfId="6597"/>
    <cellStyle name="20 % - Markeringsfarve3 3 3 3" xfId="2439"/>
    <cellStyle name="20 % - Markeringsfarve3 3 3 3 2" xfId="7428"/>
    <cellStyle name="20 % - Markeringsfarve3 3 3 4" xfId="4103"/>
    <cellStyle name="20 % - Markeringsfarve3 3 3 4 2" xfId="9089"/>
    <cellStyle name="20 % - Markeringsfarve3 3 3 5" xfId="5766"/>
    <cellStyle name="20 % - Markeringsfarve3 3 3 6" xfId="10753"/>
    <cellStyle name="20 % - Markeringsfarve3 3 4" xfId="1049"/>
    <cellStyle name="20 % - Markeringsfarve3 3 4 2" xfId="2717"/>
    <cellStyle name="20 % - Markeringsfarve3 3 4 2 2" xfId="7706"/>
    <cellStyle name="20 % - Markeringsfarve3 3 4 3" xfId="4381"/>
    <cellStyle name="20 % - Markeringsfarve3 3 4 3 2" xfId="9367"/>
    <cellStyle name="20 % - Markeringsfarve3 3 4 4" xfId="6044"/>
    <cellStyle name="20 % - Markeringsfarve3 3 5" xfId="1887"/>
    <cellStyle name="20 % - Markeringsfarve3 3 5 2" xfId="6876"/>
    <cellStyle name="20 % - Markeringsfarve3 3 6" xfId="3552"/>
    <cellStyle name="20 % - Markeringsfarve3 3 6 2" xfId="8538"/>
    <cellStyle name="20 % - Markeringsfarve3 3 7" xfId="5215"/>
    <cellStyle name="20 % - Markeringsfarve3 3 8" xfId="10199"/>
    <cellStyle name="20 % - Markeringsfarve3 4" xfId="173"/>
    <cellStyle name="20 % - Markeringsfarve3 4 2" xfId="546"/>
    <cellStyle name="20 % - Markeringsfarve3 4 2 2" xfId="1381"/>
    <cellStyle name="20 % - Markeringsfarve3 4 2 2 2" xfId="3049"/>
    <cellStyle name="20 % - Markeringsfarve3 4 2 2 2 2" xfId="8038"/>
    <cellStyle name="20 % - Markeringsfarve3 4 2 2 3" xfId="4713"/>
    <cellStyle name="20 % - Markeringsfarve3 4 2 2 3 2" xfId="9699"/>
    <cellStyle name="20 % - Markeringsfarve3 4 2 2 4" xfId="6376"/>
    <cellStyle name="20 % - Markeringsfarve3 4 2 3" xfId="2218"/>
    <cellStyle name="20 % - Markeringsfarve3 4 2 3 2" xfId="7207"/>
    <cellStyle name="20 % - Markeringsfarve3 4 2 4" xfId="3882"/>
    <cellStyle name="20 % - Markeringsfarve3 4 2 4 2" xfId="8868"/>
    <cellStyle name="20 % - Markeringsfarve3 4 2 5" xfId="5545"/>
    <cellStyle name="20 % - Markeringsfarve3 4 2 6" xfId="10532"/>
    <cellStyle name="20 % - Markeringsfarve3 4 3" xfId="821"/>
    <cellStyle name="20 % - Markeringsfarve3 4 3 2" xfId="1655"/>
    <cellStyle name="20 % - Markeringsfarve3 4 3 2 2" xfId="3323"/>
    <cellStyle name="20 % - Markeringsfarve3 4 3 2 2 2" xfId="8312"/>
    <cellStyle name="20 % - Markeringsfarve3 4 3 2 3" xfId="4987"/>
    <cellStyle name="20 % - Markeringsfarve3 4 3 2 3 2" xfId="9973"/>
    <cellStyle name="20 % - Markeringsfarve3 4 3 2 4" xfId="6650"/>
    <cellStyle name="20 % - Markeringsfarve3 4 3 3" xfId="2492"/>
    <cellStyle name="20 % - Markeringsfarve3 4 3 3 2" xfId="7481"/>
    <cellStyle name="20 % - Markeringsfarve3 4 3 4" xfId="4156"/>
    <cellStyle name="20 % - Markeringsfarve3 4 3 4 2" xfId="9142"/>
    <cellStyle name="20 % - Markeringsfarve3 4 3 5" xfId="5819"/>
    <cellStyle name="20 % - Markeringsfarve3 4 3 6" xfId="10806"/>
    <cellStyle name="20 % - Markeringsfarve3 4 4" xfId="1102"/>
    <cellStyle name="20 % - Markeringsfarve3 4 4 2" xfId="2770"/>
    <cellStyle name="20 % - Markeringsfarve3 4 4 2 2" xfId="7759"/>
    <cellStyle name="20 % - Markeringsfarve3 4 4 3" xfId="4434"/>
    <cellStyle name="20 % - Markeringsfarve3 4 4 3 2" xfId="9420"/>
    <cellStyle name="20 % - Markeringsfarve3 4 4 4" xfId="6097"/>
    <cellStyle name="20 % - Markeringsfarve3 4 5" xfId="1940"/>
    <cellStyle name="20 % - Markeringsfarve3 4 5 2" xfId="6929"/>
    <cellStyle name="20 % - Markeringsfarve3 4 6" xfId="3605"/>
    <cellStyle name="20 % - Markeringsfarve3 4 6 2" xfId="8591"/>
    <cellStyle name="20 % - Markeringsfarve3 4 7" xfId="5268"/>
    <cellStyle name="20 % - Markeringsfarve3 4 8" xfId="10252"/>
    <cellStyle name="20 % - Markeringsfarve3 5" xfId="229"/>
    <cellStyle name="20 % - Markeringsfarve3 5 2" xfId="601"/>
    <cellStyle name="20 % - Markeringsfarve3 5 2 2" xfId="1436"/>
    <cellStyle name="20 % - Markeringsfarve3 5 2 2 2" xfId="3104"/>
    <cellStyle name="20 % - Markeringsfarve3 5 2 2 2 2" xfId="8093"/>
    <cellStyle name="20 % - Markeringsfarve3 5 2 2 3" xfId="4768"/>
    <cellStyle name="20 % - Markeringsfarve3 5 2 2 3 2" xfId="9754"/>
    <cellStyle name="20 % - Markeringsfarve3 5 2 2 4" xfId="6431"/>
    <cellStyle name="20 % - Markeringsfarve3 5 2 3" xfId="2273"/>
    <cellStyle name="20 % - Markeringsfarve3 5 2 3 2" xfId="7262"/>
    <cellStyle name="20 % - Markeringsfarve3 5 2 4" xfId="3937"/>
    <cellStyle name="20 % - Markeringsfarve3 5 2 4 2" xfId="8923"/>
    <cellStyle name="20 % - Markeringsfarve3 5 2 5" xfId="5600"/>
    <cellStyle name="20 % - Markeringsfarve3 5 2 6" xfId="10587"/>
    <cellStyle name="20 % - Markeringsfarve3 5 3" xfId="876"/>
    <cellStyle name="20 % - Markeringsfarve3 5 3 2" xfId="1710"/>
    <cellStyle name="20 % - Markeringsfarve3 5 3 2 2" xfId="3378"/>
    <cellStyle name="20 % - Markeringsfarve3 5 3 2 2 2" xfId="8367"/>
    <cellStyle name="20 % - Markeringsfarve3 5 3 2 3" xfId="5042"/>
    <cellStyle name="20 % - Markeringsfarve3 5 3 2 3 2" xfId="10028"/>
    <cellStyle name="20 % - Markeringsfarve3 5 3 2 4" xfId="6705"/>
    <cellStyle name="20 % - Markeringsfarve3 5 3 3" xfId="2547"/>
    <cellStyle name="20 % - Markeringsfarve3 5 3 3 2" xfId="7536"/>
    <cellStyle name="20 % - Markeringsfarve3 5 3 4" xfId="4211"/>
    <cellStyle name="20 % - Markeringsfarve3 5 3 4 2" xfId="9197"/>
    <cellStyle name="20 % - Markeringsfarve3 5 3 5" xfId="5874"/>
    <cellStyle name="20 % - Markeringsfarve3 5 3 6" xfId="10861"/>
    <cellStyle name="20 % - Markeringsfarve3 5 4" xfId="1157"/>
    <cellStyle name="20 % - Markeringsfarve3 5 4 2" xfId="2825"/>
    <cellStyle name="20 % - Markeringsfarve3 5 4 2 2" xfId="7814"/>
    <cellStyle name="20 % - Markeringsfarve3 5 4 3" xfId="4489"/>
    <cellStyle name="20 % - Markeringsfarve3 5 4 3 2" xfId="9475"/>
    <cellStyle name="20 % - Markeringsfarve3 5 4 4" xfId="6152"/>
    <cellStyle name="20 % - Markeringsfarve3 5 5" xfId="1995"/>
    <cellStyle name="20 % - Markeringsfarve3 5 5 2" xfId="6984"/>
    <cellStyle name="20 % - Markeringsfarve3 5 6" xfId="3660"/>
    <cellStyle name="20 % - Markeringsfarve3 5 6 2" xfId="8646"/>
    <cellStyle name="20 % - Markeringsfarve3 5 7" xfId="5323"/>
    <cellStyle name="20 % - Markeringsfarve3 5 8" xfId="10307"/>
    <cellStyle name="20 % - Markeringsfarve3 6" xfId="284"/>
    <cellStyle name="20 % - Markeringsfarve3 6 2" xfId="656"/>
    <cellStyle name="20 % - Markeringsfarve3 6 2 2" xfId="1491"/>
    <cellStyle name="20 % - Markeringsfarve3 6 2 2 2" xfId="3159"/>
    <cellStyle name="20 % - Markeringsfarve3 6 2 2 2 2" xfId="8148"/>
    <cellStyle name="20 % - Markeringsfarve3 6 2 2 3" xfId="4823"/>
    <cellStyle name="20 % - Markeringsfarve3 6 2 2 3 2" xfId="9809"/>
    <cellStyle name="20 % - Markeringsfarve3 6 2 2 4" xfId="6486"/>
    <cellStyle name="20 % - Markeringsfarve3 6 2 3" xfId="2328"/>
    <cellStyle name="20 % - Markeringsfarve3 6 2 3 2" xfId="7317"/>
    <cellStyle name="20 % - Markeringsfarve3 6 2 4" xfId="3992"/>
    <cellStyle name="20 % - Markeringsfarve3 6 2 4 2" xfId="8978"/>
    <cellStyle name="20 % - Markeringsfarve3 6 2 5" xfId="5655"/>
    <cellStyle name="20 % - Markeringsfarve3 6 2 6" xfId="10642"/>
    <cellStyle name="20 % - Markeringsfarve3 6 3" xfId="931"/>
    <cellStyle name="20 % - Markeringsfarve3 6 3 2" xfId="1765"/>
    <cellStyle name="20 % - Markeringsfarve3 6 3 2 2" xfId="3433"/>
    <cellStyle name="20 % - Markeringsfarve3 6 3 2 2 2" xfId="8422"/>
    <cellStyle name="20 % - Markeringsfarve3 6 3 2 3" xfId="5097"/>
    <cellStyle name="20 % - Markeringsfarve3 6 3 2 3 2" xfId="10083"/>
    <cellStyle name="20 % - Markeringsfarve3 6 3 2 4" xfId="6760"/>
    <cellStyle name="20 % - Markeringsfarve3 6 3 3" xfId="2602"/>
    <cellStyle name="20 % - Markeringsfarve3 6 3 3 2" xfId="7591"/>
    <cellStyle name="20 % - Markeringsfarve3 6 3 4" xfId="4266"/>
    <cellStyle name="20 % - Markeringsfarve3 6 3 4 2" xfId="9252"/>
    <cellStyle name="20 % - Markeringsfarve3 6 3 5" xfId="5929"/>
    <cellStyle name="20 % - Markeringsfarve3 6 3 6" xfId="10916"/>
    <cellStyle name="20 % - Markeringsfarve3 6 4" xfId="1212"/>
    <cellStyle name="20 % - Markeringsfarve3 6 4 2" xfId="2880"/>
    <cellStyle name="20 % - Markeringsfarve3 6 4 2 2" xfId="7869"/>
    <cellStyle name="20 % - Markeringsfarve3 6 4 3" xfId="4544"/>
    <cellStyle name="20 % - Markeringsfarve3 6 4 3 2" xfId="9530"/>
    <cellStyle name="20 % - Markeringsfarve3 6 4 4" xfId="6207"/>
    <cellStyle name="20 % - Markeringsfarve3 6 5" xfId="2050"/>
    <cellStyle name="20 % - Markeringsfarve3 6 5 2" xfId="7039"/>
    <cellStyle name="20 % - Markeringsfarve3 6 6" xfId="3715"/>
    <cellStyle name="20 % - Markeringsfarve3 6 6 2" xfId="8701"/>
    <cellStyle name="20 % - Markeringsfarve3 6 7" xfId="5378"/>
    <cellStyle name="20 % - Markeringsfarve3 6 8" xfId="10362"/>
    <cellStyle name="20 % - Markeringsfarve3 7" xfId="438"/>
    <cellStyle name="20 % - Markeringsfarve3 7 2" xfId="1273"/>
    <cellStyle name="20 % - Markeringsfarve3 7 2 2" xfId="2941"/>
    <cellStyle name="20 % - Markeringsfarve3 7 2 2 2" xfId="7930"/>
    <cellStyle name="20 % - Markeringsfarve3 7 2 3" xfId="4605"/>
    <cellStyle name="20 % - Markeringsfarve3 7 2 3 2" xfId="9591"/>
    <cellStyle name="20 % - Markeringsfarve3 7 2 4" xfId="6268"/>
    <cellStyle name="20 % - Markeringsfarve3 7 3" xfId="2112"/>
    <cellStyle name="20 % - Markeringsfarve3 7 3 2" xfId="7101"/>
    <cellStyle name="20 % - Markeringsfarve3 7 4" xfId="3776"/>
    <cellStyle name="20 % - Markeringsfarve3 7 4 2" xfId="8762"/>
    <cellStyle name="20 % - Markeringsfarve3 7 5" xfId="5439"/>
    <cellStyle name="20 % - Markeringsfarve3 7 6" xfId="10451"/>
    <cellStyle name="20 % - Markeringsfarve3 8" xfId="713"/>
    <cellStyle name="20 % - Markeringsfarve3 8 2" xfId="1547"/>
    <cellStyle name="20 % - Markeringsfarve3 8 2 2" xfId="3215"/>
    <cellStyle name="20 % - Markeringsfarve3 8 2 2 2" xfId="8204"/>
    <cellStyle name="20 % - Markeringsfarve3 8 2 3" xfId="4879"/>
    <cellStyle name="20 % - Markeringsfarve3 8 2 3 2" xfId="9865"/>
    <cellStyle name="20 % - Markeringsfarve3 8 2 4" xfId="6542"/>
    <cellStyle name="20 % - Markeringsfarve3 8 3" xfId="2384"/>
    <cellStyle name="20 % - Markeringsfarve3 8 3 2" xfId="7373"/>
    <cellStyle name="20 % - Markeringsfarve3 8 4" xfId="4048"/>
    <cellStyle name="20 % - Markeringsfarve3 8 4 2" xfId="9034"/>
    <cellStyle name="20 % - Markeringsfarve3 8 5" xfId="5711"/>
    <cellStyle name="20 % - Markeringsfarve3 8 6" xfId="10698"/>
    <cellStyle name="20 % - Markeringsfarve3 9" xfId="994"/>
    <cellStyle name="20 % - Markeringsfarve3 9 2" xfId="2662"/>
    <cellStyle name="20 % - Markeringsfarve3 9 2 2" xfId="7651"/>
    <cellStyle name="20 % - Markeringsfarve3 9 3" xfId="4326"/>
    <cellStyle name="20 % - Markeringsfarve3 9 3 2" xfId="9312"/>
    <cellStyle name="20 % - Markeringsfarve3 9 4" xfId="5989"/>
    <cellStyle name="20 % - Markeringsfarve4" xfId="32" builtinId="42" customBuiltin="1"/>
    <cellStyle name="20 % - Markeringsfarve4 10" xfId="1831"/>
    <cellStyle name="20 % - Markeringsfarve4 10 2" xfId="6823"/>
    <cellStyle name="20 % - Markeringsfarve4 11" xfId="3499"/>
    <cellStyle name="20 % - Markeringsfarve4 11 2" xfId="8485"/>
    <cellStyle name="20 % - Markeringsfarve4 12" xfId="5162"/>
    <cellStyle name="20 % - Markeringsfarve4 13" xfId="10146"/>
    <cellStyle name="20 % - Markeringsfarve4 2" xfId="56"/>
    <cellStyle name="20 % - Markeringsfarve4 2 10" xfId="1841"/>
    <cellStyle name="20 % - Markeringsfarve4 2 10 2" xfId="6833"/>
    <cellStyle name="20 % - Markeringsfarve4 2 11" xfId="3509"/>
    <cellStyle name="20 % - Markeringsfarve4 2 11 2" xfId="8495"/>
    <cellStyle name="20 % - Markeringsfarve4 2 12" xfId="5172"/>
    <cellStyle name="20 % - Markeringsfarve4 2 13" xfId="10156"/>
    <cellStyle name="20 % - Markeringsfarve4 2 2" xfId="81"/>
    <cellStyle name="20 % - Markeringsfarve4 2 2 10" xfId="3528"/>
    <cellStyle name="20 % - Markeringsfarve4 2 2 10 2" xfId="8514"/>
    <cellStyle name="20 % - Markeringsfarve4 2 2 11" xfId="5191"/>
    <cellStyle name="20 % - Markeringsfarve4 2 2 12" xfId="10174"/>
    <cellStyle name="20 % - Markeringsfarve4 2 2 2" xfId="149"/>
    <cellStyle name="20 % - Markeringsfarve4 2 2 2 2" xfId="522"/>
    <cellStyle name="20 % - Markeringsfarve4 2 2 2 2 2" xfId="1357"/>
    <cellStyle name="20 % - Markeringsfarve4 2 2 2 2 2 2" xfId="3025"/>
    <cellStyle name="20 % - Markeringsfarve4 2 2 2 2 2 2 2" xfId="8014"/>
    <cellStyle name="20 % - Markeringsfarve4 2 2 2 2 2 3" xfId="4689"/>
    <cellStyle name="20 % - Markeringsfarve4 2 2 2 2 2 3 2" xfId="9675"/>
    <cellStyle name="20 % - Markeringsfarve4 2 2 2 2 2 4" xfId="6352"/>
    <cellStyle name="20 % - Markeringsfarve4 2 2 2 2 3" xfId="2194"/>
    <cellStyle name="20 % - Markeringsfarve4 2 2 2 2 3 2" xfId="7183"/>
    <cellStyle name="20 % - Markeringsfarve4 2 2 2 2 4" xfId="3858"/>
    <cellStyle name="20 % - Markeringsfarve4 2 2 2 2 4 2" xfId="8844"/>
    <cellStyle name="20 % - Markeringsfarve4 2 2 2 2 5" xfId="5521"/>
    <cellStyle name="20 % - Markeringsfarve4 2 2 2 2 6" xfId="10508"/>
    <cellStyle name="20 % - Markeringsfarve4 2 2 2 3" xfId="797"/>
    <cellStyle name="20 % - Markeringsfarve4 2 2 2 3 2" xfId="1631"/>
    <cellStyle name="20 % - Markeringsfarve4 2 2 2 3 2 2" xfId="3299"/>
    <cellStyle name="20 % - Markeringsfarve4 2 2 2 3 2 2 2" xfId="8288"/>
    <cellStyle name="20 % - Markeringsfarve4 2 2 2 3 2 3" xfId="4963"/>
    <cellStyle name="20 % - Markeringsfarve4 2 2 2 3 2 3 2" xfId="9949"/>
    <cellStyle name="20 % - Markeringsfarve4 2 2 2 3 2 4" xfId="6626"/>
    <cellStyle name="20 % - Markeringsfarve4 2 2 2 3 3" xfId="2468"/>
    <cellStyle name="20 % - Markeringsfarve4 2 2 2 3 3 2" xfId="7457"/>
    <cellStyle name="20 % - Markeringsfarve4 2 2 2 3 4" xfId="4132"/>
    <cellStyle name="20 % - Markeringsfarve4 2 2 2 3 4 2" xfId="9118"/>
    <cellStyle name="20 % - Markeringsfarve4 2 2 2 3 5" xfId="5795"/>
    <cellStyle name="20 % - Markeringsfarve4 2 2 2 3 6" xfId="10782"/>
    <cellStyle name="20 % - Markeringsfarve4 2 2 2 4" xfId="1078"/>
    <cellStyle name="20 % - Markeringsfarve4 2 2 2 4 2" xfId="2746"/>
    <cellStyle name="20 % - Markeringsfarve4 2 2 2 4 2 2" xfId="7735"/>
    <cellStyle name="20 % - Markeringsfarve4 2 2 2 4 3" xfId="4410"/>
    <cellStyle name="20 % - Markeringsfarve4 2 2 2 4 3 2" xfId="9396"/>
    <cellStyle name="20 % - Markeringsfarve4 2 2 2 4 4" xfId="6073"/>
    <cellStyle name="20 % - Markeringsfarve4 2 2 2 5" xfId="1916"/>
    <cellStyle name="20 % - Markeringsfarve4 2 2 2 5 2" xfId="6905"/>
    <cellStyle name="20 % - Markeringsfarve4 2 2 2 6" xfId="3581"/>
    <cellStyle name="20 % - Markeringsfarve4 2 2 2 6 2" xfId="8567"/>
    <cellStyle name="20 % - Markeringsfarve4 2 2 2 7" xfId="5244"/>
    <cellStyle name="20 % - Markeringsfarve4 2 2 2 8" xfId="10228"/>
    <cellStyle name="20 % - Markeringsfarve4 2 2 3" xfId="204"/>
    <cellStyle name="20 % - Markeringsfarve4 2 2 3 2" xfId="576"/>
    <cellStyle name="20 % - Markeringsfarve4 2 2 3 2 2" xfId="1411"/>
    <cellStyle name="20 % - Markeringsfarve4 2 2 3 2 2 2" xfId="3079"/>
    <cellStyle name="20 % - Markeringsfarve4 2 2 3 2 2 2 2" xfId="8068"/>
    <cellStyle name="20 % - Markeringsfarve4 2 2 3 2 2 3" xfId="4743"/>
    <cellStyle name="20 % - Markeringsfarve4 2 2 3 2 2 3 2" xfId="9729"/>
    <cellStyle name="20 % - Markeringsfarve4 2 2 3 2 2 4" xfId="6406"/>
    <cellStyle name="20 % - Markeringsfarve4 2 2 3 2 3" xfId="2248"/>
    <cellStyle name="20 % - Markeringsfarve4 2 2 3 2 3 2" xfId="7237"/>
    <cellStyle name="20 % - Markeringsfarve4 2 2 3 2 4" xfId="3912"/>
    <cellStyle name="20 % - Markeringsfarve4 2 2 3 2 4 2" xfId="8898"/>
    <cellStyle name="20 % - Markeringsfarve4 2 2 3 2 5" xfId="5575"/>
    <cellStyle name="20 % - Markeringsfarve4 2 2 3 2 6" xfId="10562"/>
    <cellStyle name="20 % - Markeringsfarve4 2 2 3 3" xfId="851"/>
    <cellStyle name="20 % - Markeringsfarve4 2 2 3 3 2" xfId="1685"/>
    <cellStyle name="20 % - Markeringsfarve4 2 2 3 3 2 2" xfId="3353"/>
    <cellStyle name="20 % - Markeringsfarve4 2 2 3 3 2 2 2" xfId="8342"/>
    <cellStyle name="20 % - Markeringsfarve4 2 2 3 3 2 3" xfId="5017"/>
    <cellStyle name="20 % - Markeringsfarve4 2 2 3 3 2 3 2" xfId="10003"/>
    <cellStyle name="20 % - Markeringsfarve4 2 2 3 3 2 4" xfId="6680"/>
    <cellStyle name="20 % - Markeringsfarve4 2 2 3 3 3" xfId="2522"/>
    <cellStyle name="20 % - Markeringsfarve4 2 2 3 3 3 2" xfId="7511"/>
    <cellStyle name="20 % - Markeringsfarve4 2 2 3 3 4" xfId="4186"/>
    <cellStyle name="20 % - Markeringsfarve4 2 2 3 3 4 2" xfId="9172"/>
    <cellStyle name="20 % - Markeringsfarve4 2 2 3 3 5" xfId="5849"/>
    <cellStyle name="20 % - Markeringsfarve4 2 2 3 3 6" xfId="10836"/>
    <cellStyle name="20 % - Markeringsfarve4 2 2 3 4" xfId="1132"/>
    <cellStyle name="20 % - Markeringsfarve4 2 2 3 4 2" xfId="2800"/>
    <cellStyle name="20 % - Markeringsfarve4 2 2 3 4 2 2" xfId="7789"/>
    <cellStyle name="20 % - Markeringsfarve4 2 2 3 4 3" xfId="4464"/>
    <cellStyle name="20 % - Markeringsfarve4 2 2 3 4 3 2" xfId="9450"/>
    <cellStyle name="20 % - Markeringsfarve4 2 2 3 4 4" xfId="6127"/>
    <cellStyle name="20 % - Markeringsfarve4 2 2 3 5" xfId="1970"/>
    <cellStyle name="20 % - Markeringsfarve4 2 2 3 5 2" xfId="6959"/>
    <cellStyle name="20 % - Markeringsfarve4 2 2 3 6" xfId="3635"/>
    <cellStyle name="20 % - Markeringsfarve4 2 2 3 6 2" xfId="8621"/>
    <cellStyle name="20 % - Markeringsfarve4 2 2 3 7" xfId="5298"/>
    <cellStyle name="20 % - Markeringsfarve4 2 2 3 8" xfId="10282"/>
    <cellStyle name="20 % - Markeringsfarve4 2 2 4" xfId="259"/>
    <cellStyle name="20 % - Markeringsfarve4 2 2 4 2" xfId="631"/>
    <cellStyle name="20 % - Markeringsfarve4 2 2 4 2 2" xfId="1466"/>
    <cellStyle name="20 % - Markeringsfarve4 2 2 4 2 2 2" xfId="3134"/>
    <cellStyle name="20 % - Markeringsfarve4 2 2 4 2 2 2 2" xfId="8123"/>
    <cellStyle name="20 % - Markeringsfarve4 2 2 4 2 2 3" xfId="4798"/>
    <cellStyle name="20 % - Markeringsfarve4 2 2 4 2 2 3 2" xfId="9784"/>
    <cellStyle name="20 % - Markeringsfarve4 2 2 4 2 2 4" xfId="6461"/>
    <cellStyle name="20 % - Markeringsfarve4 2 2 4 2 3" xfId="2303"/>
    <cellStyle name="20 % - Markeringsfarve4 2 2 4 2 3 2" xfId="7292"/>
    <cellStyle name="20 % - Markeringsfarve4 2 2 4 2 4" xfId="3967"/>
    <cellStyle name="20 % - Markeringsfarve4 2 2 4 2 4 2" xfId="8953"/>
    <cellStyle name="20 % - Markeringsfarve4 2 2 4 2 5" xfId="5630"/>
    <cellStyle name="20 % - Markeringsfarve4 2 2 4 2 6" xfId="10617"/>
    <cellStyle name="20 % - Markeringsfarve4 2 2 4 3" xfId="906"/>
    <cellStyle name="20 % - Markeringsfarve4 2 2 4 3 2" xfId="1740"/>
    <cellStyle name="20 % - Markeringsfarve4 2 2 4 3 2 2" xfId="3408"/>
    <cellStyle name="20 % - Markeringsfarve4 2 2 4 3 2 2 2" xfId="8397"/>
    <cellStyle name="20 % - Markeringsfarve4 2 2 4 3 2 3" xfId="5072"/>
    <cellStyle name="20 % - Markeringsfarve4 2 2 4 3 2 3 2" xfId="10058"/>
    <cellStyle name="20 % - Markeringsfarve4 2 2 4 3 2 4" xfId="6735"/>
    <cellStyle name="20 % - Markeringsfarve4 2 2 4 3 3" xfId="2577"/>
    <cellStyle name="20 % - Markeringsfarve4 2 2 4 3 3 2" xfId="7566"/>
    <cellStyle name="20 % - Markeringsfarve4 2 2 4 3 4" xfId="4241"/>
    <cellStyle name="20 % - Markeringsfarve4 2 2 4 3 4 2" xfId="9227"/>
    <cellStyle name="20 % - Markeringsfarve4 2 2 4 3 5" xfId="5904"/>
    <cellStyle name="20 % - Markeringsfarve4 2 2 4 3 6" xfId="10891"/>
    <cellStyle name="20 % - Markeringsfarve4 2 2 4 4" xfId="1187"/>
    <cellStyle name="20 % - Markeringsfarve4 2 2 4 4 2" xfId="2855"/>
    <cellStyle name="20 % - Markeringsfarve4 2 2 4 4 2 2" xfId="7844"/>
    <cellStyle name="20 % - Markeringsfarve4 2 2 4 4 3" xfId="4519"/>
    <cellStyle name="20 % - Markeringsfarve4 2 2 4 4 3 2" xfId="9505"/>
    <cellStyle name="20 % - Markeringsfarve4 2 2 4 4 4" xfId="6182"/>
    <cellStyle name="20 % - Markeringsfarve4 2 2 4 5" xfId="2025"/>
    <cellStyle name="20 % - Markeringsfarve4 2 2 4 5 2" xfId="7014"/>
    <cellStyle name="20 % - Markeringsfarve4 2 2 4 6" xfId="3690"/>
    <cellStyle name="20 % - Markeringsfarve4 2 2 4 6 2" xfId="8676"/>
    <cellStyle name="20 % - Markeringsfarve4 2 2 4 7" xfId="5353"/>
    <cellStyle name="20 % - Markeringsfarve4 2 2 4 8" xfId="10337"/>
    <cellStyle name="20 % - Markeringsfarve4 2 2 5" xfId="315"/>
    <cellStyle name="20 % - Markeringsfarve4 2 2 5 2" xfId="687"/>
    <cellStyle name="20 % - Markeringsfarve4 2 2 5 2 2" xfId="1522"/>
    <cellStyle name="20 % - Markeringsfarve4 2 2 5 2 2 2" xfId="3190"/>
    <cellStyle name="20 % - Markeringsfarve4 2 2 5 2 2 2 2" xfId="8179"/>
    <cellStyle name="20 % - Markeringsfarve4 2 2 5 2 2 3" xfId="4854"/>
    <cellStyle name="20 % - Markeringsfarve4 2 2 5 2 2 3 2" xfId="9840"/>
    <cellStyle name="20 % - Markeringsfarve4 2 2 5 2 2 4" xfId="6517"/>
    <cellStyle name="20 % - Markeringsfarve4 2 2 5 2 3" xfId="2359"/>
    <cellStyle name="20 % - Markeringsfarve4 2 2 5 2 3 2" xfId="7348"/>
    <cellStyle name="20 % - Markeringsfarve4 2 2 5 2 4" xfId="4023"/>
    <cellStyle name="20 % - Markeringsfarve4 2 2 5 2 4 2" xfId="9009"/>
    <cellStyle name="20 % - Markeringsfarve4 2 2 5 2 5" xfId="5686"/>
    <cellStyle name="20 % - Markeringsfarve4 2 2 5 2 6" xfId="10673"/>
    <cellStyle name="20 % - Markeringsfarve4 2 2 5 3" xfId="962"/>
    <cellStyle name="20 % - Markeringsfarve4 2 2 5 3 2" xfId="1796"/>
    <cellStyle name="20 % - Markeringsfarve4 2 2 5 3 2 2" xfId="3464"/>
    <cellStyle name="20 % - Markeringsfarve4 2 2 5 3 2 2 2" xfId="8453"/>
    <cellStyle name="20 % - Markeringsfarve4 2 2 5 3 2 3" xfId="5128"/>
    <cellStyle name="20 % - Markeringsfarve4 2 2 5 3 2 3 2" xfId="10114"/>
    <cellStyle name="20 % - Markeringsfarve4 2 2 5 3 2 4" xfId="6791"/>
    <cellStyle name="20 % - Markeringsfarve4 2 2 5 3 3" xfId="2633"/>
    <cellStyle name="20 % - Markeringsfarve4 2 2 5 3 3 2" xfId="7622"/>
    <cellStyle name="20 % - Markeringsfarve4 2 2 5 3 4" xfId="4297"/>
    <cellStyle name="20 % - Markeringsfarve4 2 2 5 3 4 2" xfId="9283"/>
    <cellStyle name="20 % - Markeringsfarve4 2 2 5 3 5" xfId="5960"/>
    <cellStyle name="20 % - Markeringsfarve4 2 2 5 3 6" xfId="10947"/>
    <cellStyle name="20 % - Markeringsfarve4 2 2 5 4" xfId="1243"/>
    <cellStyle name="20 % - Markeringsfarve4 2 2 5 4 2" xfId="2911"/>
    <cellStyle name="20 % - Markeringsfarve4 2 2 5 4 2 2" xfId="7900"/>
    <cellStyle name="20 % - Markeringsfarve4 2 2 5 4 3" xfId="4575"/>
    <cellStyle name="20 % - Markeringsfarve4 2 2 5 4 3 2" xfId="9561"/>
    <cellStyle name="20 % - Markeringsfarve4 2 2 5 4 4" xfId="6238"/>
    <cellStyle name="20 % - Markeringsfarve4 2 2 5 5" xfId="2081"/>
    <cellStyle name="20 % - Markeringsfarve4 2 2 5 5 2" xfId="7070"/>
    <cellStyle name="20 % - Markeringsfarve4 2 2 5 6" xfId="3746"/>
    <cellStyle name="20 % - Markeringsfarve4 2 2 5 6 2" xfId="8732"/>
    <cellStyle name="20 % - Markeringsfarve4 2 2 5 7" xfId="5409"/>
    <cellStyle name="20 % - Markeringsfarve4 2 2 5 8" xfId="10393"/>
    <cellStyle name="20 % - Markeringsfarve4 2 2 6" xfId="468"/>
    <cellStyle name="20 % - Markeringsfarve4 2 2 6 2" xfId="1303"/>
    <cellStyle name="20 % - Markeringsfarve4 2 2 6 2 2" xfId="2971"/>
    <cellStyle name="20 % - Markeringsfarve4 2 2 6 2 2 2" xfId="7960"/>
    <cellStyle name="20 % - Markeringsfarve4 2 2 6 2 3" xfId="4635"/>
    <cellStyle name="20 % - Markeringsfarve4 2 2 6 2 3 2" xfId="9621"/>
    <cellStyle name="20 % - Markeringsfarve4 2 2 6 2 4" xfId="6298"/>
    <cellStyle name="20 % - Markeringsfarve4 2 2 6 3" xfId="2142"/>
    <cellStyle name="20 % - Markeringsfarve4 2 2 6 3 2" xfId="7131"/>
    <cellStyle name="20 % - Markeringsfarve4 2 2 6 4" xfId="3806"/>
    <cellStyle name="20 % - Markeringsfarve4 2 2 6 4 2" xfId="8792"/>
    <cellStyle name="20 % - Markeringsfarve4 2 2 6 5" xfId="5469"/>
    <cellStyle name="20 % - Markeringsfarve4 2 2 6 6" xfId="10449"/>
    <cellStyle name="20 % - Markeringsfarve4 2 2 7" xfId="743"/>
    <cellStyle name="20 % - Markeringsfarve4 2 2 7 2" xfId="1577"/>
    <cellStyle name="20 % - Markeringsfarve4 2 2 7 2 2" xfId="3245"/>
    <cellStyle name="20 % - Markeringsfarve4 2 2 7 2 2 2" xfId="8234"/>
    <cellStyle name="20 % - Markeringsfarve4 2 2 7 2 3" xfId="4909"/>
    <cellStyle name="20 % - Markeringsfarve4 2 2 7 2 3 2" xfId="9895"/>
    <cellStyle name="20 % - Markeringsfarve4 2 2 7 2 4" xfId="6572"/>
    <cellStyle name="20 % - Markeringsfarve4 2 2 7 3" xfId="2414"/>
    <cellStyle name="20 % - Markeringsfarve4 2 2 7 3 2" xfId="7403"/>
    <cellStyle name="20 % - Markeringsfarve4 2 2 7 4" xfId="4078"/>
    <cellStyle name="20 % - Markeringsfarve4 2 2 7 4 2" xfId="9064"/>
    <cellStyle name="20 % - Markeringsfarve4 2 2 7 5" xfId="5741"/>
    <cellStyle name="20 % - Markeringsfarve4 2 2 7 6" xfId="10728"/>
    <cellStyle name="20 % - Markeringsfarve4 2 2 8" xfId="1024"/>
    <cellStyle name="20 % - Markeringsfarve4 2 2 8 2" xfId="2692"/>
    <cellStyle name="20 % - Markeringsfarve4 2 2 8 2 2" xfId="7681"/>
    <cellStyle name="20 % - Markeringsfarve4 2 2 8 3" xfId="4356"/>
    <cellStyle name="20 % - Markeringsfarve4 2 2 8 3 2" xfId="9342"/>
    <cellStyle name="20 % - Markeringsfarve4 2 2 8 4" xfId="6019"/>
    <cellStyle name="20 % - Markeringsfarve4 2 2 9" xfId="1860"/>
    <cellStyle name="20 % - Markeringsfarve4 2 2 9 2" xfId="6852"/>
    <cellStyle name="20 % - Markeringsfarve4 2 3" xfId="132"/>
    <cellStyle name="20 % - Markeringsfarve4 2 3 2" xfId="505"/>
    <cellStyle name="20 % - Markeringsfarve4 2 3 2 2" xfId="1340"/>
    <cellStyle name="20 % - Markeringsfarve4 2 3 2 2 2" xfId="3008"/>
    <cellStyle name="20 % - Markeringsfarve4 2 3 2 2 2 2" xfId="7997"/>
    <cellStyle name="20 % - Markeringsfarve4 2 3 2 2 3" xfId="4672"/>
    <cellStyle name="20 % - Markeringsfarve4 2 3 2 2 3 2" xfId="9658"/>
    <cellStyle name="20 % - Markeringsfarve4 2 3 2 2 4" xfId="6335"/>
    <cellStyle name="20 % - Markeringsfarve4 2 3 2 3" xfId="2179"/>
    <cellStyle name="20 % - Markeringsfarve4 2 3 2 3 2" xfId="7168"/>
    <cellStyle name="20 % - Markeringsfarve4 2 3 2 4" xfId="3843"/>
    <cellStyle name="20 % - Markeringsfarve4 2 3 2 4 2" xfId="8829"/>
    <cellStyle name="20 % - Markeringsfarve4 2 3 2 5" xfId="5506"/>
    <cellStyle name="20 % - Markeringsfarve4 2 3 2 6" xfId="10491"/>
    <cellStyle name="20 % - Markeringsfarve4 2 3 3" xfId="780"/>
    <cellStyle name="20 % - Markeringsfarve4 2 3 3 2" xfId="1614"/>
    <cellStyle name="20 % - Markeringsfarve4 2 3 3 2 2" xfId="3282"/>
    <cellStyle name="20 % - Markeringsfarve4 2 3 3 2 2 2" xfId="8271"/>
    <cellStyle name="20 % - Markeringsfarve4 2 3 3 2 3" xfId="4946"/>
    <cellStyle name="20 % - Markeringsfarve4 2 3 3 2 3 2" xfId="9932"/>
    <cellStyle name="20 % - Markeringsfarve4 2 3 3 2 4" xfId="6609"/>
    <cellStyle name="20 % - Markeringsfarve4 2 3 3 3" xfId="2451"/>
    <cellStyle name="20 % - Markeringsfarve4 2 3 3 3 2" xfId="7440"/>
    <cellStyle name="20 % - Markeringsfarve4 2 3 3 4" xfId="4115"/>
    <cellStyle name="20 % - Markeringsfarve4 2 3 3 4 2" xfId="9101"/>
    <cellStyle name="20 % - Markeringsfarve4 2 3 3 5" xfId="5778"/>
    <cellStyle name="20 % - Markeringsfarve4 2 3 3 6" xfId="10765"/>
    <cellStyle name="20 % - Markeringsfarve4 2 3 4" xfId="1061"/>
    <cellStyle name="20 % - Markeringsfarve4 2 3 4 2" xfId="2729"/>
    <cellStyle name="20 % - Markeringsfarve4 2 3 4 2 2" xfId="7718"/>
    <cellStyle name="20 % - Markeringsfarve4 2 3 4 3" xfId="4393"/>
    <cellStyle name="20 % - Markeringsfarve4 2 3 4 3 2" xfId="9379"/>
    <cellStyle name="20 % - Markeringsfarve4 2 3 4 4" xfId="6056"/>
    <cellStyle name="20 % - Markeringsfarve4 2 3 5" xfId="1899"/>
    <cellStyle name="20 % - Markeringsfarve4 2 3 5 2" xfId="6888"/>
    <cellStyle name="20 % - Markeringsfarve4 2 3 6" xfId="3564"/>
    <cellStyle name="20 % - Markeringsfarve4 2 3 6 2" xfId="8550"/>
    <cellStyle name="20 % - Markeringsfarve4 2 3 7" xfId="5227"/>
    <cellStyle name="20 % - Markeringsfarve4 2 3 8" xfId="10211"/>
    <cellStyle name="20 % - Markeringsfarve4 2 4" xfId="186"/>
    <cellStyle name="20 % - Markeringsfarve4 2 4 2" xfId="558"/>
    <cellStyle name="20 % - Markeringsfarve4 2 4 2 2" xfId="1393"/>
    <cellStyle name="20 % - Markeringsfarve4 2 4 2 2 2" xfId="3061"/>
    <cellStyle name="20 % - Markeringsfarve4 2 4 2 2 2 2" xfId="8050"/>
    <cellStyle name="20 % - Markeringsfarve4 2 4 2 2 3" xfId="4725"/>
    <cellStyle name="20 % - Markeringsfarve4 2 4 2 2 3 2" xfId="9711"/>
    <cellStyle name="20 % - Markeringsfarve4 2 4 2 2 4" xfId="6388"/>
    <cellStyle name="20 % - Markeringsfarve4 2 4 2 3" xfId="2230"/>
    <cellStyle name="20 % - Markeringsfarve4 2 4 2 3 2" xfId="7219"/>
    <cellStyle name="20 % - Markeringsfarve4 2 4 2 4" xfId="3894"/>
    <cellStyle name="20 % - Markeringsfarve4 2 4 2 4 2" xfId="8880"/>
    <cellStyle name="20 % - Markeringsfarve4 2 4 2 5" xfId="5557"/>
    <cellStyle name="20 % - Markeringsfarve4 2 4 2 6" xfId="10544"/>
    <cellStyle name="20 % - Markeringsfarve4 2 4 3" xfId="833"/>
    <cellStyle name="20 % - Markeringsfarve4 2 4 3 2" xfId="1667"/>
    <cellStyle name="20 % - Markeringsfarve4 2 4 3 2 2" xfId="3335"/>
    <cellStyle name="20 % - Markeringsfarve4 2 4 3 2 2 2" xfId="8324"/>
    <cellStyle name="20 % - Markeringsfarve4 2 4 3 2 3" xfId="4999"/>
    <cellStyle name="20 % - Markeringsfarve4 2 4 3 2 3 2" xfId="9985"/>
    <cellStyle name="20 % - Markeringsfarve4 2 4 3 2 4" xfId="6662"/>
    <cellStyle name="20 % - Markeringsfarve4 2 4 3 3" xfId="2504"/>
    <cellStyle name="20 % - Markeringsfarve4 2 4 3 3 2" xfId="7493"/>
    <cellStyle name="20 % - Markeringsfarve4 2 4 3 4" xfId="4168"/>
    <cellStyle name="20 % - Markeringsfarve4 2 4 3 4 2" xfId="9154"/>
    <cellStyle name="20 % - Markeringsfarve4 2 4 3 5" xfId="5831"/>
    <cellStyle name="20 % - Markeringsfarve4 2 4 3 6" xfId="10818"/>
    <cellStyle name="20 % - Markeringsfarve4 2 4 4" xfId="1114"/>
    <cellStyle name="20 % - Markeringsfarve4 2 4 4 2" xfId="2782"/>
    <cellStyle name="20 % - Markeringsfarve4 2 4 4 2 2" xfId="7771"/>
    <cellStyle name="20 % - Markeringsfarve4 2 4 4 3" xfId="4446"/>
    <cellStyle name="20 % - Markeringsfarve4 2 4 4 3 2" xfId="9432"/>
    <cellStyle name="20 % - Markeringsfarve4 2 4 4 4" xfId="6109"/>
    <cellStyle name="20 % - Markeringsfarve4 2 4 5" xfId="1952"/>
    <cellStyle name="20 % - Markeringsfarve4 2 4 5 2" xfId="6941"/>
    <cellStyle name="20 % - Markeringsfarve4 2 4 6" xfId="3617"/>
    <cellStyle name="20 % - Markeringsfarve4 2 4 6 2" xfId="8603"/>
    <cellStyle name="20 % - Markeringsfarve4 2 4 7" xfId="5280"/>
    <cellStyle name="20 % - Markeringsfarve4 2 4 8" xfId="10264"/>
    <cellStyle name="20 % - Markeringsfarve4 2 5" xfId="240"/>
    <cellStyle name="20 % - Markeringsfarve4 2 5 2" xfId="612"/>
    <cellStyle name="20 % - Markeringsfarve4 2 5 2 2" xfId="1447"/>
    <cellStyle name="20 % - Markeringsfarve4 2 5 2 2 2" xfId="3115"/>
    <cellStyle name="20 % - Markeringsfarve4 2 5 2 2 2 2" xfId="8104"/>
    <cellStyle name="20 % - Markeringsfarve4 2 5 2 2 3" xfId="4779"/>
    <cellStyle name="20 % - Markeringsfarve4 2 5 2 2 3 2" xfId="9765"/>
    <cellStyle name="20 % - Markeringsfarve4 2 5 2 2 4" xfId="6442"/>
    <cellStyle name="20 % - Markeringsfarve4 2 5 2 3" xfId="2284"/>
    <cellStyle name="20 % - Markeringsfarve4 2 5 2 3 2" xfId="7273"/>
    <cellStyle name="20 % - Markeringsfarve4 2 5 2 4" xfId="3948"/>
    <cellStyle name="20 % - Markeringsfarve4 2 5 2 4 2" xfId="8934"/>
    <cellStyle name="20 % - Markeringsfarve4 2 5 2 5" xfId="5611"/>
    <cellStyle name="20 % - Markeringsfarve4 2 5 2 6" xfId="10598"/>
    <cellStyle name="20 % - Markeringsfarve4 2 5 3" xfId="887"/>
    <cellStyle name="20 % - Markeringsfarve4 2 5 3 2" xfId="1721"/>
    <cellStyle name="20 % - Markeringsfarve4 2 5 3 2 2" xfId="3389"/>
    <cellStyle name="20 % - Markeringsfarve4 2 5 3 2 2 2" xfId="8378"/>
    <cellStyle name="20 % - Markeringsfarve4 2 5 3 2 3" xfId="5053"/>
    <cellStyle name="20 % - Markeringsfarve4 2 5 3 2 3 2" xfId="10039"/>
    <cellStyle name="20 % - Markeringsfarve4 2 5 3 2 4" xfId="6716"/>
    <cellStyle name="20 % - Markeringsfarve4 2 5 3 3" xfId="2558"/>
    <cellStyle name="20 % - Markeringsfarve4 2 5 3 3 2" xfId="7547"/>
    <cellStyle name="20 % - Markeringsfarve4 2 5 3 4" xfId="4222"/>
    <cellStyle name="20 % - Markeringsfarve4 2 5 3 4 2" xfId="9208"/>
    <cellStyle name="20 % - Markeringsfarve4 2 5 3 5" xfId="5885"/>
    <cellStyle name="20 % - Markeringsfarve4 2 5 3 6" xfId="10872"/>
    <cellStyle name="20 % - Markeringsfarve4 2 5 4" xfId="1168"/>
    <cellStyle name="20 % - Markeringsfarve4 2 5 4 2" xfId="2836"/>
    <cellStyle name="20 % - Markeringsfarve4 2 5 4 2 2" xfId="7825"/>
    <cellStyle name="20 % - Markeringsfarve4 2 5 4 3" xfId="4500"/>
    <cellStyle name="20 % - Markeringsfarve4 2 5 4 3 2" xfId="9486"/>
    <cellStyle name="20 % - Markeringsfarve4 2 5 4 4" xfId="6163"/>
    <cellStyle name="20 % - Markeringsfarve4 2 5 5" xfId="2006"/>
    <cellStyle name="20 % - Markeringsfarve4 2 5 5 2" xfId="6995"/>
    <cellStyle name="20 % - Markeringsfarve4 2 5 6" xfId="3671"/>
    <cellStyle name="20 % - Markeringsfarve4 2 5 6 2" xfId="8657"/>
    <cellStyle name="20 % - Markeringsfarve4 2 5 7" xfId="5334"/>
    <cellStyle name="20 % - Markeringsfarve4 2 5 8" xfId="10318"/>
    <cellStyle name="20 % - Markeringsfarve4 2 6" xfId="296"/>
    <cellStyle name="20 % - Markeringsfarve4 2 6 2" xfId="668"/>
    <cellStyle name="20 % - Markeringsfarve4 2 6 2 2" xfId="1503"/>
    <cellStyle name="20 % - Markeringsfarve4 2 6 2 2 2" xfId="3171"/>
    <cellStyle name="20 % - Markeringsfarve4 2 6 2 2 2 2" xfId="8160"/>
    <cellStyle name="20 % - Markeringsfarve4 2 6 2 2 3" xfId="4835"/>
    <cellStyle name="20 % - Markeringsfarve4 2 6 2 2 3 2" xfId="9821"/>
    <cellStyle name="20 % - Markeringsfarve4 2 6 2 2 4" xfId="6498"/>
    <cellStyle name="20 % - Markeringsfarve4 2 6 2 3" xfId="2340"/>
    <cellStyle name="20 % - Markeringsfarve4 2 6 2 3 2" xfId="7329"/>
    <cellStyle name="20 % - Markeringsfarve4 2 6 2 4" xfId="4004"/>
    <cellStyle name="20 % - Markeringsfarve4 2 6 2 4 2" xfId="8990"/>
    <cellStyle name="20 % - Markeringsfarve4 2 6 2 5" xfId="5667"/>
    <cellStyle name="20 % - Markeringsfarve4 2 6 2 6" xfId="10654"/>
    <cellStyle name="20 % - Markeringsfarve4 2 6 3" xfId="943"/>
    <cellStyle name="20 % - Markeringsfarve4 2 6 3 2" xfId="1777"/>
    <cellStyle name="20 % - Markeringsfarve4 2 6 3 2 2" xfId="3445"/>
    <cellStyle name="20 % - Markeringsfarve4 2 6 3 2 2 2" xfId="8434"/>
    <cellStyle name="20 % - Markeringsfarve4 2 6 3 2 3" xfId="5109"/>
    <cellStyle name="20 % - Markeringsfarve4 2 6 3 2 3 2" xfId="10095"/>
    <cellStyle name="20 % - Markeringsfarve4 2 6 3 2 4" xfId="6772"/>
    <cellStyle name="20 % - Markeringsfarve4 2 6 3 3" xfId="2614"/>
    <cellStyle name="20 % - Markeringsfarve4 2 6 3 3 2" xfId="7603"/>
    <cellStyle name="20 % - Markeringsfarve4 2 6 3 4" xfId="4278"/>
    <cellStyle name="20 % - Markeringsfarve4 2 6 3 4 2" xfId="9264"/>
    <cellStyle name="20 % - Markeringsfarve4 2 6 3 5" xfId="5941"/>
    <cellStyle name="20 % - Markeringsfarve4 2 6 3 6" xfId="10928"/>
    <cellStyle name="20 % - Markeringsfarve4 2 6 4" xfId="1224"/>
    <cellStyle name="20 % - Markeringsfarve4 2 6 4 2" xfId="2892"/>
    <cellStyle name="20 % - Markeringsfarve4 2 6 4 2 2" xfId="7881"/>
    <cellStyle name="20 % - Markeringsfarve4 2 6 4 3" xfId="4556"/>
    <cellStyle name="20 % - Markeringsfarve4 2 6 4 3 2" xfId="9542"/>
    <cellStyle name="20 % - Markeringsfarve4 2 6 4 4" xfId="6219"/>
    <cellStyle name="20 % - Markeringsfarve4 2 6 5" xfId="2062"/>
    <cellStyle name="20 % - Markeringsfarve4 2 6 5 2" xfId="7051"/>
    <cellStyle name="20 % - Markeringsfarve4 2 6 6" xfId="3727"/>
    <cellStyle name="20 % - Markeringsfarve4 2 6 6 2" xfId="8713"/>
    <cellStyle name="20 % - Markeringsfarve4 2 6 7" xfId="5390"/>
    <cellStyle name="20 % - Markeringsfarve4 2 6 8" xfId="10374"/>
    <cellStyle name="20 % - Markeringsfarve4 2 7" xfId="450"/>
    <cellStyle name="20 % - Markeringsfarve4 2 7 2" xfId="1285"/>
    <cellStyle name="20 % - Markeringsfarve4 2 7 2 2" xfId="2953"/>
    <cellStyle name="20 % - Markeringsfarve4 2 7 2 2 2" xfId="7942"/>
    <cellStyle name="20 % - Markeringsfarve4 2 7 2 3" xfId="4617"/>
    <cellStyle name="20 % - Markeringsfarve4 2 7 2 3 2" xfId="9603"/>
    <cellStyle name="20 % - Markeringsfarve4 2 7 2 4" xfId="6280"/>
    <cellStyle name="20 % - Markeringsfarve4 2 7 3" xfId="2124"/>
    <cellStyle name="20 % - Markeringsfarve4 2 7 3 2" xfId="7113"/>
    <cellStyle name="20 % - Markeringsfarve4 2 7 4" xfId="3788"/>
    <cellStyle name="20 % - Markeringsfarve4 2 7 4 2" xfId="8774"/>
    <cellStyle name="20 % - Markeringsfarve4 2 7 5" xfId="5451"/>
    <cellStyle name="20 % - Markeringsfarve4 2 7 6" xfId="10439"/>
    <cellStyle name="20 % - Markeringsfarve4 2 8" xfId="725"/>
    <cellStyle name="20 % - Markeringsfarve4 2 8 2" xfId="1559"/>
    <cellStyle name="20 % - Markeringsfarve4 2 8 2 2" xfId="3227"/>
    <cellStyle name="20 % - Markeringsfarve4 2 8 2 2 2" xfId="8216"/>
    <cellStyle name="20 % - Markeringsfarve4 2 8 2 3" xfId="4891"/>
    <cellStyle name="20 % - Markeringsfarve4 2 8 2 3 2" xfId="9877"/>
    <cellStyle name="20 % - Markeringsfarve4 2 8 2 4" xfId="6554"/>
    <cellStyle name="20 % - Markeringsfarve4 2 8 3" xfId="2396"/>
    <cellStyle name="20 % - Markeringsfarve4 2 8 3 2" xfId="7385"/>
    <cellStyle name="20 % - Markeringsfarve4 2 8 4" xfId="4060"/>
    <cellStyle name="20 % - Markeringsfarve4 2 8 4 2" xfId="9046"/>
    <cellStyle name="20 % - Markeringsfarve4 2 8 5" xfId="5723"/>
    <cellStyle name="20 % - Markeringsfarve4 2 8 6" xfId="10710"/>
    <cellStyle name="20 % - Markeringsfarve4 2 9" xfId="1006"/>
    <cellStyle name="20 % - Markeringsfarve4 2 9 2" xfId="2674"/>
    <cellStyle name="20 % - Markeringsfarve4 2 9 2 2" xfId="7663"/>
    <cellStyle name="20 % - Markeringsfarve4 2 9 3" xfId="4338"/>
    <cellStyle name="20 % - Markeringsfarve4 2 9 3 2" xfId="9324"/>
    <cellStyle name="20 % - Markeringsfarve4 2 9 4" xfId="6001"/>
    <cellStyle name="20 % - Markeringsfarve4 3" xfId="122"/>
    <cellStyle name="20 % - Markeringsfarve4 3 2" xfId="495"/>
    <cellStyle name="20 % - Markeringsfarve4 3 2 2" xfId="1330"/>
    <cellStyle name="20 % - Markeringsfarve4 3 2 2 2" xfId="2998"/>
    <cellStyle name="20 % - Markeringsfarve4 3 2 2 2 2" xfId="7987"/>
    <cellStyle name="20 % - Markeringsfarve4 3 2 2 3" xfId="4662"/>
    <cellStyle name="20 % - Markeringsfarve4 3 2 2 3 2" xfId="9648"/>
    <cellStyle name="20 % - Markeringsfarve4 3 2 2 4" xfId="6325"/>
    <cellStyle name="20 % - Markeringsfarve4 3 2 3" xfId="2169"/>
    <cellStyle name="20 % - Markeringsfarve4 3 2 3 2" xfId="7158"/>
    <cellStyle name="20 % - Markeringsfarve4 3 2 4" xfId="3833"/>
    <cellStyle name="20 % - Markeringsfarve4 3 2 4 2" xfId="8819"/>
    <cellStyle name="20 % - Markeringsfarve4 3 2 5" xfId="5496"/>
    <cellStyle name="20 % - Markeringsfarve4 3 2 6" xfId="10481"/>
    <cellStyle name="20 % - Markeringsfarve4 3 3" xfId="770"/>
    <cellStyle name="20 % - Markeringsfarve4 3 3 2" xfId="1604"/>
    <cellStyle name="20 % - Markeringsfarve4 3 3 2 2" xfId="3272"/>
    <cellStyle name="20 % - Markeringsfarve4 3 3 2 2 2" xfId="8261"/>
    <cellStyle name="20 % - Markeringsfarve4 3 3 2 3" xfId="4936"/>
    <cellStyle name="20 % - Markeringsfarve4 3 3 2 3 2" xfId="9922"/>
    <cellStyle name="20 % - Markeringsfarve4 3 3 2 4" xfId="6599"/>
    <cellStyle name="20 % - Markeringsfarve4 3 3 3" xfId="2441"/>
    <cellStyle name="20 % - Markeringsfarve4 3 3 3 2" xfId="7430"/>
    <cellStyle name="20 % - Markeringsfarve4 3 3 4" xfId="4105"/>
    <cellStyle name="20 % - Markeringsfarve4 3 3 4 2" xfId="9091"/>
    <cellStyle name="20 % - Markeringsfarve4 3 3 5" xfId="5768"/>
    <cellStyle name="20 % - Markeringsfarve4 3 3 6" xfId="10755"/>
    <cellStyle name="20 % - Markeringsfarve4 3 4" xfId="1051"/>
    <cellStyle name="20 % - Markeringsfarve4 3 4 2" xfId="2719"/>
    <cellStyle name="20 % - Markeringsfarve4 3 4 2 2" xfId="7708"/>
    <cellStyle name="20 % - Markeringsfarve4 3 4 3" xfId="4383"/>
    <cellStyle name="20 % - Markeringsfarve4 3 4 3 2" xfId="9369"/>
    <cellStyle name="20 % - Markeringsfarve4 3 4 4" xfId="6046"/>
    <cellStyle name="20 % - Markeringsfarve4 3 5" xfId="1889"/>
    <cellStyle name="20 % - Markeringsfarve4 3 5 2" xfId="6878"/>
    <cellStyle name="20 % - Markeringsfarve4 3 6" xfId="3554"/>
    <cellStyle name="20 % - Markeringsfarve4 3 6 2" xfId="8540"/>
    <cellStyle name="20 % - Markeringsfarve4 3 7" xfId="5217"/>
    <cellStyle name="20 % - Markeringsfarve4 3 8" xfId="10201"/>
    <cellStyle name="20 % - Markeringsfarve4 4" xfId="175"/>
    <cellStyle name="20 % - Markeringsfarve4 4 2" xfId="548"/>
    <cellStyle name="20 % - Markeringsfarve4 4 2 2" xfId="1383"/>
    <cellStyle name="20 % - Markeringsfarve4 4 2 2 2" xfId="3051"/>
    <cellStyle name="20 % - Markeringsfarve4 4 2 2 2 2" xfId="8040"/>
    <cellStyle name="20 % - Markeringsfarve4 4 2 2 3" xfId="4715"/>
    <cellStyle name="20 % - Markeringsfarve4 4 2 2 3 2" xfId="9701"/>
    <cellStyle name="20 % - Markeringsfarve4 4 2 2 4" xfId="6378"/>
    <cellStyle name="20 % - Markeringsfarve4 4 2 3" xfId="2220"/>
    <cellStyle name="20 % - Markeringsfarve4 4 2 3 2" xfId="7209"/>
    <cellStyle name="20 % - Markeringsfarve4 4 2 4" xfId="3884"/>
    <cellStyle name="20 % - Markeringsfarve4 4 2 4 2" xfId="8870"/>
    <cellStyle name="20 % - Markeringsfarve4 4 2 5" xfId="5547"/>
    <cellStyle name="20 % - Markeringsfarve4 4 2 6" xfId="10534"/>
    <cellStyle name="20 % - Markeringsfarve4 4 3" xfId="823"/>
    <cellStyle name="20 % - Markeringsfarve4 4 3 2" xfId="1657"/>
    <cellStyle name="20 % - Markeringsfarve4 4 3 2 2" xfId="3325"/>
    <cellStyle name="20 % - Markeringsfarve4 4 3 2 2 2" xfId="8314"/>
    <cellStyle name="20 % - Markeringsfarve4 4 3 2 3" xfId="4989"/>
    <cellStyle name="20 % - Markeringsfarve4 4 3 2 3 2" xfId="9975"/>
    <cellStyle name="20 % - Markeringsfarve4 4 3 2 4" xfId="6652"/>
    <cellStyle name="20 % - Markeringsfarve4 4 3 3" xfId="2494"/>
    <cellStyle name="20 % - Markeringsfarve4 4 3 3 2" xfId="7483"/>
    <cellStyle name="20 % - Markeringsfarve4 4 3 4" xfId="4158"/>
    <cellStyle name="20 % - Markeringsfarve4 4 3 4 2" xfId="9144"/>
    <cellStyle name="20 % - Markeringsfarve4 4 3 5" xfId="5821"/>
    <cellStyle name="20 % - Markeringsfarve4 4 3 6" xfId="10808"/>
    <cellStyle name="20 % - Markeringsfarve4 4 4" xfId="1104"/>
    <cellStyle name="20 % - Markeringsfarve4 4 4 2" xfId="2772"/>
    <cellStyle name="20 % - Markeringsfarve4 4 4 2 2" xfId="7761"/>
    <cellStyle name="20 % - Markeringsfarve4 4 4 3" xfId="4436"/>
    <cellStyle name="20 % - Markeringsfarve4 4 4 3 2" xfId="9422"/>
    <cellStyle name="20 % - Markeringsfarve4 4 4 4" xfId="6099"/>
    <cellStyle name="20 % - Markeringsfarve4 4 5" xfId="1942"/>
    <cellStyle name="20 % - Markeringsfarve4 4 5 2" xfId="6931"/>
    <cellStyle name="20 % - Markeringsfarve4 4 6" xfId="3607"/>
    <cellStyle name="20 % - Markeringsfarve4 4 6 2" xfId="8593"/>
    <cellStyle name="20 % - Markeringsfarve4 4 7" xfId="5270"/>
    <cellStyle name="20 % - Markeringsfarve4 4 8" xfId="10254"/>
    <cellStyle name="20 % - Markeringsfarve4 5" xfId="231"/>
    <cellStyle name="20 % - Markeringsfarve4 5 2" xfId="603"/>
    <cellStyle name="20 % - Markeringsfarve4 5 2 2" xfId="1438"/>
    <cellStyle name="20 % - Markeringsfarve4 5 2 2 2" xfId="3106"/>
    <cellStyle name="20 % - Markeringsfarve4 5 2 2 2 2" xfId="8095"/>
    <cellStyle name="20 % - Markeringsfarve4 5 2 2 3" xfId="4770"/>
    <cellStyle name="20 % - Markeringsfarve4 5 2 2 3 2" xfId="9756"/>
    <cellStyle name="20 % - Markeringsfarve4 5 2 2 4" xfId="6433"/>
    <cellStyle name="20 % - Markeringsfarve4 5 2 3" xfId="2275"/>
    <cellStyle name="20 % - Markeringsfarve4 5 2 3 2" xfId="7264"/>
    <cellStyle name="20 % - Markeringsfarve4 5 2 4" xfId="3939"/>
    <cellStyle name="20 % - Markeringsfarve4 5 2 4 2" xfId="8925"/>
    <cellStyle name="20 % - Markeringsfarve4 5 2 5" xfId="5602"/>
    <cellStyle name="20 % - Markeringsfarve4 5 2 6" xfId="10589"/>
    <cellStyle name="20 % - Markeringsfarve4 5 3" xfId="878"/>
    <cellStyle name="20 % - Markeringsfarve4 5 3 2" xfId="1712"/>
    <cellStyle name="20 % - Markeringsfarve4 5 3 2 2" xfId="3380"/>
    <cellStyle name="20 % - Markeringsfarve4 5 3 2 2 2" xfId="8369"/>
    <cellStyle name="20 % - Markeringsfarve4 5 3 2 3" xfId="5044"/>
    <cellStyle name="20 % - Markeringsfarve4 5 3 2 3 2" xfId="10030"/>
    <cellStyle name="20 % - Markeringsfarve4 5 3 2 4" xfId="6707"/>
    <cellStyle name="20 % - Markeringsfarve4 5 3 3" xfId="2549"/>
    <cellStyle name="20 % - Markeringsfarve4 5 3 3 2" xfId="7538"/>
    <cellStyle name="20 % - Markeringsfarve4 5 3 4" xfId="4213"/>
    <cellStyle name="20 % - Markeringsfarve4 5 3 4 2" xfId="9199"/>
    <cellStyle name="20 % - Markeringsfarve4 5 3 5" xfId="5876"/>
    <cellStyle name="20 % - Markeringsfarve4 5 3 6" xfId="10863"/>
    <cellStyle name="20 % - Markeringsfarve4 5 4" xfId="1159"/>
    <cellStyle name="20 % - Markeringsfarve4 5 4 2" xfId="2827"/>
    <cellStyle name="20 % - Markeringsfarve4 5 4 2 2" xfId="7816"/>
    <cellStyle name="20 % - Markeringsfarve4 5 4 3" xfId="4491"/>
    <cellStyle name="20 % - Markeringsfarve4 5 4 3 2" xfId="9477"/>
    <cellStyle name="20 % - Markeringsfarve4 5 4 4" xfId="6154"/>
    <cellStyle name="20 % - Markeringsfarve4 5 5" xfId="1997"/>
    <cellStyle name="20 % - Markeringsfarve4 5 5 2" xfId="6986"/>
    <cellStyle name="20 % - Markeringsfarve4 5 6" xfId="3662"/>
    <cellStyle name="20 % - Markeringsfarve4 5 6 2" xfId="8648"/>
    <cellStyle name="20 % - Markeringsfarve4 5 7" xfId="5325"/>
    <cellStyle name="20 % - Markeringsfarve4 5 8" xfId="10309"/>
    <cellStyle name="20 % - Markeringsfarve4 6" xfId="286"/>
    <cellStyle name="20 % - Markeringsfarve4 6 2" xfId="658"/>
    <cellStyle name="20 % - Markeringsfarve4 6 2 2" xfId="1493"/>
    <cellStyle name="20 % - Markeringsfarve4 6 2 2 2" xfId="3161"/>
    <cellStyle name="20 % - Markeringsfarve4 6 2 2 2 2" xfId="8150"/>
    <cellStyle name="20 % - Markeringsfarve4 6 2 2 3" xfId="4825"/>
    <cellStyle name="20 % - Markeringsfarve4 6 2 2 3 2" xfId="9811"/>
    <cellStyle name="20 % - Markeringsfarve4 6 2 2 4" xfId="6488"/>
    <cellStyle name="20 % - Markeringsfarve4 6 2 3" xfId="2330"/>
    <cellStyle name="20 % - Markeringsfarve4 6 2 3 2" xfId="7319"/>
    <cellStyle name="20 % - Markeringsfarve4 6 2 4" xfId="3994"/>
    <cellStyle name="20 % - Markeringsfarve4 6 2 4 2" xfId="8980"/>
    <cellStyle name="20 % - Markeringsfarve4 6 2 5" xfId="5657"/>
    <cellStyle name="20 % - Markeringsfarve4 6 2 6" xfId="10644"/>
    <cellStyle name="20 % - Markeringsfarve4 6 3" xfId="933"/>
    <cellStyle name="20 % - Markeringsfarve4 6 3 2" xfId="1767"/>
    <cellStyle name="20 % - Markeringsfarve4 6 3 2 2" xfId="3435"/>
    <cellStyle name="20 % - Markeringsfarve4 6 3 2 2 2" xfId="8424"/>
    <cellStyle name="20 % - Markeringsfarve4 6 3 2 3" xfId="5099"/>
    <cellStyle name="20 % - Markeringsfarve4 6 3 2 3 2" xfId="10085"/>
    <cellStyle name="20 % - Markeringsfarve4 6 3 2 4" xfId="6762"/>
    <cellStyle name="20 % - Markeringsfarve4 6 3 3" xfId="2604"/>
    <cellStyle name="20 % - Markeringsfarve4 6 3 3 2" xfId="7593"/>
    <cellStyle name="20 % - Markeringsfarve4 6 3 4" xfId="4268"/>
    <cellStyle name="20 % - Markeringsfarve4 6 3 4 2" xfId="9254"/>
    <cellStyle name="20 % - Markeringsfarve4 6 3 5" xfId="5931"/>
    <cellStyle name="20 % - Markeringsfarve4 6 3 6" xfId="10918"/>
    <cellStyle name="20 % - Markeringsfarve4 6 4" xfId="1214"/>
    <cellStyle name="20 % - Markeringsfarve4 6 4 2" xfId="2882"/>
    <cellStyle name="20 % - Markeringsfarve4 6 4 2 2" xfId="7871"/>
    <cellStyle name="20 % - Markeringsfarve4 6 4 3" xfId="4546"/>
    <cellStyle name="20 % - Markeringsfarve4 6 4 3 2" xfId="9532"/>
    <cellStyle name="20 % - Markeringsfarve4 6 4 4" xfId="6209"/>
    <cellStyle name="20 % - Markeringsfarve4 6 5" xfId="2052"/>
    <cellStyle name="20 % - Markeringsfarve4 6 5 2" xfId="7041"/>
    <cellStyle name="20 % - Markeringsfarve4 6 6" xfId="3717"/>
    <cellStyle name="20 % - Markeringsfarve4 6 6 2" xfId="8703"/>
    <cellStyle name="20 % - Markeringsfarve4 6 7" xfId="5380"/>
    <cellStyle name="20 % - Markeringsfarve4 6 8" xfId="10364"/>
    <cellStyle name="20 % - Markeringsfarve4 7" xfId="440"/>
    <cellStyle name="20 % - Markeringsfarve4 7 2" xfId="1275"/>
    <cellStyle name="20 % - Markeringsfarve4 7 2 2" xfId="2943"/>
    <cellStyle name="20 % - Markeringsfarve4 7 2 2 2" xfId="7932"/>
    <cellStyle name="20 % - Markeringsfarve4 7 2 3" xfId="4607"/>
    <cellStyle name="20 % - Markeringsfarve4 7 2 3 2" xfId="9593"/>
    <cellStyle name="20 % - Markeringsfarve4 7 2 4" xfId="6270"/>
    <cellStyle name="20 % - Markeringsfarve4 7 3" xfId="2114"/>
    <cellStyle name="20 % - Markeringsfarve4 7 3 2" xfId="7103"/>
    <cellStyle name="20 % - Markeringsfarve4 7 4" xfId="3778"/>
    <cellStyle name="20 % - Markeringsfarve4 7 4 2" xfId="8764"/>
    <cellStyle name="20 % - Markeringsfarve4 7 5" xfId="5441"/>
    <cellStyle name="20 % - Markeringsfarve4 7 6" xfId="10434"/>
    <cellStyle name="20 % - Markeringsfarve4 8" xfId="715"/>
    <cellStyle name="20 % - Markeringsfarve4 8 2" xfId="1549"/>
    <cellStyle name="20 % - Markeringsfarve4 8 2 2" xfId="3217"/>
    <cellStyle name="20 % - Markeringsfarve4 8 2 2 2" xfId="8206"/>
    <cellStyle name="20 % - Markeringsfarve4 8 2 3" xfId="4881"/>
    <cellStyle name="20 % - Markeringsfarve4 8 2 3 2" xfId="9867"/>
    <cellStyle name="20 % - Markeringsfarve4 8 2 4" xfId="6544"/>
    <cellStyle name="20 % - Markeringsfarve4 8 3" xfId="2386"/>
    <cellStyle name="20 % - Markeringsfarve4 8 3 2" xfId="7375"/>
    <cellStyle name="20 % - Markeringsfarve4 8 4" xfId="4050"/>
    <cellStyle name="20 % - Markeringsfarve4 8 4 2" xfId="9036"/>
    <cellStyle name="20 % - Markeringsfarve4 8 5" xfId="5713"/>
    <cellStyle name="20 % - Markeringsfarve4 8 6" xfId="10700"/>
    <cellStyle name="20 % - Markeringsfarve4 9" xfId="996"/>
    <cellStyle name="20 % - Markeringsfarve4 9 2" xfId="2664"/>
    <cellStyle name="20 % - Markeringsfarve4 9 2 2" xfId="7653"/>
    <cellStyle name="20 % - Markeringsfarve4 9 3" xfId="4328"/>
    <cellStyle name="20 % - Markeringsfarve4 9 3 2" xfId="9314"/>
    <cellStyle name="20 % - Markeringsfarve4 9 4" xfId="5991"/>
    <cellStyle name="20 % - Markeringsfarve5" xfId="36" builtinId="46" customBuiltin="1"/>
    <cellStyle name="20 % - Markeringsfarve5 10" xfId="998"/>
    <cellStyle name="20 % - Markeringsfarve5 10 2" xfId="2666"/>
    <cellStyle name="20 % - Markeringsfarve5 10 2 2" xfId="7655"/>
    <cellStyle name="20 % - Markeringsfarve5 10 3" xfId="4330"/>
    <cellStyle name="20 % - Markeringsfarve5 10 3 2" xfId="9316"/>
    <cellStyle name="20 % - Markeringsfarve5 10 4" xfId="5993"/>
    <cellStyle name="20 % - Markeringsfarve5 11" xfId="1833"/>
    <cellStyle name="20 % - Markeringsfarve5 11 2" xfId="6825"/>
    <cellStyle name="20 % - Markeringsfarve5 12" xfId="3501"/>
    <cellStyle name="20 % - Markeringsfarve5 12 2" xfId="8487"/>
    <cellStyle name="20 % - Markeringsfarve5 13" xfId="5164"/>
    <cellStyle name="20 % - Markeringsfarve5 14" xfId="10148"/>
    <cellStyle name="20 % - Markeringsfarve5 2" xfId="74"/>
    <cellStyle name="20 % - Markeringsfarve5 2 10" xfId="3521"/>
    <cellStyle name="20 % - Markeringsfarve5 2 10 2" xfId="8507"/>
    <cellStyle name="20 % - Markeringsfarve5 2 11" xfId="5184"/>
    <cellStyle name="20 % - Markeringsfarve5 2 12" xfId="10167"/>
    <cellStyle name="20 % - Markeringsfarve5 2 2" xfId="142"/>
    <cellStyle name="20 % - Markeringsfarve5 2 2 2" xfId="515"/>
    <cellStyle name="20 % - Markeringsfarve5 2 2 2 2" xfId="1350"/>
    <cellStyle name="20 % - Markeringsfarve5 2 2 2 2 2" xfId="3018"/>
    <cellStyle name="20 % - Markeringsfarve5 2 2 2 2 2 2" xfId="8007"/>
    <cellStyle name="20 % - Markeringsfarve5 2 2 2 2 3" xfId="4682"/>
    <cellStyle name="20 % - Markeringsfarve5 2 2 2 2 3 2" xfId="9668"/>
    <cellStyle name="20 % - Markeringsfarve5 2 2 2 2 4" xfId="6345"/>
    <cellStyle name="20 % - Markeringsfarve5 2 2 2 3" xfId="2187"/>
    <cellStyle name="20 % - Markeringsfarve5 2 2 2 3 2" xfId="7176"/>
    <cellStyle name="20 % - Markeringsfarve5 2 2 2 4" xfId="3851"/>
    <cellStyle name="20 % - Markeringsfarve5 2 2 2 4 2" xfId="8837"/>
    <cellStyle name="20 % - Markeringsfarve5 2 2 2 5" xfId="5514"/>
    <cellStyle name="20 % - Markeringsfarve5 2 2 2 6" xfId="10501"/>
    <cellStyle name="20 % - Markeringsfarve5 2 2 3" xfId="790"/>
    <cellStyle name="20 % - Markeringsfarve5 2 2 3 2" xfId="1624"/>
    <cellStyle name="20 % - Markeringsfarve5 2 2 3 2 2" xfId="3292"/>
    <cellStyle name="20 % - Markeringsfarve5 2 2 3 2 2 2" xfId="8281"/>
    <cellStyle name="20 % - Markeringsfarve5 2 2 3 2 3" xfId="4956"/>
    <cellStyle name="20 % - Markeringsfarve5 2 2 3 2 3 2" xfId="9942"/>
    <cellStyle name="20 % - Markeringsfarve5 2 2 3 2 4" xfId="6619"/>
    <cellStyle name="20 % - Markeringsfarve5 2 2 3 3" xfId="2461"/>
    <cellStyle name="20 % - Markeringsfarve5 2 2 3 3 2" xfId="7450"/>
    <cellStyle name="20 % - Markeringsfarve5 2 2 3 4" xfId="4125"/>
    <cellStyle name="20 % - Markeringsfarve5 2 2 3 4 2" xfId="9111"/>
    <cellStyle name="20 % - Markeringsfarve5 2 2 3 5" xfId="5788"/>
    <cellStyle name="20 % - Markeringsfarve5 2 2 3 6" xfId="10775"/>
    <cellStyle name="20 % - Markeringsfarve5 2 2 4" xfId="1071"/>
    <cellStyle name="20 % - Markeringsfarve5 2 2 4 2" xfId="2739"/>
    <cellStyle name="20 % - Markeringsfarve5 2 2 4 2 2" xfId="7728"/>
    <cellStyle name="20 % - Markeringsfarve5 2 2 4 3" xfId="4403"/>
    <cellStyle name="20 % - Markeringsfarve5 2 2 4 3 2" xfId="9389"/>
    <cellStyle name="20 % - Markeringsfarve5 2 2 4 4" xfId="6066"/>
    <cellStyle name="20 % - Markeringsfarve5 2 2 5" xfId="1909"/>
    <cellStyle name="20 % - Markeringsfarve5 2 2 5 2" xfId="6898"/>
    <cellStyle name="20 % - Markeringsfarve5 2 2 6" xfId="3574"/>
    <cellStyle name="20 % - Markeringsfarve5 2 2 6 2" xfId="8560"/>
    <cellStyle name="20 % - Markeringsfarve5 2 2 7" xfId="5237"/>
    <cellStyle name="20 % - Markeringsfarve5 2 2 8" xfId="10221"/>
    <cellStyle name="20 % - Markeringsfarve5 2 3" xfId="197"/>
    <cellStyle name="20 % - Markeringsfarve5 2 3 2" xfId="569"/>
    <cellStyle name="20 % - Markeringsfarve5 2 3 2 2" xfId="1404"/>
    <cellStyle name="20 % - Markeringsfarve5 2 3 2 2 2" xfId="3072"/>
    <cellStyle name="20 % - Markeringsfarve5 2 3 2 2 2 2" xfId="8061"/>
    <cellStyle name="20 % - Markeringsfarve5 2 3 2 2 3" xfId="4736"/>
    <cellStyle name="20 % - Markeringsfarve5 2 3 2 2 3 2" xfId="9722"/>
    <cellStyle name="20 % - Markeringsfarve5 2 3 2 2 4" xfId="6399"/>
    <cellStyle name="20 % - Markeringsfarve5 2 3 2 3" xfId="2241"/>
    <cellStyle name="20 % - Markeringsfarve5 2 3 2 3 2" xfId="7230"/>
    <cellStyle name="20 % - Markeringsfarve5 2 3 2 4" xfId="3905"/>
    <cellStyle name="20 % - Markeringsfarve5 2 3 2 4 2" xfId="8891"/>
    <cellStyle name="20 % - Markeringsfarve5 2 3 2 5" xfId="5568"/>
    <cellStyle name="20 % - Markeringsfarve5 2 3 2 6" xfId="10555"/>
    <cellStyle name="20 % - Markeringsfarve5 2 3 3" xfId="844"/>
    <cellStyle name="20 % - Markeringsfarve5 2 3 3 2" xfId="1678"/>
    <cellStyle name="20 % - Markeringsfarve5 2 3 3 2 2" xfId="3346"/>
    <cellStyle name="20 % - Markeringsfarve5 2 3 3 2 2 2" xfId="8335"/>
    <cellStyle name="20 % - Markeringsfarve5 2 3 3 2 3" xfId="5010"/>
    <cellStyle name="20 % - Markeringsfarve5 2 3 3 2 3 2" xfId="9996"/>
    <cellStyle name="20 % - Markeringsfarve5 2 3 3 2 4" xfId="6673"/>
    <cellStyle name="20 % - Markeringsfarve5 2 3 3 3" xfId="2515"/>
    <cellStyle name="20 % - Markeringsfarve5 2 3 3 3 2" xfId="7504"/>
    <cellStyle name="20 % - Markeringsfarve5 2 3 3 4" xfId="4179"/>
    <cellStyle name="20 % - Markeringsfarve5 2 3 3 4 2" xfId="9165"/>
    <cellStyle name="20 % - Markeringsfarve5 2 3 3 5" xfId="5842"/>
    <cellStyle name="20 % - Markeringsfarve5 2 3 3 6" xfId="10829"/>
    <cellStyle name="20 % - Markeringsfarve5 2 3 4" xfId="1125"/>
    <cellStyle name="20 % - Markeringsfarve5 2 3 4 2" xfId="2793"/>
    <cellStyle name="20 % - Markeringsfarve5 2 3 4 2 2" xfId="7782"/>
    <cellStyle name="20 % - Markeringsfarve5 2 3 4 3" xfId="4457"/>
    <cellStyle name="20 % - Markeringsfarve5 2 3 4 3 2" xfId="9443"/>
    <cellStyle name="20 % - Markeringsfarve5 2 3 4 4" xfId="6120"/>
    <cellStyle name="20 % - Markeringsfarve5 2 3 5" xfId="1963"/>
    <cellStyle name="20 % - Markeringsfarve5 2 3 5 2" xfId="6952"/>
    <cellStyle name="20 % - Markeringsfarve5 2 3 6" xfId="3628"/>
    <cellStyle name="20 % - Markeringsfarve5 2 3 6 2" xfId="8614"/>
    <cellStyle name="20 % - Markeringsfarve5 2 3 7" xfId="5291"/>
    <cellStyle name="20 % - Markeringsfarve5 2 3 8" xfId="10275"/>
    <cellStyle name="20 % - Markeringsfarve5 2 4" xfId="252"/>
    <cellStyle name="20 % - Markeringsfarve5 2 4 2" xfId="624"/>
    <cellStyle name="20 % - Markeringsfarve5 2 4 2 2" xfId="1459"/>
    <cellStyle name="20 % - Markeringsfarve5 2 4 2 2 2" xfId="3127"/>
    <cellStyle name="20 % - Markeringsfarve5 2 4 2 2 2 2" xfId="8116"/>
    <cellStyle name="20 % - Markeringsfarve5 2 4 2 2 3" xfId="4791"/>
    <cellStyle name="20 % - Markeringsfarve5 2 4 2 2 3 2" xfId="9777"/>
    <cellStyle name="20 % - Markeringsfarve5 2 4 2 2 4" xfId="6454"/>
    <cellStyle name="20 % - Markeringsfarve5 2 4 2 3" xfId="2296"/>
    <cellStyle name="20 % - Markeringsfarve5 2 4 2 3 2" xfId="7285"/>
    <cellStyle name="20 % - Markeringsfarve5 2 4 2 4" xfId="3960"/>
    <cellStyle name="20 % - Markeringsfarve5 2 4 2 4 2" xfId="8946"/>
    <cellStyle name="20 % - Markeringsfarve5 2 4 2 5" xfId="5623"/>
    <cellStyle name="20 % - Markeringsfarve5 2 4 2 6" xfId="10610"/>
    <cellStyle name="20 % - Markeringsfarve5 2 4 3" xfId="899"/>
    <cellStyle name="20 % - Markeringsfarve5 2 4 3 2" xfId="1733"/>
    <cellStyle name="20 % - Markeringsfarve5 2 4 3 2 2" xfId="3401"/>
    <cellStyle name="20 % - Markeringsfarve5 2 4 3 2 2 2" xfId="8390"/>
    <cellStyle name="20 % - Markeringsfarve5 2 4 3 2 3" xfId="5065"/>
    <cellStyle name="20 % - Markeringsfarve5 2 4 3 2 3 2" xfId="10051"/>
    <cellStyle name="20 % - Markeringsfarve5 2 4 3 2 4" xfId="6728"/>
    <cellStyle name="20 % - Markeringsfarve5 2 4 3 3" xfId="2570"/>
    <cellStyle name="20 % - Markeringsfarve5 2 4 3 3 2" xfId="7559"/>
    <cellStyle name="20 % - Markeringsfarve5 2 4 3 4" xfId="4234"/>
    <cellStyle name="20 % - Markeringsfarve5 2 4 3 4 2" xfId="9220"/>
    <cellStyle name="20 % - Markeringsfarve5 2 4 3 5" xfId="5897"/>
    <cellStyle name="20 % - Markeringsfarve5 2 4 3 6" xfId="10884"/>
    <cellStyle name="20 % - Markeringsfarve5 2 4 4" xfId="1180"/>
    <cellStyle name="20 % - Markeringsfarve5 2 4 4 2" xfId="2848"/>
    <cellStyle name="20 % - Markeringsfarve5 2 4 4 2 2" xfId="7837"/>
    <cellStyle name="20 % - Markeringsfarve5 2 4 4 3" xfId="4512"/>
    <cellStyle name="20 % - Markeringsfarve5 2 4 4 3 2" xfId="9498"/>
    <cellStyle name="20 % - Markeringsfarve5 2 4 4 4" xfId="6175"/>
    <cellStyle name="20 % - Markeringsfarve5 2 4 5" xfId="2018"/>
    <cellStyle name="20 % - Markeringsfarve5 2 4 5 2" xfId="7007"/>
    <cellStyle name="20 % - Markeringsfarve5 2 4 6" xfId="3683"/>
    <cellStyle name="20 % - Markeringsfarve5 2 4 6 2" xfId="8669"/>
    <cellStyle name="20 % - Markeringsfarve5 2 4 7" xfId="5346"/>
    <cellStyle name="20 % - Markeringsfarve5 2 4 8" xfId="10330"/>
    <cellStyle name="20 % - Markeringsfarve5 2 5" xfId="308"/>
    <cellStyle name="20 % - Markeringsfarve5 2 5 2" xfId="680"/>
    <cellStyle name="20 % - Markeringsfarve5 2 5 2 2" xfId="1515"/>
    <cellStyle name="20 % - Markeringsfarve5 2 5 2 2 2" xfId="3183"/>
    <cellStyle name="20 % - Markeringsfarve5 2 5 2 2 2 2" xfId="8172"/>
    <cellStyle name="20 % - Markeringsfarve5 2 5 2 2 3" xfId="4847"/>
    <cellStyle name="20 % - Markeringsfarve5 2 5 2 2 3 2" xfId="9833"/>
    <cellStyle name="20 % - Markeringsfarve5 2 5 2 2 4" xfId="6510"/>
    <cellStyle name="20 % - Markeringsfarve5 2 5 2 3" xfId="2352"/>
    <cellStyle name="20 % - Markeringsfarve5 2 5 2 3 2" xfId="7341"/>
    <cellStyle name="20 % - Markeringsfarve5 2 5 2 4" xfId="4016"/>
    <cellStyle name="20 % - Markeringsfarve5 2 5 2 4 2" xfId="9002"/>
    <cellStyle name="20 % - Markeringsfarve5 2 5 2 5" xfId="5679"/>
    <cellStyle name="20 % - Markeringsfarve5 2 5 2 6" xfId="10666"/>
    <cellStyle name="20 % - Markeringsfarve5 2 5 3" xfId="955"/>
    <cellStyle name="20 % - Markeringsfarve5 2 5 3 2" xfId="1789"/>
    <cellStyle name="20 % - Markeringsfarve5 2 5 3 2 2" xfId="3457"/>
    <cellStyle name="20 % - Markeringsfarve5 2 5 3 2 2 2" xfId="8446"/>
    <cellStyle name="20 % - Markeringsfarve5 2 5 3 2 3" xfId="5121"/>
    <cellStyle name="20 % - Markeringsfarve5 2 5 3 2 3 2" xfId="10107"/>
    <cellStyle name="20 % - Markeringsfarve5 2 5 3 2 4" xfId="6784"/>
    <cellStyle name="20 % - Markeringsfarve5 2 5 3 3" xfId="2626"/>
    <cellStyle name="20 % - Markeringsfarve5 2 5 3 3 2" xfId="7615"/>
    <cellStyle name="20 % - Markeringsfarve5 2 5 3 4" xfId="4290"/>
    <cellStyle name="20 % - Markeringsfarve5 2 5 3 4 2" xfId="9276"/>
    <cellStyle name="20 % - Markeringsfarve5 2 5 3 5" xfId="5953"/>
    <cellStyle name="20 % - Markeringsfarve5 2 5 3 6" xfId="10940"/>
    <cellStyle name="20 % - Markeringsfarve5 2 5 4" xfId="1236"/>
    <cellStyle name="20 % - Markeringsfarve5 2 5 4 2" xfId="2904"/>
    <cellStyle name="20 % - Markeringsfarve5 2 5 4 2 2" xfId="7893"/>
    <cellStyle name="20 % - Markeringsfarve5 2 5 4 3" xfId="4568"/>
    <cellStyle name="20 % - Markeringsfarve5 2 5 4 3 2" xfId="9554"/>
    <cellStyle name="20 % - Markeringsfarve5 2 5 4 4" xfId="6231"/>
    <cellStyle name="20 % - Markeringsfarve5 2 5 5" xfId="2074"/>
    <cellStyle name="20 % - Markeringsfarve5 2 5 5 2" xfId="7063"/>
    <cellStyle name="20 % - Markeringsfarve5 2 5 6" xfId="3739"/>
    <cellStyle name="20 % - Markeringsfarve5 2 5 6 2" xfId="8725"/>
    <cellStyle name="20 % - Markeringsfarve5 2 5 7" xfId="5402"/>
    <cellStyle name="20 % - Markeringsfarve5 2 5 8" xfId="10386"/>
    <cellStyle name="20 % - Markeringsfarve5 2 6" xfId="461"/>
    <cellStyle name="20 % - Markeringsfarve5 2 6 2" xfId="1296"/>
    <cellStyle name="20 % - Markeringsfarve5 2 6 2 2" xfId="2964"/>
    <cellStyle name="20 % - Markeringsfarve5 2 6 2 2 2" xfId="7953"/>
    <cellStyle name="20 % - Markeringsfarve5 2 6 2 3" xfId="4628"/>
    <cellStyle name="20 % - Markeringsfarve5 2 6 2 3 2" xfId="9614"/>
    <cellStyle name="20 % - Markeringsfarve5 2 6 2 4" xfId="6291"/>
    <cellStyle name="20 % - Markeringsfarve5 2 6 3" xfId="2135"/>
    <cellStyle name="20 % - Markeringsfarve5 2 6 3 2" xfId="7124"/>
    <cellStyle name="20 % - Markeringsfarve5 2 6 4" xfId="3799"/>
    <cellStyle name="20 % - Markeringsfarve5 2 6 4 2" xfId="8785"/>
    <cellStyle name="20 % - Markeringsfarve5 2 6 5" xfId="5462"/>
    <cellStyle name="20 % - Markeringsfarve5 2 6 6" xfId="10435"/>
    <cellStyle name="20 % - Markeringsfarve5 2 7" xfId="736"/>
    <cellStyle name="20 % - Markeringsfarve5 2 7 2" xfId="1570"/>
    <cellStyle name="20 % - Markeringsfarve5 2 7 2 2" xfId="3238"/>
    <cellStyle name="20 % - Markeringsfarve5 2 7 2 2 2" xfId="8227"/>
    <cellStyle name="20 % - Markeringsfarve5 2 7 2 3" xfId="4902"/>
    <cellStyle name="20 % - Markeringsfarve5 2 7 2 3 2" xfId="9888"/>
    <cellStyle name="20 % - Markeringsfarve5 2 7 2 4" xfId="6565"/>
    <cellStyle name="20 % - Markeringsfarve5 2 7 3" xfId="2407"/>
    <cellStyle name="20 % - Markeringsfarve5 2 7 3 2" xfId="7396"/>
    <cellStyle name="20 % - Markeringsfarve5 2 7 4" xfId="4071"/>
    <cellStyle name="20 % - Markeringsfarve5 2 7 4 2" xfId="9057"/>
    <cellStyle name="20 % - Markeringsfarve5 2 7 5" xfId="5734"/>
    <cellStyle name="20 % - Markeringsfarve5 2 7 6" xfId="10721"/>
    <cellStyle name="20 % - Markeringsfarve5 2 8" xfId="1017"/>
    <cellStyle name="20 % - Markeringsfarve5 2 8 2" xfId="2685"/>
    <cellStyle name="20 % - Markeringsfarve5 2 8 2 2" xfId="7674"/>
    <cellStyle name="20 % - Markeringsfarve5 2 8 3" xfId="4349"/>
    <cellStyle name="20 % - Markeringsfarve5 2 8 3 2" xfId="9335"/>
    <cellStyle name="20 % - Markeringsfarve5 2 8 4" xfId="6012"/>
    <cellStyle name="20 % - Markeringsfarve5 2 9" xfId="1853"/>
    <cellStyle name="20 % - Markeringsfarve5 2 9 2" xfId="6845"/>
    <cellStyle name="20 % - Markeringsfarve5 3" xfId="101"/>
    <cellStyle name="20 % - Markeringsfarve5 3 10" xfId="3540"/>
    <cellStyle name="20 % - Markeringsfarve5 3 10 2" xfId="8526"/>
    <cellStyle name="20 % - Markeringsfarve5 3 11" xfId="5203"/>
    <cellStyle name="20 % - Markeringsfarve5 3 12" xfId="10186"/>
    <cellStyle name="20 % - Markeringsfarve5 3 2" xfId="161"/>
    <cellStyle name="20 % - Markeringsfarve5 3 2 2" xfId="534"/>
    <cellStyle name="20 % - Markeringsfarve5 3 2 2 2" xfId="1369"/>
    <cellStyle name="20 % - Markeringsfarve5 3 2 2 2 2" xfId="3037"/>
    <cellStyle name="20 % - Markeringsfarve5 3 2 2 2 2 2" xfId="8026"/>
    <cellStyle name="20 % - Markeringsfarve5 3 2 2 2 3" xfId="4701"/>
    <cellStyle name="20 % - Markeringsfarve5 3 2 2 2 3 2" xfId="9687"/>
    <cellStyle name="20 % - Markeringsfarve5 3 2 2 2 4" xfId="6364"/>
    <cellStyle name="20 % - Markeringsfarve5 3 2 2 3" xfId="2206"/>
    <cellStyle name="20 % - Markeringsfarve5 3 2 2 3 2" xfId="7195"/>
    <cellStyle name="20 % - Markeringsfarve5 3 2 2 4" xfId="3870"/>
    <cellStyle name="20 % - Markeringsfarve5 3 2 2 4 2" xfId="8856"/>
    <cellStyle name="20 % - Markeringsfarve5 3 2 2 5" xfId="5533"/>
    <cellStyle name="20 % - Markeringsfarve5 3 2 2 6" xfId="10520"/>
    <cellStyle name="20 % - Markeringsfarve5 3 2 3" xfId="809"/>
    <cellStyle name="20 % - Markeringsfarve5 3 2 3 2" xfId="1643"/>
    <cellStyle name="20 % - Markeringsfarve5 3 2 3 2 2" xfId="3311"/>
    <cellStyle name="20 % - Markeringsfarve5 3 2 3 2 2 2" xfId="8300"/>
    <cellStyle name="20 % - Markeringsfarve5 3 2 3 2 3" xfId="4975"/>
    <cellStyle name="20 % - Markeringsfarve5 3 2 3 2 3 2" xfId="9961"/>
    <cellStyle name="20 % - Markeringsfarve5 3 2 3 2 4" xfId="6638"/>
    <cellStyle name="20 % - Markeringsfarve5 3 2 3 3" xfId="2480"/>
    <cellStyle name="20 % - Markeringsfarve5 3 2 3 3 2" xfId="7469"/>
    <cellStyle name="20 % - Markeringsfarve5 3 2 3 4" xfId="4144"/>
    <cellStyle name="20 % - Markeringsfarve5 3 2 3 4 2" xfId="9130"/>
    <cellStyle name="20 % - Markeringsfarve5 3 2 3 5" xfId="5807"/>
    <cellStyle name="20 % - Markeringsfarve5 3 2 3 6" xfId="10794"/>
    <cellStyle name="20 % - Markeringsfarve5 3 2 4" xfId="1090"/>
    <cellStyle name="20 % - Markeringsfarve5 3 2 4 2" xfId="2758"/>
    <cellStyle name="20 % - Markeringsfarve5 3 2 4 2 2" xfId="7747"/>
    <cellStyle name="20 % - Markeringsfarve5 3 2 4 3" xfId="4422"/>
    <cellStyle name="20 % - Markeringsfarve5 3 2 4 3 2" xfId="9408"/>
    <cellStyle name="20 % - Markeringsfarve5 3 2 4 4" xfId="6085"/>
    <cellStyle name="20 % - Markeringsfarve5 3 2 5" xfId="1928"/>
    <cellStyle name="20 % - Markeringsfarve5 3 2 5 2" xfId="6917"/>
    <cellStyle name="20 % - Markeringsfarve5 3 2 6" xfId="3593"/>
    <cellStyle name="20 % - Markeringsfarve5 3 2 6 2" xfId="8579"/>
    <cellStyle name="20 % - Markeringsfarve5 3 2 7" xfId="5256"/>
    <cellStyle name="20 % - Markeringsfarve5 3 2 8" xfId="10240"/>
    <cellStyle name="20 % - Markeringsfarve5 3 3" xfId="216"/>
    <cellStyle name="20 % - Markeringsfarve5 3 3 2" xfId="588"/>
    <cellStyle name="20 % - Markeringsfarve5 3 3 2 2" xfId="1423"/>
    <cellStyle name="20 % - Markeringsfarve5 3 3 2 2 2" xfId="3091"/>
    <cellStyle name="20 % - Markeringsfarve5 3 3 2 2 2 2" xfId="8080"/>
    <cellStyle name="20 % - Markeringsfarve5 3 3 2 2 3" xfId="4755"/>
    <cellStyle name="20 % - Markeringsfarve5 3 3 2 2 3 2" xfId="9741"/>
    <cellStyle name="20 % - Markeringsfarve5 3 3 2 2 4" xfId="6418"/>
    <cellStyle name="20 % - Markeringsfarve5 3 3 2 3" xfId="2260"/>
    <cellStyle name="20 % - Markeringsfarve5 3 3 2 3 2" xfId="7249"/>
    <cellStyle name="20 % - Markeringsfarve5 3 3 2 4" xfId="3924"/>
    <cellStyle name="20 % - Markeringsfarve5 3 3 2 4 2" xfId="8910"/>
    <cellStyle name="20 % - Markeringsfarve5 3 3 2 5" xfId="5587"/>
    <cellStyle name="20 % - Markeringsfarve5 3 3 2 6" xfId="10574"/>
    <cellStyle name="20 % - Markeringsfarve5 3 3 3" xfId="863"/>
    <cellStyle name="20 % - Markeringsfarve5 3 3 3 2" xfId="1697"/>
    <cellStyle name="20 % - Markeringsfarve5 3 3 3 2 2" xfId="3365"/>
    <cellStyle name="20 % - Markeringsfarve5 3 3 3 2 2 2" xfId="8354"/>
    <cellStyle name="20 % - Markeringsfarve5 3 3 3 2 3" xfId="5029"/>
    <cellStyle name="20 % - Markeringsfarve5 3 3 3 2 3 2" xfId="10015"/>
    <cellStyle name="20 % - Markeringsfarve5 3 3 3 2 4" xfId="6692"/>
    <cellStyle name="20 % - Markeringsfarve5 3 3 3 3" xfId="2534"/>
    <cellStyle name="20 % - Markeringsfarve5 3 3 3 3 2" xfId="7523"/>
    <cellStyle name="20 % - Markeringsfarve5 3 3 3 4" xfId="4198"/>
    <cellStyle name="20 % - Markeringsfarve5 3 3 3 4 2" xfId="9184"/>
    <cellStyle name="20 % - Markeringsfarve5 3 3 3 5" xfId="5861"/>
    <cellStyle name="20 % - Markeringsfarve5 3 3 3 6" xfId="10848"/>
    <cellStyle name="20 % - Markeringsfarve5 3 3 4" xfId="1144"/>
    <cellStyle name="20 % - Markeringsfarve5 3 3 4 2" xfId="2812"/>
    <cellStyle name="20 % - Markeringsfarve5 3 3 4 2 2" xfId="7801"/>
    <cellStyle name="20 % - Markeringsfarve5 3 3 4 3" xfId="4476"/>
    <cellStyle name="20 % - Markeringsfarve5 3 3 4 3 2" xfId="9462"/>
    <cellStyle name="20 % - Markeringsfarve5 3 3 4 4" xfId="6139"/>
    <cellStyle name="20 % - Markeringsfarve5 3 3 5" xfId="1982"/>
    <cellStyle name="20 % - Markeringsfarve5 3 3 5 2" xfId="6971"/>
    <cellStyle name="20 % - Markeringsfarve5 3 3 6" xfId="3647"/>
    <cellStyle name="20 % - Markeringsfarve5 3 3 6 2" xfId="8633"/>
    <cellStyle name="20 % - Markeringsfarve5 3 3 7" xfId="5310"/>
    <cellStyle name="20 % - Markeringsfarve5 3 3 8" xfId="10294"/>
    <cellStyle name="20 % - Markeringsfarve5 3 4" xfId="271"/>
    <cellStyle name="20 % - Markeringsfarve5 3 4 2" xfId="643"/>
    <cellStyle name="20 % - Markeringsfarve5 3 4 2 2" xfId="1478"/>
    <cellStyle name="20 % - Markeringsfarve5 3 4 2 2 2" xfId="3146"/>
    <cellStyle name="20 % - Markeringsfarve5 3 4 2 2 2 2" xfId="8135"/>
    <cellStyle name="20 % - Markeringsfarve5 3 4 2 2 3" xfId="4810"/>
    <cellStyle name="20 % - Markeringsfarve5 3 4 2 2 3 2" xfId="9796"/>
    <cellStyle name="20 % - Markeringsfarve5 3 4 2 2 4" xfId="6473"/>
    <cellStyle name="20 % - Markeringsfarve5 3 4 2 3" xfId="2315"/>
    <cellStyle name="20 % - Markeringsfarve5 3 4 2 3 2" xfId="7304"/>
    <cellStyle name="20 % - Markeringsfarve5 3 4 2 4" xfId="3979"/>
    <cellStyle name="20 % - Markeringsfarve5 3 4 2 4 2" xfId="8965"/>
    <cellStyle name="20 % - Markeringsfarve5 3 4 2 5" xfId="5642"/>
    <cellStyle name="20 % - Markeringsfarve5 3 4 2 6" xfId="10629"/>
    <cellStyle name="20 % - Markeringsfarve5 3 4 3" xfId="918"/>
    <cellStyle name="20 % - Markeringsfarve5 3 4 3 2" xfId="1752"/>
    <cellStyle name="20 % - Markeringsfarve5 3 4 3 2 2" xfId="3420"/>
    <cellStyle name="20 % - Markeringsfarve5 3 4 3 2 2 2" xfId="8409"/>
    <cellStyle name="20 % - Markeringsfarve5 3 4 3 2 3" xfId="5084"/>
    <cellStyle name="20 % - Markeringsfarve5 3 4 3 2 3 2" xfId="10070"/>
    <cellStyle name="20 % - Markeringsfarve5 3 4 3 2 4" xfId="6747"/>
    <cellStyle name="20 % - Markeringsfarve5 3 4 3 3" xfId="2589"/>
    <cellStyle name="20 % - Markeringsfarve5 3 4 3 3 2" xfId="7578"/>
    <cellStyle name="20 % - Markeringsfarve5 3 4 3 4" xfId="4253"/>
    <cellStyle name="20 % - Markeringsfarve5 3 4 3 4 2" xfId="9239"/>
    <cellStyle name="20 % - Markeringsfarve5 3 4 3 5" xfId="5916"/>
    <cellStyle name="20 % - Markeringsfarve5 3 4 3 6" xfId="10903"/>
    <cellStyle name="20 % - Markeringsfarve5 3 4 4" xfId="1199"/>
    <cellStyle name="20 % - Markeringsfarve5 3 4 4 2" xfId="2867"/>
    <cellStyle name="20 % - Markeringsfarve5 3 4 4 2 2" xfId="7856"/>
    <cellStyle name="20 % - Markeringsfarve5 3 4 4 3" xfId="4531"/>
    <cellStyle name="20 % - Markeringsfarve5 3 4 4 3 2" xfId="9517"/>
    <cellStyle name="20 % - Markeringsfarve5 3 4 4 4" xfId="6194"/>
    <cellStyle name="20 % - Markeringsfarve5 3 4 5" xfId="2037"/>
    <cellStyle name="20 % - Markeringsfarve5 3 4 5 2" xfId="7026"/>
    <cellStyle name="20 % - Markeringsfarve5 3 4 6" xfId="3702"/>
    <cellStyle name="20 % - Markeringsfarve5 3 4 6 2" xfId="8688"/>
    <cellStyle name="20 % - Markeringsfarve5 3 4 7" xfId="5365"/>
    <cellStyle name="20 % - Markeringsfarve5 3 4 8" xfId="10349"/>
    <cellStyle name="20 % - Markeringsfarve5 3 5" xfId="327"/>
    <cellStyle name="20 % - Markeringsfarve5 3 5 2" xfId="699"/>
    <cellStyle name="20 % - Markeringsfarve5 3 5 2 2" xfId="1534"/>
    <cellStyle name="20 % - Markeringsfarve5 3 5 2 2 2" xfId="3202"/>
    <cellStyle name="20 % - Markeringsfarve5 3 5 2 2 2 2" xfId="8191"/>
    <cellStyle name="20 % - Markeringsfarve5 3 5 2 2 3" xfId="4866"/>
    <cellStyle name="20 % - Markeringsfarve5 3 5 2 2 3 2" xfId="9852"/>
    <cellStyle name="20 % - Markeringsfarve5 3 5 2 2 4" xfId="6529"/>
    <cellStyle name="20 % - Markeringsfarve5 3 5 2 3" xfId="2371"/>
    <cellStyle name="20 % - Markeringsfarve5 3 5 2 3 2" xfId="7360"/>
    <cellStyle name="20 % - Markeringsfarve5 3 5 2 4" xfId="4035"/>
    <cellStyle name="20 % - Markeringsfarve5 3 5 2 4 2" xfId="9021"/>
    <cellStyle name="20 % - Markeringsfarve5 3 5 2 5" xfId="5698"/>
    <cellStyle name="20 % - Markeringsfarve5 3 5 2 6" xfId="10685"/>
    <cellStyle name="20 % - Markeringsfarve5 3 5 3" xfId="974"/>
    <cellStyle name="20 % - Markeringsfarve5 3 5 3 2" xfId="1808"/>
    <cellStyle name="20 % - Markeringsfarve5 3 5 3 2 2" xfId="3476"/>
    <cellStyle name="20 % - Markeringsfarve5 3 5 3 2 2 2" xfId="8465"/>
    <cellStyle name="20 % - Markeringsfarve5 3 5 3 2 3" xfId="5140"/>
    <cellStyle name="20 % - Markeringsfarve5 3 5 3 2 3 2" xfId="10126"/>
    <cellStyle name="20 % - Markeringsfarve5 3 5 3 2 4" xfId="6803"/>
    <cellStyle name="20 % - Markeringsfarve5 3 5 3 3" xfId="2645"/>
    <cellStyle name="20 % - Markeringsfarve5 3 5 3 3 2" xfId="7634"/>
    <cellStyle name="20 % - Markeringsfarve5 3 5 3 4" xfId="4309"/>
    <cellStyle name="20 % - Markeringsfarve5 3 5 3 4 2" xfId="9295"/>
    <cellStyle name="20 % - Markeringsfarve5 3 5 3 5" xfId="5972"/>
    <cellStyle name="20 % - Markeringsfarve5 3 5 3 6" xfId="10959"/>
    <cellStyle name="20 % - Markeringsfarve5 3 5 4" xfId="1255"/>
    <cellStyle name="20 % - Markeringsfarve5 3 5 4 2" xfId="2923"/>
    <cellStyle name="20 % - Markeringsfarve5 3 5 4 2 2" xfId="7912"/>
    <cellStyle name="20 % - Markeringsfarve5 3 5 4 3" xfId="4587"/>
    <cellStyle name="20 % - Markeringsfarve5 3 5 4 3 2" xfId="9573"/>
    <cellStyle name="20 % - Markeringsfarve5 3 5 4 4" xfId="6250"/>
    <cellStyle name="20 % - Markeringsfarve5 3 5 5" xfId="2093"/>
    <cellStyle name="20 % - Markeringsfarve5 3 5 5 2" xfId="7082"/>
    <cellStyle name="20 % - Markeringsfarve5 3 5 6" xfId="3758"/>
    <cellStyle name="20 % - Markeringsfarve5 3 5 6 2" xfId="8744"/>
    <cellStyle name="20 % - Markeringsfarve5 3 5 7" xfId="5421"/>
    <cellStyle name="20 % - Markeringsfarve5 3 5 8" xfId="10405"/>
    <cellStyle name="20 % - Markeringsfarve5 3 6" xfId="480"/>
    <cellStyle name="20 % - Markeringsfarve5 3 6 2" xfId="1315"/>
    <cellStyle name="20 % - Markeringsfarve5 3 6 2 2" xfId="2983"/>
    <cellStyle name="20 % - Markeringsfarve5 3 6 2 2 2" xfId="7972"/>
    <cellStyle name="20 % - Markeringsfarve5 3 6 2 3" xfId="4647"/>
    <cellStyle name="20 % - Markeringsfarve5 3 6 2 3 2" xfId="9633"/>
    <cellStyle name="20 % - Markeringsfarve5 3 6 2 4" xfId="6310"/>
    <cellStyle name="20 % - Markeringsfarve5 3 6 3" xfId="2154"/>
    <cellStyle name="20 % - Markeringsfarve5 3 6 3 2" xfId="7143"/>
    <cellStyle name="20 % - Markeringsfarve5 3 6 4" xfId="3818"/>
    <cellStyle name="20 % - Markeringsfarve5 3 6 4 2" xfId="8804"/>
    <cellStyle name="20 % - Markeringsfarve5 3 6 5" xfId="5481"/>
    <cellStyle name="20 % - Markeringsfarve5 3 6 6" xfId="10466"/>
    <cellStyle name="20 % - Markeringsfarve5 3 7" xfId="755"/>
    <cellStyle name="20 % - Markeringsfarve5 3 7 2" xfId="1589"/>
    <cellStyle name="20 % - Markeringsfarve5 3 7 2 2" xfId="3257"/>
    <cellStyle name="20 % - Markeringsfarve5 3 7 2 2 2" xfId="8246"/>
    <cellStyle name="20 % - Markeringsfarve5 3 7 2 3" xfId="4921"/>
    <cellStyle name="20 % - Markeringsfarve5 3 7 2 3 2" xfId="9907"/>
    <cellStyle name="20 % - Markeringsfarve5 3 7 2 4" xfId="6584"/>
    <cellStyle name="20 % - Markeringsfarve5 3 7 3" xfId="2426"/>
    <cellStyle name="20 % - Markeringsfarve5 3 7 3 2" xfId="7415"/>
    <cellStyle name="20 % - Markeringsfarve5 3 7 4" xfId="4090"/>
    <cellStyle name="20 % - Markeringsfarve5 3 7 4 2" xfId="9076"/>
    <cellStyle name="20 % - Markeringsfarve5 3 7 5" xfId="5753"/>
    <cellStyle name="20 % - Markeringsfarve5 3 7 6" xfId="10740"/>
    <cellStyle name="20 % - Markeringsfarve5 3 8" xfId="1036"/>
    <cellStyle name="20 % - Markeringsfarve5 3 8 2" xfId="2704"/>
    <cellStyle name="20 % - Markeringsfarve5 3 8 2 2" xfId="7693"/>
    <cellStyle name="20 % - Markeringsfarve5 3 8 3" xfId="4368"/>
    <cellStyle name="20 % - Markeringsfarve5 3 8 3 2" xfId="9354"/>
    <cellStyle name="20 % - Markeringsfarve5 3 8 4" xfId="6031"/>
    <cellStyle name="20 % - Markeringsfarve5 3 9" xfId="1872"/>
    <cellStyle name="20 % - Markeringsfarve5 3 9 2" xfId="6864"/>
    <cellStyle name="20 % - Markeringsfarve5 4" xfId="124"/>
    <cellStyle name="20 % - Markeringsfarve5 4 2" xfId="497"/>
    <cellStyle name="20 % - Markeringsfarve5 4 2 2" xfId="1332"/>
    <cellStyle name="20 % - Markeringsfarve5 4 2 2 2" xfId="3000"/>
    <cellStyle name="20 % - Markeringsfarve5 4 2 2 2 2" xfId="7989"/>
    <cellStyle name="20 % - Markeringsfarve5 4 2 2 3" xfId="4664"/>
    <cellStyle name="20 % - Markeringsfarve5 4 2 2 3 2" xfId="9650"/>
    <cellStyle name="20 % - Markeringsfarve5 4 2 2 4" xfId="6327"/>
    <cellStyle name="20 % - Markeringsfarve5 4 2 3" xfId="2171"/>
    <cellStyle name="20 % - Markeringsfarve5 4 2 3 2" xfId="7160"/>
    <cellStyle name="20 % - Markeringsfarve5 4 2 4" xfId="3835"/>
    <cellStyle name="20 % - Markeringsfarve5 4 2 4 2" xfId="8821"/>
    <cellStyle name="20 % - Markeringsfarve5 4 2 5" xfId="5498"/>
    <cellStyle name="20 % - Markeringsfarve5 4 2 6" xfId="10483"/>
    <cellStyle name="20 % - Markeringsfarve5 4 3" xfId="772"/>
    <cellStyle name="20 % - Markeringsfarve5 4 3 2" xfId="1606"/>
    <cellStyle name="20 % - Markeringsfarve5 4 3 2 2" xfId="3274"/>
    <cellStyle name="20 % - Markeringsfarve5 4 3 2 2 2" xfId="8263"/>
    <cellStyle name="20 % - Markeringsfarve5 4 3 2 3" xfId="4938"/>
    <cellStyle name="20 % - Markeringsfarve5 4 3 2 3 2" xfId="9924"/>
    <cellStyle name="20 % - Markeringsfarve5 4 3 2 4" xfId="6601"/>
    <cellStyle name="20 % - Markeringsfarve5 4 3 3" xfId="2443"/>
    <cellStyle name="20 % - Markeringsfarve5 4 3 3 2" xfId="7432"/>
    <cellStyle name="20 % - Markeringsfarve5 4 3 4" xfId="4107"/>
    <cellStyle name="20 % - Markeringsfarve5 4 3 4 2" xfId="9093"/>
    <cellStyle name="20 % - Markeringsfarve5 4 3 5" xfId="5770"/>
    <cellStyle name="20 % - Markeringsfarve5 4 3 6" xfId="10757"/>
    <cellStyle name="20 % - Markeringsfarve5 4 4" xfId="1053"/>
    <cellStyle name="20 % - Markeringsfarve5 4 4 2" xfId="2721"/>
    <cellStyle name="20 % - Markeringsfarve5 4 4 2 2" xfId="7710"/>
    <cellStyle name="20 % - Markeringsfarve5 4 4 3" xfId="4385"/>
    <cellStyle name="20 % - Markeringsfarve5 4 4 3 2" xfId="9371"/>
    <cellStyle name="20 % - Markeringsfarve5 4 4 4" xfId="6048"/>
    <cellStyle name="20 % - Markeringsfarve5 4 5" xfId="1891"/>
    <cellStyle name="20 % - Markeringsfarve5 4 5 2" xfId="6880"/>
    <cellStyle name="20 % - Markeringsfarve5 4 6" xfId="3556"/>
    <cellStyle name="20 % - Markeringsfarve5 4 6 2" xfId="8542"/>
    <cellStyle name="20 % - Markeringsfarve5 4 7" xfId="5219"/>
    <cellStyle name="20 % - Markeringsfarve5 4 8" xfId="10203"/>
    <cellStyle name="20 % - Markeringsfarve5 5" xfId="177"/>
    <cellStyle name="20 % - Markeringsfarve5 5 2" xfId="550"/>
    <cellStyle name="20 % - Markeringsfarve5 5 2 2" xfId="1385"/>
    <cellStyle name="20 % - Markeringsfarve5 5 2 2 2" xfId="3053"/>
    <cellStyle name="20 % - Markeringsfarve5 5 2 2 2 2" xfId="8042"/>
    <cellStyle name="20 % - Markeringsfarve5 5 2 2 3" xfId="4717"/>
    <cellStyle name="20 % - Markeringsfarve5 5 2 2 3 2" xfId="9703"/>
    <cellStyle name="20 % - Markeringsfarve5 5 2 2 4" xfId="6380"/>
    <cellStyle name="20 % - Markeringsfarve5 5 2 3" xfId="2222"/>
    <cellStyle name="20 % - Markeringsfarve5 5 2 3 2" xfId="7211"/>
    <cellStyle name="20 % - Markeringsfarve5 5 2 4" xfId="3886"/>
    <cellStyle name="20 % - Markeringsfarve5 5 2 4 2" xfId="8872"/>
    <cellStyle name="20 % - Markeringsfarve5 5 2 5" xfId="5549"/>
    <cellStyle name="20 % - Markeringsfarve5 5 2 6" xfId="10536"/>
    <cellStyle name="20 % - Markeringsfarve5 5 3" xfId="825"/>
    <cellStyle name="20 % - Markeringsfarve5 5 3 2" xfId="1659"/>
    <cellStyle name="20 % - Markeringsfarve5 5 3 2 2" xfId="3327"/>
    <cellStyle name="20 % - Markeringsfarve5 5 3 2 2 2" xfId="8316"/>
    <cellStyle name="20 % - Markeringsfarve5 5 3 2 3" xfId="4991"/>
    <cellStyle name="20 % - Markeringsfarve5 5 3 2 3 2" xfId="9977"/>
    <cellStyle name="20 % - Markeringsfarve5 5 3 2 4" xfId="6654"/>
    <cellStyle name="20 % - Markeringsfarve5 5 3 3" xfId="2496"/>
    <cellStyle name="20 % - Markeringsfarve5 5 3 3 2" xfId="7485"/>
    <cellStyle name="20 % - Markeringsfarve5 5 3 4" xfId="4160"/>
    <cellStyle name="20 % - Markeringsfarve5 5 3 4 2" xfId="9146"/>
    <cellStyle name="20 % - Markeringsfarve5 5 3 5" xfId="5823"/>
    <cellStyle name="20 % - Markeringsfarve5 5 3 6" xfId="10810"/>
    <cellStyle name="20 % - Markeringsfarve5 5 4" xfId="1106"/>
    <cellStyle name="20 % - Markeringsfarve5 5 4 2" xfId="2774"/>
    <cellStyle name="20 % - Markeringsfarve5 5 4 2 2" xfId="7763"/>
    <cellStyle name="20 % - Markeringsfarve5 5 4 3" xfId="4438"/>
    <cellStyle name="20 % - Markeringsfarve5 5 4 3 2" xfId="9424"/>
    <cellStyle name="20 % - Markeringsfarve5 5 4 4" xfId="6101"/>
    <cellStyle name="20 % - Markeringsfarve5 5 5" xfId="1944"/>
    <cellStyle name="20 % - Markeringsfarve5 5 5 2" xfId="6933"/>
    <cellStyle name="20 % - Markeringsfarve5 5 6" xfId="3609"/>
    <cellStyle name="20 % - Markeringsfarve5 5 6 2" xfId="8595"/>
    <cellStyle name="20 % - Markeringsfarve5 5 7" xfId="5272"/>
    <cellStyle name="20 % - Markeringsfarve5 5 8" xfId="10256"/>
    <cellStyle name="20 % - Markeringsfarve5 6" xfId="233"/>
    <cellStyle name="20 % - Markeringsfarve5 6 2" xfId="605"/>
    <cellStyle name="20 % - Markeringsfarve5 6 2 2" xfId="1440"/>
    <cellStyle name="20 % - Markeringsfarve5 6 2 2 2" xfId="3108"/>
    <cellStyle name="20 % - Markeringsfarve5 6 2 2 2 2" xfId="8097"/>
    <cellStyle name="20 % - Markeringsfarve5 6 2 2 3" xfId="4772"/>
    <cellStyle name="20 % - Markeringsfarve5 6 2 2 3 2" xfId="9758"/>
    <cellStyle name="20 % - Markeringsfarve5 6 2 2 4" xfId="6435"/>
    <cellStyle name="20 % - Markeringsfarve5 6 2 3" xfId="2277"/>
    <cellStyle name="20 % - Markeringsfarve5 6 2 3 2" xfId="7266"/>
    <cellStyle name="20 % - Markeringsfarve5 6 2 4" xfId="3941"/>
    <cellStyle name="20 % - Markeringsfarve5 6 2 4 2" xfId="8927"/>
    <cellStyle name="20 % - Markeringsfarve5 6 2 5" xfId="5604"/>
    <cellStyle name="20 % - Markeringsfarve5 6 2 6" xfId="10591"/>
    <cellStyle name="20 % - Markeringsfarve5 6 3" xfId="880"/>
    <cellStyle name="20 % - Markeringsfarve5 6 3 2" xfId="1714"/>
    <cellStyle name="20 % - Markeringsfarve5 6 3 2 2" xfId="3382"/>
    <cellStyle name="20 % - Markeringsfarve5 6 3 2 2 2" xfId="8371"/>
    <cellStyle name="20 % - Markeringsfarve5 6 3 2 3" xfId="5046"/>
    <cellStyle name="20 % - Markeringsfarve5 6 3 2 3 2" xfId="10032"/>
    <cellStyle name="20 % - Markeringsfarve5 6 3 2 4" xfId="6709"/>
    <cellStyle name="20 % - Markeringsfarve5 6 3 3" xfId="2551"/>
    <cellStyle name="20 % - Markeringsfarve5 6 3 3 2" xfId="7540"/>
    <cellStyle name="20 % - Markeringsfarve5 6 3 4" xfId="4215"/>
    <cellStyle name="20 % - Markeringsfarve5 6 3 4 2" xfId="9201"/>
    <cellStyle name="20 % - Markeringsfarve5 6 3 5" xfId="5878"/>
    <cellStyle name="20 % - Markeringsfarve5 6 3 6" xfId="10865"/>
    <cellStyle name="20 % - Markeringsfarve5 6 4" xfId="1161"/>
    <cellStyle name="20 % - Markeringsfarve5 6 4 2" xfId="2829"/>
    <cellStyle name="20 % - Markeringsfarve5 6 4 2 2" xfId="7818"/>
    <cellStyle name="20 % - Markeringsfarve5 6 4 3" xfId="4493"/>
    <cellStyle name="20 % - Markeringsfarve5 6 4 3 2" xfId="9479"/>
    <cellStyle name="20 % - Markeringsfarve5 6 4 4" xfId="6156"/>
    <cellStyle name="20 % - Markeringsfarve5 6 5" xfId="1999"/>
    <cellStyle name="20 % - Markeringsfarve5 6 5 2" xfId="6988"/>
    <cellStyle name="20 % - Markeringsfarve5 6 6" xfId="3664"/>
    <cellStyle name="20 % - Markeringsfarve5 6 6 2" xfId="8650"/>
    <cellStyle name="20 % - Markeringsfarve5 6 7" xfId="5327"/>
    <cellStyle name="20 % - Markeringsfarve5 6 8" xfId="10311"/>
    <cellStyle name="20 % - Markeringsfarve5 7" xfId="288"/>
    <cellStyle name="20 % - Markeringsfarve5 7 2" xfId="660"/>
    <cellStyle name="20 % - Markeringsfarve5 7 2 2" xfId="1495"/>
    <cellStyle name="20 % - Markeringsfarve5 7 2 2 2" xfId="3163"/>
    <cellStyle name="20 % - Markeringsfarve5 7 2 2 2 2" xfId="8152"/>
    <cellStyle name="20 % - Markeringsfarve5 7 2 2 3" xfId="4827"/>
    <cellStyle name="20 % - Markeringsfarve5 7 2 2 3 2" xfId="9813"/>
    <cellStyle name="20 % - Markeringsfarve5 7 2 2 4" xfId="6490"/>
    <cellStyle name="20 % - Markeringsfarve5 7 2 3" xfId="2332"/>
    <cellStyle name="20 % - Markeringsfarve5 7 2 3 2" xfId="7321"/>
    <cellStyle name="20 % - Markeringsfarve5 7 2 4" xfId="3996"/>
    <cellStyle name="20 % - Markeringsfarve5 7 2 4 2" xfId="8982"/>
    <cellStyle name="20 % - Markeringsfarve5 7 2 5" xfId="5659"/>
    <cellStyle name="20 % - Markeringsfarve5 7 2 6" xfId="10646"/>
    <cellStyle name="20 % - Markeringsfarve5 7 3" xfId="935"/>
    <cellStyle name="20 % - Markeringsfarve5 7 3 2" xfId="1769"/>
    <cellStyle name="20 % - Markeringsfarve5 7 3 2 2" xfId="3437"/>
    <cellStyle name="20 % - Markeringsfarve5 7 3 2 2 2" xfId="8426"/>
    <cellStyle name="20 % - Markeringsfarve5 7 3 2 3" xfId="5101"/>
    <cellStyle name="20 % - Markeringsfarve5 7 3 2 3 2" xfId="10087"/>
    <cellStyle name="20 % - Markeringsfarve5 7 3 2 4" xfId="6764"/>
    <cellStyle name="20 % - Markeringsfarve5 7 3 3" xfId="2606"/>
    <cellStyle name="20 % - Markeringsfarve5 7 3 3 2" xfId="7595"/>
    <cellStyle name="20 % - Markeringsfarve5 7 3 4" xfId="4270"/>
    <cellStyle name="20 % - Markeringsfarve5 7 3 4 2" xfId="9256"/>
    <cellStyle name="20 % - Markeringsfarve5 7 3 5" xfId="5933"/>
    <cellStyle name="20 % - Markeringsfarve5 7 3 6" xfId="10920"/>
    <cellStyle name="20 % - Markeringsfarve5 7 4" xfId="1216"/>
    <cellStyle name="20 % - Markeringsfarve5 7 4 2" xfId="2884"/>
    <cellStyle name="20 % - Markeringsfarve5 7 4 2 2" xfId="7873"/>
    <cellStyle name="20 % - Markeringsfarve5 7 4 3" xfId="4548"/>
    <cellStyle name="20 % - Markeringsfarve5 7 4 3 2" xfId="9534"/>
    <cellStyle name="20 % - Markeringsfarve5 7 4 4" xfId="6211"/>
    <cellStyle name="20 % - Markeringsfarve5 7 5" xfId="2054"/>
    <cellStyle name="20 % - Markeringsfarve5 7 5 2" xfId="7043"/>
    <cellStyle name="20 % - Markeringsfarve5 7 6" xfId="3719"/>
    <cellStyle name="20 % - Markeringsfarve5 7 6 2" xfId="8705"/>
    <cellStyle name="20 % - Markeringsfarve5 7 7" xfId="5382"/>
    <cellStyle name="20 % - Markeringsfarve5 7 8" xfId="10366"/>
    <cellStyle name="20 % - Markeringsfarve5 8" xfId="442"/>
    <cellStyle name="20 % - Markeringsfarve5 8 2" xfId="1277"/>
    <cellStyle name="20 % - Markeringsfarve5 8 2 2" xfId="2945"/>
    <cellStyle name="20 % - Markeringsfarve5 8 2 2 2" xfId="7934"/>
    <cellStyle name="20 % - Markeringsfarve5 8 2 3" xfId="4609"/>
    <cellStyle name="20 % - Markeringsfarve5 8 2 3 2" xfId="9595"/>
    <cellStyle name="20 % - Markeringsfarve5 8 2 4" xfId="6272"/>
    <cellStyle name="20 % - Markeringsfarve5 8 3" xfId="2116"/>
    <cellStyle name="20 % - Markeringsfarve5 8 3 2" xfId="7105"/>
    <cellStyle name="20 % - Markeringsfarve5 8 4" xfId="3780"/>
    <cellStyle name="20 % - Markeringsfarve5 8 4 2" xfId="8766"/>
    <cellStyle name="20 % - Markeringsfarve5 8 5" xfId="5443"/>
    <cellStyle name="20 % - Markeringsfarve5 8 6" xfId="10422"/>
    <cellStyle name="20 % - Markeringsfarve5 9" xfId="717"/>
    <cellStyle name="20 % - Markeringsfarve5 9 2" xfId="1551"/>
    <cellStyle name="20 % - Markeringsfarve5 9 2 2" xfId="3219"/>
    <cellStyle name="20 % - Markeringsfarve5 9 2 2 2" xfId="8208"/>
    <cellStyle name="20 % - Markeringsfarve5 9 2 3" xfId="4883"/>
    <cellStyle name="20 % - Markeringsfarve5 9 2 3 2" xfId="9869"/>
    <cellStyle name="20 % - Markeringsfarve5 9 2 4" xfId="6546"/>
    <cellStyle name="20 % - Markeringsfarve5 9 3" xfId="2388"/>
    <cellStyle name="20 % - Markeringsfarve5 9 3 2" xfId="7377"/>
    <cellStyle name="20 % - Markeringsfarve5 9 4" xfId="4052"/>
    <cellStyle name="20 % - Markeringsfarve5 9 4 2" xfId="9038"/>
    <cellStyle name="20 % - Markeringsfarve5 9 5" xfId="5715"/>
    <cellStyle name="20 % - Markeringsfarve5 9 6" xfId="10702"/>
    <cellStyle name="20 % - Markeringsfarve6" xfId="40" builtinId="50" customBuiltin="1"/>
    <cellStyle name="20 % - Markeringsfarve6 10" xfId="1000"/>
    <cellStyle name="20 % - Markeringsfarve6 10 2" xfId="2668"/>
    <cellStyle name="20 % - Markeringsfarve6 10 2 2" xfId="7657"/>
    <cellStyle name="20 % - Markeringsfarve6 10 3" xfId="4332"/>
    <cellStyle name="20 % - Markeringsfarve6 10 3 2" xfId="9318"/>
    <cellStyle name="20 % - Markeringsfarve6 10 4" xfId="5995"/>
    <cellStyle name="20 % - Markeringsfarve6 11" xfId="1835"/>
    <cellStyle name="20 % - Markeringsfarve6 11 2" xfId="6827"/>
    <cellStyle name="20 % - Markeringsfarve6 12" xfId="3503"/>
    <cellStyle name="20 % - Markeringsfarve6 12 2" xfId="8489"/>
    <cellStyle name="20 % - Markeringsfarve6 13" xfId="5166"/>
    <cellStyle name="20 % - Markeringsfarve6 14" xfId="10150"/>
    <cellStyle name="20 % - Markeringsfarve6 2" xfId="76"/>
    <cellStyle name="20 % - Markeringsfarve6 2 10" xfId="3523"/>
    <cellStyle name="20 % - Markeringsfarve6 2 10 2" xfId="8509"/>
    <cellStyle name="20 % - Markeringsfarve6 2 11" xfId="5186"/>
    <cellStyle name="20 % - Markeringsfarve6 2 12" xfId="10169"/>
    <cellStyle name="20 % - Markeringsfarve6 2 2" xfId="144"/>
    <cellStyle name="20 % - Markeringsfarve6 2 2 2" xfId="517"/>
    <cellStyle name="20 % - Markeringsfarve6 2 2 2 2" xfId="1352"/>
    <cellStyle name="20 % - Markeringsfarve6 2 2 2 2 2" xfId="3020"/>
    <cellStyle name="20 % - Markeringsfarve6 2 2 2 2 2 2" xfId="8009"/>
    <cellStyle name="20 % - Markeringsfarve6 2 2 2 2 3" xfId="4684"/>
    <cellStyle name="20 % - Markeringsfarve6 2 2 2 2 3 2" xfId="9670"/>
    <cellStyle name="20 % - Markeringsfarve6 2 2 2 2 4" xfId="6347"/>
    <cellStyle name="20 % - Markeringsfarve6 2 2 2 3" xfId="2189"/>
    <cellStyle name="20 % - Markeringsfarve6 2 2 2 3 2" xfId="7178"/>
    <cellStyle name="20 % - Markeringsfarve6 2 2 2 4" xfId="3853"/>
    <cellStyle name="20 % - Markeringsfarve6 2 2 2 4 2" xfId="8839"/>
    <cellStyle name="20 % - Markeringsfarve6 2 2 2 5" xfId="5516"/>
    <cellStyle name="20 % - Markeringsfarve6 2 2 2 6" xfId="10503"/>
    <cellStyle name="20 % - Markeringsfarve6 2 2 3" xfId="792"/>
    <cellStyle name="20 % - Markeringsfarve6 2 2 3 2" xfId="1626"/>
    <cellStyle name="20 % - Markeringsfarve6 2 2 3 2 2" xfId="3294"/>
    <cellStyle name="20 % - Markeringsfarve6 2 2 3 2 2 2" xfId="8283"/>
    <cellStyle name="20 % - Markeringsfarve6 2 2 3 2 3" xfId="4958"/>
    <cellStyle name="20 % - Markeringsfarve6 2 2 3 2 3 2" xfId="9944"/>
    <cellStyle name="20 % - Markeringsfarve6 2 2 3 2 4" xfId="6621"/>
    <cellStyle name="20 % - Markeringsfarve6 2 2 3 3" xfId="2463"/>
    <cellStyle name="20 % - Markeringsfarve6 2 2 3 3 2" xfId="7452"/>
    <cellStyle name="20 % - Markeringsfarve6 2 2 3 4" xfId="4127"/>
    <cellStyle name="20 % - Markeringsfarve6 2 2 3 4 2" xfId="9113"/>
    <cellStyle name="20 % - Markeringsfarve6 2 2 3 5" xfId="5790"/>
    <cellStyle name="20 % - Markeringsfarve6 2 2 3 6" xfId="10777"/>
    <cellStyle name="20 % - Markeringsfarve6 2 2 4" xfId="1073"/>
    <cellStyle name="20 % - Markeringsfarve6 2 2 4 2" xfId="2741"/>
    <cellStyle name="20 % - Markeringsfarve6 2 2 4 2 2" xfId="7730"/>
    <cellStyle name="20 % - Markeringsfarve6 2 2 4 3" xfId="4405"/>
    <cellStyle name="20 % - Markeringsfarve6 2 2 4 3 2" xfId="9391"/>
    <cellStyle name="20 % - Markeringsfarve6 2 2 4 4" xfId="6068"/>
    <cellStyle name="20 % - Markeringsfarve6 2 2 5" xfId="1911"/>
    <cellStyle name="20 % - Markeringsfarve6 2 2 5 2" xfId="6900"/>
    <cellStyle name="20 % - Markeringsfarve6 2 2 6" xfId="3576"/>
    <cellStyle name="20 % - Markeringsfarve6 2 2 6 2" xfId="8562"/>
    <cellStyle name="20 % - Markeringsfarve6 2 2 7" xfId="5239"/>
    <cellStyle name="20 % - Markeringsfarve6 2 2 8" xfId="10223"/>
    <cellStyle name="20 % - Markeringsfarve6 2 3" xfId="199"/>
    <cellStyle name="20 % - Markeringsfarve6 2 3 2" xfId="571"/>
    <cellStyle name="20 % - Markeringsfarve6 2 3 2 2" xfId="1406"/>
    <cellStyle name="20 % - Markeringsfarve6 2 3 2 2 2" xfId="3074"/>
    <cellStyle name="20 % - Markeringsfarve6 2 3 2 2 2 2" xfId="8063"/>
    <cellStyle name="20 % - Markeringsfarve6 2 3 2 2 3" xfId="4738"/>
    <cellStyle name="20 % - Markeringsfarve6 2 3 2 2 3 2" xfId="9724"/>
    <cellStyle name="20 % - Markeringsfarve6 2 3 2 2 4" xfId="6401"/>
    <cellStyle name="20 % - Markeringsfarve6 2 3 2 3" xfId="2243"/>
    <cellStyle name="20 % - Markeringsfarve6 2 3 2 3 2" xfId="7232"/>
    <cellStyle name="20 % - Markeringsfarve6 2 3 2 4" xfId="3907"/>
    <cellStyle name="20 % - Markeringsfarve6 2 3 2 4 2" xfId="8893"/>
    <cellStyle name="20 % - Markeringsfarve6 2 3 2 5" xfId="5570"/>
    <cellStyle name="20 % - Markeringsfarve6 2 3 2 6" xfId="10557"/>
    <cellStyle name="20 % - Markeringsfarve6 2 3 3" xfId="846"/>
    <cellStyle name="20 % - Markeringsfarve6 2 3 3 2" xfId="1680"/>
    <cellStyle name="20 % - Markeringsfarve6 2 3 3 2 2" xfId="3348"/>
    <cellStyle name="20 % - Markeringsfarve6 2 3 3 2 2 2" xfId="8337"/>
    <cellStyle name="20 % - Markeringsfarve6 2 3 3 2 3" xfId="5012"/>
    <cellStyle name="20 % - Markeringsfarve6 2 3 3 2 3 2" xfId="9998"/>
    <cellStyle name="20 % - Markeringsfarve6 2 3 3 2 4" xfId="6675"/>
    <cellStyle name="20 % - Markeringsfarve6 2 3 3 3" xfId="2517"/>
    <cellStyle name="20 % - Markeringsfarve6 2 3 3 3 2" xfId="7506"/>
    <cellStyle name="20 % - Markeringsfarve6 2 3 3 4" xfId="4181"/>
    <cellStyle name="20 % - Markeringsfarve6 2 3 3 4 2" xfId="9167"/>
    <cellStyle name="20 % - Markeringsfarve6 2 3 3 5" xfId="5844"/>
    <cellStyle name="20 % - Markeringsfarve6 2 3 3 6" xfId="10831"/>
    <cellStyle name="20 % - Markeringsfarve6 2 3 4" xfId="1127"/>
    <cellStyle name="20 % - Markeringsfarve6 2 3 4 2" xfId="2795"/>
    <cellStyle name="20 % - Markeringsfarve6 2 3 4 2 2" xfId="7784"/>
    <cellStyle name="20 % - Markeringsfarve6 2 3 4 3" xfId="4459"/>
    <cellStyle name="20 % - Markeringsfarve6 2 3 4 3 2" xfId="9445"/>
    <cellStyle name="20 % - Markeringsfarve6 2 3 4 4" xfId="6122"/>
    <cellStyle name="20 % - Markeringsfarve6 2 3 5" xfId="1965"/>
    <cellStyle name="20 % - Markeringsfarve6 2 3 5 2" xfId="6954"/>
    <cellStyle name="20 % - Markeringsfarve6 2 3 6" xfId="3630"/>
    <cellStyle name="20 % - Markeringsfarve6 2 3 6 2" xfId="8616"/>
    <cellStyle name="20 % - Markeringsfarve6 2 3 7" xfId="5293"/>
    <cellStyle name="20 % - Markeringsfarve6 2 3 8" xfId="10277"/>
    <cellStyle name="20 % - Markeringsfarve6 2 4" xfId="254"/>
    <cellStyle name="20 % - Markeringsfarve6 2 4 2" xfId="626"/>
    <cellStyle name="20 % - Markeringsfarve6 2 4 2 2" xfId="1461"/>
    <cellStyle name="20 % - Markeringsfarve6 2 4 2 2 2" xfId="3129"/>
    <cellStyle name="20 % - Markeringsfarve6 2 4 2 2 2 2" xfId="8118"/>
    <cellStyle name="20 % - Markeringsfarve6 2 4 2 2 3" xfId="4793"/>
    <cellStyle name="20 % - Markeringsfarve6 2 4 2 2 3 2" xfId="9779"/>
    <cellStyle name="20 % - Markeringsfarve6 2 4 2 2 4" xfId="6456"/>
    <cellStyle name="20 % - Markeringsfarve6 2 4 2 3" xfId="2298"/>
    <cellStyle name="20 % - Markeringsfarve6 2 4 2 3 2" xfId="7287"/>
    <cellStyle name="20 % - Markeringsfarve6 2 4 2 4" xfId="3962"/>
    <cellStyle name="20 % - Markeringsfarve6 2 4 2 4 2" xfId="8948"/>
    <cellStyle name="20 % - Markeringsfarve6 2 4 2 5" xfId="5625"/>
    <cellStyle name="20 % - Markeringsfarve6 2 4 2 6" xfId="10612"/>
    <cellStyle name="20 % - Markeringsfarve6 2 4 3" xfId="901"/>
    <cellStyle name="20 % - Markeringsfarve6 2 4 3 2" xfId="1735"/>
    <cellStyle name="20 % - Markeringsfarve6 2 4 3 2 2" xfId="3403"/>
    <cellStyle name="20 % - Markeringsfarve6 2 4 3 2 2 2" xfId="8392"/>
    <cellStyle name="20 % - Markeringsfarve6 2 4 3 2 3" xfId="5067"/>
    <cellStyle name="20 % - Markeringsfarve6 2 4 3 2 3 2" xfId="10053"/>
    <cellStyle name="20 % - Markeringsfarve6 2 4 3 2 4" xfId="6730"/>
    <cellStyle name="20 % - Markeringsfarve6 2 4 3 3" xfId="2572"/>
    <cellStyle name="20 % - Markeringsfarve6 2 4 3 3 2" xfId="7561"/>
    <cellStyle name="20 % - Markeringsfarve6 2 4 3 4" xfId="4236"/>
    <cellStyle name="20 % - Markeringsfarve6 2 4 3 4 2" xfId="9222"/>
    <cellStyle name="20 % - Markeringsfarve6 2 4 3 5" xfId="5899"/>
    <cellStyle name="20 % - Markeringsfarve6 2 4 3 6" xfId="10886"/>
    <cellStyle name="20 % - Markeringsfarve6 2 4 4" xfId="1182"/>
    <cellStyle name="20 % - Markeringsfarve6 2 4 4 2" xfId="2850"/>
    <cellStyle name="20 % - Markeringsfarve6 2 4 4 2 2" xfId="7839"/>
    <cellStyle name="20 % - Markeringsfarve6 2 4 4 3" xfId="4514"/>
    <cellStyle name="20 % - Markeringsfarve6 2 4 4 3 2" xfId="9500"/>
    <cellStyle name="20 % - Markeringsfarve6 2 4 4 4" xfId="6177"/>
    <cellStyle name="20 % - Markeringsfarve6 2 4 5" xfId="2020"/>
    <cellStyle name="20 % - Markeringsfarve6 2 4 5 2" xfId="7009"/>
    <cellStyle name="20 % - Markeringsfarve6 2 4 6" xfId="3685"/>
    <cellStyle name="20 % - Markeringsfarve6 2 4 6 2" xfId="8671"/>
    <cellStyle name="20 % - Markeringsfarve6 2 4 7" xfId="5348"/>
    <cellStyle name="20 % - Markeringsfarve6 2 4 8" xfId="10332"/>
    <cellStyle name="20 % - Markeringsfarve6 2 5" xfId="310"/>
    <cellStyle name="20 % - Markeringsfarve6 2 5 2" xfId="682"/>
    <cellStyle name="20 % - Markeringsfarve6 2 5 2 2" xfId="1517"/>
    <cellStyle name="20 % - Markeringsfarve6 2 5 2 2 2" xfId="3185"/>
    <cellStyle name="20 % - Markeringsfarve6 2 5 2 2 2 2" xfId="8174"/>
    <cellStyle name="20 % - Markeringsfarve6 2 5 2 2 3" xfId="4849"/>
    <cellStyle name="20 % - Markeringsfarve6 2 5 2 2 3 2" xfId="9835"/>
    <cellStyle name="20 % - Markeringsfarve6 2 5 2 2 4" xfId="6512"/>
    <cellStyle name="20 % - Markeringsfarve6 2 5 2 3" xfId="2354"/>
    <cellStyle name="20 % - Markeringsfarve6 2 5 2 3 2" xfId="7343"/>
    <cellStyle name="20 % - Markeringsfarve6 2 5 2 4" xfId="4018"/>
    <cellStyle name="20 % - Markeringsfarve6 2 5 2 4 2" xfId="9004"/>
    <cellStyle name="20 % - Markeringsfarve6 2 5 2 5" xfId="5681"/>
    <cellStyle name="20 % - Markeringsfarve6 2 5 2 6" xfId="10668"/>
    <cellStyle name="20 % - Markeringsfarve6 2 5 3" xfId="957"/>
    <cellStyle name="20 % - Markeringsfarve6 2 5 3 2" xfId="1791"/>
    <cellStyle name="20 % - Markeringsfarve6 2 5 3 2 2" xfId="3459"/>
    <cellStyle name="20 % - Markeringsfarve6 2 5 3 2 2 2" xfId="8448"/>
    <cellStyle name="20 % - Markeringsfarve6 2 5 3 2 3" xfId="5123"/>
    <cellStyle name="20 % - Markeringsfarve6 2 5 3 2 3 2" xfId="10109"/>
    <cellStyle name="20 % - Markeringsfarve6 2 5 3 2 4" xfId="6786"/>
    <cellStyle name="20 % - Markeringsfarve6 2 5 3 3" xfId="2628"/>
    <cellStyle name="20 % - Markeringsfarve6 2 5 3 3 2" xfId="7617"/>
    <cellStyle name="20 % - Markeringsfarve6 2 5 3 4" xfId="4292"/>
    <cellStyle name="20 % - Markeringsfarve6 2 5 3 4 2" xfId="9278"/>
    <cellStyle name="20 % - Markeringsfarve6 2 5 3 5" xfId="5955"/>
    <cellStyle name="20 % - Markeringsfarve6 2 5 3 6" xfId="10942"/>
    <cellStyle name="20 % - Markeringsfarve6 2 5 4" xfId="1238"/>
    <cellStyle name="20 % - Markeringsfarve6 2 5 4 2" xfId="2906"/>
    <cellStyle name="20 % - Markeringsfarve6 2 5 4 2 2" xfId="7895"/>
    <cellStyle name="20 % - Markeringsfarve6 2 5 4 3" xfId="4570"/>
    <cellStyle name="20 % - Markeringsfarve6 2 5 4 3 2" xfId="9556"/>
    <cellStyle name="20 % - Markeringsfarve6 2 5 4 4" xfId="6233"/>
    <cellStyle name="20 % - Markeringsfarve6 2 5 5" xfId="2076"/>
    <cellStyle name="20 % - Markeringsfarve6 2 5 5 2" xfId="7065"/>
    <cellStyle name="20 % - Markeringsfarve6 2 5 6" xfId="3741"/>
    <cellStyle name="20 % - Markeringsfarve6 2 5 6 2" xfId="8727"/>
    <cellStyle name="20 % - Markeringsfarve6 2 5 7" xfId="5404"/>
    <cellStyle name="20 % - Markeringsfarve6 2 5 8" xfId="10388"/>
    <cellStyle name="20 % - Markeringsfarve6 2 6" xfId="463"/>
    <cellStyle name="20 % - Markeringsfarve6 2 6 2" xfId="1298"/>
    <cellStyle name="20 % - Markeringsfarve6 2 6 2 2" xfId="2966"/>
    <cellStyle name="20 % - Markeringsfarve6 2 6 2 2 2" xfId="7955"/>
    <cellStyle name="20 % - Markeringsfarve6 2 6 2 3" xfId="4630"/>
    <cellStyle name="20 % - Markeringsfarve6 2 6 2 3 2" xfId="9616"/>
    <cellStyle name="20 % - Markeringsfarve6 2 6 2 4" xfId="6293"/>
    <cellStyle name="20 % - Markeringsfarve6 2 6 3" xfId="2137"/>
    <cellStyle name="20 % - Markeringsfarve6 2 6 3 2" xfId="7126"/>
    <cellStyle name="20 % - Markeringsfarve6 2 6 4" xfId="3801"/>
    <cellStyle name="20 % - Markeringsfarve6 2 6 4 2" xfId="8787"/>
    <cellStyle name="20 % - Markeringsfarve6 2 6 5" xfId="5464"/>
    <cellStyle name="20 % - Markeringsfarve6 2 6 6" xfId="10454"/>
    <cellStyle name="20 % - Markeringsfarve6 2 7" xfId="738"/>
    <cellStyle name="20 % - Markeringsfarve6 2 7 2" xfId="1572"/>
    <cellStyle name="20 % - Markeringsfarve6 2 7 2 2" xfId="3240"/>
    <cellStyle name="20 % - Markeringsfarve6 2 7 2 2 2" xfId="8229"/>
    <cellStyle name="20 % - Markeringsfarve6 2 7 2 3" xfId="4904"/>
    <cellStyle name="20 % - Markeringsfarve6 2 7 2 3 2" xfId="9890"/>
    <cellStyle name="20 % - Markeringsfarve6 2 7 2 4" xfId="6567"/>
    <cellStyle name="20 % - Markeringsfarve6 2 7 3" xfId="2409"/>
    <cellStyle name="20 % - Markeringsfarve6 2 7 3 2" xfId="7398"/>
    <cellStyle name="20 % - Markeringsfarve6 2 7 4" xfId="4073"/>
    <cellStyle name="20 % - Markeringsfarve6 2 7 4 2" xfId="9059"/>
    <cellStyle name="20 % - Markeringsfarve6 2 7 5" xfId="5736"/>
    <cellStyle name="20 % - Markeringsfarve6 2 7 6" xfId="10723"/>
    <cellStyle name="20 % - Markeringsfarve6 2 8" xfId="1019"/>
    <cellStyle name="20 % - Markeringsfarve6 2 8 2" xfId="2687"/>
    <cellStyle name="20 % - Markeringsfarve6 2 8 2 2" xfId="7676"/>
    <cellStyle name="20 % - Markeringsfarve6 2 8 3" xfId="4351"/>
    <cellStyle name="20 % - Markeringsfarve6 2 8 3 2" xfId="9337"/>
    <cellStyle name="20 % - Markeringsfarve6 2 8 4" xfId="6014"/>
    <cellStyle name="20 % - Markeringsfarve6 2 9" xfId="1855"/>
    <cellStyle name="20 % - Markeringsfarve6 2 9 2" xfId="6847"/>
    <cellStyle name="20 % - Markeringsfarve6 3" xfId="103"/>
    <cellStyle name="20 % - Markeringsfarve6 3 10" xfId="3542"/>
    <cellStyle name="20 % - Markeringsfarve6 3 10 2" xfId="8528"/>
    <cellStyle name="20 % - Markeringsfarve6 3 11" xfId="5205"/>
    <cellStyle name="20 % - Markeringsfarve6 3 12" xfId="10188"/>
    <cellStyle name="20 % - Markeringsfarve6 3 2" xfId="163"/>
    <cellStyle name="20 % - Markeringsfarve6 3 2 2" xfId="536"/>
    <cellStyle name="20 % - Markeringsfarve6 3 2 2 2" xfId="1371"/>
    <cellStyle name="20 % - Markeringsfarve6 3 2 2 2 2" xfId="3039"/>
    <cellStyle name="20 % - Markeringsfarve6 3 2 2 2 2 2" xfId="8028"/>
    <cellStyle name="20 % - Markeringsfarve6 3 2 2 2 3" xfId="4703"/>
    <cellStyle name="20 % - Markeringsfarve6 3 2 2 2 3 2" xfId="9689"/>
    <cellStyle name="20 % - Markeringsfarve6 3 2 2 2 4" xfId="6366"/>
    <cellStyle name="20 % - Markeringsfarve6 3 2 2 3" xfId="2208"/>
    <cellStyle name="20 % - Markeringsfarve6 3 2 2 3 2" xfId="7197"/>
    <cellStyle name="20 % - Markeringsfarve6 3 2 2 4" xfId="3872"/>
    <cellStyle name="20 % - Markeringsfarve6 3 2 2 4 2" xfId="8858"/>
    <cellStyle name="20 % - Markeringsfarve6 3 2 2 5" xfId="5535"/>
    <cellStyle name="20 % - Markeringsfarve6 3 2 2 6" xfId="10522"/>
    <cellStyle name="20 % - Markeringsfarve6 3 2 3" xfId="811"/>
    <cellStyle name="20 % - Markeringsfarve6 3 2 3 2" xfId="1645"/>
    <cellStyle name="20 % - Markeringsfarve6 3 2 3 2 2" xfId="3313"/>
    <cellStyle name="20 % - Markeringsfarve6 3 2 3 2 2 2" xfId="8302"/>
    <cellStyle name="20 % - Markeringsfarve6 3 2 3 2 3" xfId="4977"/>
    <cellStyle name="20 % - Markeringsfarve6 3 2 3 2 3 2" xfId="9963"/>
    <cellStyle name="20 % - Markeringsfarve6 3 2 3 2 4" xfId="6640"/>
    <cellStyle name="20 % - Markeringsfarve6 3 2 3 3" xfId="2482"/>
    <cellStyle name="20 % - Markeringsfarve6 3 2 3 3 2" xfId="7471"/>
    <cellStyle name="20 % - Markeringsfarve6 3 2 3 4" xfId="4146"/>
    <cellStyle name="20 % - Markeringsfarve6 3 2 3 4 2" xfId="9132"/>
    <cellStyle name="20 % - Markeringsfarve6 3 2 3 5" xfId="5809"/>
    <cellStyle name="20 % - Markeringsfarve6 3 2 3 6" xfId="10796"/>
    <cellStyle name="20 % - Markeringsfarve6 3 2 4" xfId="1092"/>
    <cellStyle name="20 % - Markeringsfarve6 3 2 4 2" xfId="2760"/>
    <cellStyle name="20 % - Markeringsfarve6 3 2 4 2 2" xfId="7749"/>
    <cellStyle name="20 % - Markeringsfarve6 3 2 4 3" xfId="4424"/>
    <cellStyle name="20 % - Markeringsfarve6 3 2 4 3 2" xfId="9410"/>
    <cellStyle name="20 % - Markeringsfarve6 3 2 4 4" xfId="6087"/>
    <cellStyle name="20 % - Markeringsfarve6 3 2 5" xfId="1930"/>
    <cellStyle name="20 % - Markeringsfarve6 3 2 5 2" xfId="6919"/>
    <cellStyle name="20 % - Markeringsfarve6 3 2 6" xfId="3595"/>
    <cellStyle name="20 % - Markeringsfarve6 3 2 6 2" xfId="8581"/>
    <cellStyle name="20 % - Markeringsfarve6 3 2 7" xfId="5258"/>
    <cellStyle name="20 % - Markeringsfarve6 3 2 8" xfId="10242"/>
    <cellStyle name="20 % - Markeringsfarve6 3 3" xfId="218"/>
    <cellStyle name="20 % - Markeringsfarve6 3 3 2" xfId="590"/>
    <cellStyle name="20 % - Markeringsfarve6 3 3 2 2" xfId="1425"/>
    <cellStyle name="20 % - Markeringsfarve6 3 3 2 2 2" xfId="3093"/>
    <cellStyle name="20 % - Markeringsfarve6 3 3 2 2 2 2" xfId="8082"/>
    <cellStyle name="20 % - Markeringsfarve6 3 3 2 2 3" xfId="4757"/>
    <cellStyle name="20 % - Markeringsfarve6 3 3 2 2 3 2" xfId="9743"/>
    <cellStyle name="20 % - Markeringsfarve6 3 3 2 2 4" xfId="6420"/>
    <cellStyle name="20 % - Markeringsfarve6 3 3 2 3" xfId="2262"/>
    <cellStyle name="20 % - Markeringsfarve6 3 3 2 3 2" xfId="7251"/>
    <cellStyle name="20 % - Markeringsfarve6 3 3 2 4" xfId="3926"/>
    <cellStyle name="20 % - Markeringsfarve6 3 3 2 4 2" xfId="8912"/>
    <cellStyle name="20 % - Markeringsfarve6 3 3 2 5" xfId="5589"/>
    <cellStyle name="20 % - Markeringsfarve6 3 3 2 6" xfId="10576"/>
    <cellStyle name="20 % - Markeringsfarve6 3 3 3" xfId="865"/>
    <cellStyle name="20 % - Markeringsfarve6 3 3 3 2" xfId="1699"/>
    <cellStyle name="20 % - Markeringsfarve6 3 3 3 2 2" xfId="3367"/>
    <cellStyle name="20 % - Markeringsfarve6 3 3 3 2 2 2" xfId="8356"/>
    <cellStyle name="20 % - Markeringsfarve6 3 3 3 2 3" xfId="5031"/>
    <cellStyle name="20 % - Markeringsfarve6 3 3 3 2 3 2" xfId="10017"/>
    <cellStyle name="20 % - Markeringsfarve6 3 3 3 2 4" xfId="6694"/>
    <cellStyle name="20 % - Markeringsfarve6 3 3 3 3" xfId="2536"/>
    <cellStyle name="20 % - Markeringsfarve6 3 3 3 3 2" xfId="7525"/>
    <cellStyle name="20 % - Markeringsfarve6 3 3 3 4" xfId="4200"/>
    <cellStyle name="20 % - Markeringsfarve6 3 3 3 4 2" xfId="9186"/>
    <cellStyle name="20 % - Markeringsfarve6 3 3 3 5" xfId="5863"/>
    <cellStyle name="20 % - Markeringsfarve6 3 3 3 6" xfId="10850"/>
    <cellStyle name="20 % - Markeringsfarve6 3 3 4" xfId="1146"/>
    <cellStyle name="20 % - Markeringsfarve6 3 3 4 2" xfId="2814"/>
    <cellStyle name="20 % - Markeringsfarve6 3 3 4 2 2" xfId="7803"/>
    <cellStyle name="20 % - Markeringsfarve6 3 3 4 3" xfId="4478"/>
    <cellStyle name="20 % - Markeringsfarve6 3 3 4 3 2" xfId="9464"/>
    <cellStyle name="20 % - Markeringsfarve6 3 3 4 4" xfId="6141"/>
    <cellStyle name="20 % - Markeringsfarve6 3 3 5" xfId="1984"/>
    <cellStyle name="20 % - Markeringsfarve6 3 3 5 2" xfId="6973"/>
    <cellStyle name="20 % - Markeringsfarve6 3 3 6" xfId="3649"/>
    <cellStyle name="20 % - Markeringsfarve6 3 3 6 2" xfId="8635"/>
    <cellStyle name="20 % - Markeringsfarve6 3 3 7" xfId="5312"/>
    <cellStyle name="20 % - Markeringsfarve6 3 3 8" xfId="10296"/>
    <cellStyle name="20 % - Markeringsfarve6 3 4" xfId="273"/>
    <cellStyle name="20 % - Markeringsfarve6 3 4 2" xfId="645"/>
    <cellStyle name="20 % - Markeringsfarve6 3 4 2 2" xfId="1480"/>
    <cellStyle name="20 % - Markeringsfarve6 3 4 2 2 2" xfId="3148"/>
    <cellStyle name="20 % - Markeringsfarve6 3 4 2 2 2 2" xfId="8137"/>
    <cellStyle name="20 % - Markeringsfarve6 3 4 2 2 3" xfId="4812"/>
    <cellStyle name="20 % - Markeringsfarve6 3 4 2 2 3 2" xfId="9798"/>
    <cellStyle name="20 % - Markeringsfarve6 3 4 2 2 4" xfId="6475"/>
    <cellStyle name="20 % - Markeringsfarve6 3 4 2 3" xfId="2317"/>
    <cellStyle name="20 % - Markeringsfarve6 3 4 2 3 2" xfId="7306"/>
    <cellStyle name="20 % - Markeringsfarve6 3 4 2 4" xfId="3981"/>
    <cellStyle name="20 % - Markeringsfarve6 3 4 2 4 2" xfId="8967"/>
    <cellStyle name="20 % - Markeringsfarve6 3 4 2 5" xfId="5644"/>
    <cellStyle name="20 % - Markeringsfarve6 3 4 2 6" xfId="10631"/>
    <cellStyle name="20 % - Markeringsfarve6 3 4 3" xfId="920"/>
    <cellStyle name="20 % - Markeringsfarve6 3 4 3 2" xfId="1754"/>
    <cellStyle name="20 % - Markeringsfarve6 3 4 3 2 2" xfId="3422"/>
    <cellStyle name="20 % - Markeringsfarve6 3 4 3 2 2 2" xfId="8411"/>
    <cellStyle name="20 % - Markeringsfarve6 3 4 3 2 3" xfId="5086"/>
    <cellStyle name="20 % - Markeringsfarve6 3 4 3 2 3 2" xfId="10072"/>
    <cellStyle name="20 % - Markeringsfarve6 3 4 3 2 4" xfId="6749"/>
    <cellStyle name="20 % - Markeringsfarve6 3 4 3 3" xfId="2591"/>
    <cellStyle name="20 % - Markeringsfarve6 3 4 3 3 2" xfId="7580"/>
    <cellStyle name="20 % - Markeringsfarve6 3 4 3 4" xfId="4255"/>
    <cellStyle name="20 % - Markeringsfarve6 3 4 3 4 2" xfId="9241"/>
    <cellStyle name="20 % - Markeringsfarve6 3 4 3 5" xfId="5918"/>
    <cellStyle name="20 % - Markeringsfarve6 3 4 3 6" xfId="10905"/>
    <cellStyle name="20 % - Markeringsfarve6 3 4 4" xfId="1201"/>
    <cellStyle name="20 % - Markeringsfarve6 3 4 4 2" xfId="2869"/>
    <cellStyle name="20 % - Markeringsfarve6 3 4 4 2 2" xfId="7858"/>
    <cellStyle name="20 % - Markeringsfarve6 3 4 4 3" xfId="4533"/>
    <cellStyle name="20 % - Markeringsfarve6 3 4 4 3 2" xfId="9519"/>
    <cellStyle name="20 % - Markeringsfarve6 3 4 4 4" xfId="6196"/>
    <cellStyle name="20 % - Markeringsfarve6 3 4 5" xfId="2039"/>
    <cellStyle name="20 % - Markeringsfarve6 3 4 5 2" xfId="7028"/>
    <cellStyle name="20 % - Markeringsfarve6 3 4 6" xfId="3704"/>
    <cellStyle name="20 % - Markeringsfarve6 3 4 6 2" xfId="8690"/>
    <cellStyle name="20 % - Markeringsfarve6 3 4 7" xfId="5367"/>
    <cellStyle name="20 % - Markeringsfarve6 3 4 8" xfId="10351"/>
    <cellStyle name="20 % - Markeringsfarve6 3 5" xfId="329"/>
    <cellStyle name="20 % - Markeringsfarve6 3 5 2" xfId="701"/>
    <cellStyle name="20 % - Markeringsfarve6 3 5 2 2" xfId="1536"/>
    <cellStyle name="20 % - Markeringsfarve6 3 5 2 2 2" xfId="3204"/>
    <cellStyle name="20 % - Markeringsfarve6 3 5 2 2 2 2" xfId="8193"/>
    <cellStyle name="20 % - Markeringsfarve6 3 5 2 2 3" xfId="4868"/>
    <cellStyle name="20 % - Markeringsfarve6 3 5 2 2 3 2" xfId="9854"/>
    <cellStyle name="20 % - Markeringsfarve6 3 5 2 2 4" xfId="6531"/>
    <cellStyle name="20 % - Markeringsfarve6 3 5 2 3" xfId="2373"/>
    <cellStyle name="20 % - Markeringsfarve6 3 5 2 3 2" xfId="7362"/>
    <cellStyle name="20 % - Markeringsfarve6 3 5 2 4" xfId="4037"/>
    <cellStyle name="20 % - Markeringsfarve6 3 5 2 4 2" xfId="9023"/>
    <cellStyle name="20 % - Markeringsfarve6 3 5 2 5" xfId="5700"/>
    <cellStyle name="20 % - Markeringsfarve6 3 5 2 6" xfId="10687"/>
    <cellStyle name="20 % - Markeringsfarve6 3 5 3" xfId="976"/>
    <cellStyle name="20 % - Markeringsfarve6 3 5 3 2" xfId="1810"/>
    <cellStyle name="20 % - Markeringsfarve6 3 5 3 2 2" xfId="3478"/>
    <cellStyle name="20 % - Markeringsfarve6 3 5 3 2 2 2" xfId="8467"/>
    <cellStyle name="20 % - Markeringsfarve6 3 5 3 2 3" xfId="5142"/>
    <cellStyle name="20 % - Markeringsfarve6 3 5 3 2 3 2" xfId="10128"/>
    <cellStyle name="20 % - Markeringsfarve6 3 5 3 2 4" xfId="6805"/>
    <cellStyle name="20 % - Markeringsfarve6 3 5 3 3" xfId="2647"/>
    <cellStyle name="20 % - Markeringsfarve6 3 5 3 3 2" xfId="7636"/>
    <cellStyle name="20 % - Markeringsfarve6 3 5 3 4" xfId="4311"/>
    <cellStyle name="20 % - Markeringsfarve6 3 5 3 4 2" xfId="9297"/>
    <cellStyle name="20 % - Markeringsfarve6 3 5 3 5" xfId="5974"/>
    <cellStyle name="20 % - Markeringsfarve6 3 5 3 6" xfId="10961"/>
    <cellStyle name="20 % - Markeringsfarve6 3 5 4" xfId="1257"/>
    <cellStyle name="20 % - Markeringsfarve6 3 5 4 2" xfId="2925"/>
    <cellStyle name="20 % - Markeringsfarve6 3 5 4 2 2" xfId="7914"/>
    <cellStyle name="20 % - Markeringsfarve6 3 5 4 3" xfId="4589"/>
    <cellStyle name="20 % - Markeringsfarve6 3 5 4 3 2" xfId="9575"/>
    <cellStyle name="20 % - Markeringsfarve6 3 5 4 4" xfId="6252"/>
    <cellStyle name="20 % - Markeringsfarve6 3 5 5" xfId="2095"/>
    <cellStyle name="20 % - Markeringsfarve6 3 5 5 2" xfId="7084"/>
    <cellStyle name="20 % - Markeringsfarve6 3 5 6" xfId="3760"/>
    <cellStyle name="20 % - Markeringsfarve6 3 5 6 2" xfId="8746"/>
    <cellStyle name="20 % - Markeringsfarve6 3 5 7" xfId="5423"/>
    <cellStyle name="20 % - Markeringsfarve6 3 5 8" xfId="10407"/>
    <cellStyle name="20 % - Markeringsfarve6 3 6" xfId="482"/>
    <cellStyle name="20 % - Markeringsfarve6 3 6 2" xfId="1317"/>
    <cellStyle name="20 % - Markeringsfarve6 3 6 2 2" xfId="2985"/>
    <cellStyle name="20 % - Markeringsfarve6 3 6 2 2 2" xfId="7974"/>
    <cellStyle name="20 % - Markeringsfarve6 3 6 2 3" xfId="4649"/>
    <cellStyle name="20 % - Markeringsfarve6 3 6 2 3 2" xfId="9635"/>
    <cellStyle name="20 % - Markeringsfarve6 3 6 2 4" xfId="6312"/>
    <cellStyle name="20 % - Markeringsfarve6 3 6 3" xfId="2156"/>
    <cellStyle name="20 % - Markeringsfarve6 3 6 3 2" xfId="7145"/>
    <cellStyle name="20 % - Markeringsfarve6 3 6 4" xfId="3820"/>
    <cellStyle name="20 % - Markeringsfarve6 3 6 4 2" xfId="8806"/>
    <cellStyle name="20 % - Markeringsfarve6 3 6 5" xfId="5483"/>
    <cellStyle name="20 % - Markeringsfarve6 3 6 6" xfId="10468"/>
    <cellStyle name="20 % - Markeringsfarve6 3 7" xfId="757"/>
    <cellStyle name="20 % - Markeringsfarve6 3 7 2" xfId="1591"/>
    <cellStyle name="20 % - Markeringsfarve6 3 7 2 2" xfId="3259"/>
    <cellStyle name="20 % - Markeringsfarve6 3 7 2 2 2" xfId="8248"/>
    <cellStyle name="20 % - Markeringsfarve6 3 7 2 3" xfId="4923"/>
    <cellStyle name="20 % - Markeringsfarve6 3 7 2 3 2" xfId="9909"/>
    <cellStyle name="20 % - Markeringsfarve6 3 7 2 4" xfId="6586"/>
    <cellStyle name="20 % - Markeringsfarve6 3 7 3" xfId="2428"/>
    <cellStyle name="20 % - Markeringsfarve6 3 7 3 2" xfId="7417"/>
    <cellStyle name="20 % - Markeringsfarve6 3 7 4" xfId="4092"/>
    <cellStyle name="20 % - Markeringsfarve6 3 7 4 2" xfId="9078"/>
    <cellStyle name="20 % - Markeringsfarve6 3 7 5" xfId="5755"/>
    <cellStyle name="20 % - Markeringsfarve6 3 7 6" xfId="10742"/>
    <cellStyle name="20 % - Markeringsfarve6 3 8" xfId="1038"/>
    <cellStyle name="20 % - Markeringsfarve6 3 8 2" xfId="2706"/>
    <cellStyle name="20 % - Markeringsfarve6 3 8 2 2" xfId="7695"/>
    <cellStyle name="20 % - Markeringsfarve6 3 8 3" xfId="4370"/>
    <cellStyle name="20 % - Markeringsfarve6 3 8 3 2" xfId="9356"/>
    <cellStyle name="20 % - Markeringsfarve6 3 8 4" xfId="6033"/>
    <cellStyle name="20 % - Markeringsfarve6 3 9" xfId="1874"/>
    <cellStyle name="20 % - Markeringsfarve6 3 9 2" xfId="6866"/>
    <cellStyle name="20 % - Markeringsfarve6 4" xfId="126"/>
    <cellStyle name="20 % - Markeringsfarve6 4 2" xfId="499"/>
    <cellStyle name="20 % - Markeringsfarve6 4 2 2" xfId="1334"/>
    <cellStyle name="20 % - Markeringsfarve6 4 2 2 2" xfId="3002"/>
    <cellStyle name="20 % - Markeringsfarve6 4 2 2 2 2" xfId="7991"/>
    <cellStyle name="20 % - Markeringsfarve6 4 2 2 3" xfId="4666"/>
    <cellStyle name="20 % - Markeringsfarve6 4 2 2 3 2" xfId="9652"/>
    <cellStyle name="20 % - Markeringsfarve6 4 2 2 4" xfId="6329"/>
    <cellStyle name="20 % - Markeringsfarve6 4 2 3" xfId="2173"/>
    <cellStyle name="20 % - Markeringsfarve6 4 2 3 2" xfId="7162"/>
    <cellStyle name="20 % - Markeringsfarve6 4 2 4" xfId="3837"/>
    <cellStyle name="20 % - Markeringsfarve6 4 2 4 2" xfId="8823"/>
    <cellStyle name="20 % - Markeringsfarve6 4 2 5" xfId="5500"/>
    <cellStyle name="20 % - Markeringsfarve6 4 2 6" xfId="10485"/>
    <cellStyle name="20 % - Markeringsfarve6 4 3" xfId="774"/>
    <cellStyle name="20 % - Markeringsfarve6 4 3 2" xfId="1608"/>
    <cellStyle name="20 % - Markeringsfarve6 4 3 2 2" xfId="3276"/>
    <cellStyle name="20 % - Markeringsfarve6 4 3 2 2 2" xfId="8265"/>
    <cellStyle name="20 % - Markeringsfarve6 4 3 2 3" xfId="4940"/>
    <cellStyle name="20 % - Markeringsfarve6 4 3 2 3 2" xfId="9926"/>
    <cellStyle name="20 % - Markeringsfarve6 4 3 2 4" xfId="6603"/>
    <cellStyle name="20 % - Markeringsfarve6 4 3 3" xfId="2445"/>
    <cellStyle name="20 % - Markeringsfarve6 4 3 3 2" xfId="7434"/>
    <cellStyle name="20 % - Markeringsfarve6 4 3 4" xfId="4109"/>
    <cellStyle name="20 % - Markeringsfarve6 4 3 4 2" xfId="9095"/>
    <cellStyle name="20 % - Markeringsfarve6 4 3 5" xfId="5772"/>
    <cellStyle name="20 % - Markeringsfarve6 4 3 6" xfId="10759"/>
    <cellStyle name="20 % - Markeringsfarve6 4 4" xfId="1055"/>
    <cellStyle name="20 % - Markeringsfarve6 4 4 2" xfId="2723"/>
    <cellStyle name="20 % - Markeringsfarve6 4 4 2 2" xfId="7712"/>
    <cellStyle name="20 % - Markeringsfarve6 4 4 3" xfId="4387"/>
    <cellStyle name="20 % - Markeringsfarve6 4 4 3 2" xfId="9373"/>
    <cellStyle name="20 % - Markeringsfarve6 4 4 4" xfId="6050"/>
    <cellStyle name="20 % - Markeringsfarve6 4 5" xfId="1893"/>
    <cellStyle name="20 % - Markeringsfarve6 4 5 2" xfId="6882"/>
    <cellStyle name="20 % - Markeringsfarve6 4 6" xfId="3558"/>
    <cellStyle name="20 % - Markeringsfarve6 4 6 2" xfId="8544"/>
    <cellStyle name="20 % - Markeringsfarve6 4 7" xfId="5221"/>
    <cellStyle name="20 % - Markeringsfarve6 4 8" xfId="10205"/>
    <cellStyle name="20 % - Markeringsfarve6 5" xfId="179"/>
    <cellStyle name="20 % - Markeringsfarve6 5 2" xfId="552"/>
    <cellStyle name="20 % - Markeringsfarve6 5 2 2" xfId="1387"/>
    <cellStyle name="20 % - Markeringsfarve6 5 2 2 2" xfId="3055"/>
    <cellStyle name="20 % - Markeringsfarve6 5 2 2 2 2" xfId="8044"/>
    <cellStyle name="20 % - Markeringsfarve6 5 2 2 3" xfId="4719"/>
    <cellStyle name="20 % - Markeringsfarve6 5 2 2 3 2" xfId="9705"/>
    <cellStyle name="20 % - Markeringsfarve6 5 2 2 4" xfId="6382"/>
    <cellStyle name="20 % - Markeringsfarve6 5 2 3" xfId="2224"/>
    <cellStyle name="20 % - Markeringsfarve6 5 2 3 2" xfId="7213"/>
    <cellStyle name="20 % - Markeringsfarve6 5 2 4" xfId="3888"/>
    <cellStyle name="20 % - Markeringsfarve6 5 2 4 2" xfId="8874"/>
    <cellStyle name="20 % - Markeringsfarve6 5 2 5" xfId="5551"/>
    <cellStyle name="20 % - Markeringsfarve6 5 2 6" xfId="10538"/>
    <cellStyle name="20 % - Markeringsfarve6 5 3" xfId="827"/>
    <cellStyle name="20 % - Markeringsfarve6 5 3 2" xfId="1661"/>
    <cellStyle name="20 % - Markeringsfarve6 5 3 2 2" xfId="3329"/>
    <cellStyle name="20 % - Markeringsfarve6 5 3 2 2 2" xfId="8318"/>
    <cellStyle name="20 % - Markeringsfarve6 5 3 2 3" xfId="4993"/>
    <cellStyle name="20 % - Markeringsfarve6 5 3 2 3 2" xfId="9979"/>
    <cellStyle name="20 % - Markeringsfarve6 5 3 2 4" xfId="6656"/>
    <cellStyle name="20 % - Markeringsfarve6 5 3 3" xfId="2498"/>
    <cellStyle name="20 % - Markeringsfarve6 5 3 3 2" xfId="7487"/>
    <cellStyle name="20 % - Markeringsfarve6 5 3 4" xfId="4162"/>
    <cellStyle name="20 % - Markeringsfarve6 5 3 4 2" xfId="9148"/>
    <cellStyle name="20 % - Markeringsfarve6 5 3 5" xfId="5825"/>
    <cellStyle name="20 % - Markeringsfarve6 5 3 6" xfId="10812"/>
    <cellStyle name="20 % - Markeringsfarve6 5 4" xfId="1108"/>
    <cellStyle name="20 % - Markeringsfarve6 5 4 2" xfId="2776"/>
    <cellStyle name="20 % - Markeringsfarve6 5 4 2 2" xfId="7765"/>
    <cellStyle name="20 % - Markeringsfarve6 5 4 3" xfId="4440"/>
    <cellStyle name="20 % - Markeringsfarve6 5 4 3 2" xfId="9426"/>
    <cellStyle name="20 % - Markeringsfarve6 5 4 4" xfId="6103"/>
    <cellStyle name="20 % - Markeringsfarve6 5 5" xfId="1946"/>
    <cellStyle name="20 % - Markeringsfarve6 5 5 2" xfId="6935"/>
    <cellStyle name="20 % - Markeringsfarve6 5 6" xfId="3611"/>
    <cellStyle name="20 % - Markeringsfarve6 5 6 2" xfId="8597"/>
    <cellStyle name="20 % - Markeringsfarve6 5 7" xfId="5274"/>
    <cellStyle name="20 % - Markeringsfarve6 5 8" xfId="10258"/>
    <cellStyle name="20 % - Markeringsfarve6 6" xfId="235"/>
    <cellStyle name="20 % - Markeringsfarve6 6 2" xfId="607"/>
    <cellStyle name="20 % - Markeringsfarve6 6 2 2" xfId="1442"/>
    <cellStyle name="20 % - Markeringsfarve6 6 2 2 2" xfId="3110"/>
    <cellStyle name="20 % - Markeringsfarve6 6 2 2 2 2" xfId="8099"/>
    <cellStyle name="20 % - Markeringsfarve6 6 2 2 3" xfId="4774"/>
    <cellStyle name="20 % - Markeringsfarve6 6 2 2 3 2" xfId="9760"/>
    <cellStyle name="20 % - Markeringsfarve6 6 2 2 4" xfId="6437"/>
    <cellStyle name="20 % - Markeringsfarve6 6 2 3" xfId="2279"/>
    <cellStyle name="20 % - Markeringsfarve6 6 2 3 2" xfId="7268"/>
    <cellStyle name="20 % - Markeringsfarve6 6 2 4" xfId="3943"/>
    <cellStyle name="20 % - Markeringsfarve6 6 2 4 2" xfId="8929"/>
    <cellStyle name="20 % - Markeringsfarve6 6 2 5" xfId="5606"/>
    <cellStyle name="20 % - Markeringsfarve6 6 2 6" xfId="10593"/>
    <cellStyle name="20 % - Markeringsfarve6 6 3" xfId="882"/>
    <cellStyle name="20 % - Markeringsfarve6 6 3 2" xfId="1716"/>
    <cellStyle name="20 % - Markeringsfarve6 6 3 2 2" xfId="3384"/>
    <cellStyle name="20 % - Markeringsfarve6 6 3 2 2 2" xfId="8373"/>
    <cellStyle name="20 % - Markeringsfarve6 6 3 2 3" xfId="5048"/>
    <cellStyle name="20 % - Markeringsfarve6 6 3 2 3 2" xfId="10034"/>
    <cellStyle name="20 % - Markeringsfarve6 6 3 2 4" xfId="6711"/>
    <cellStyle name="20 % - Markeringsfarve6 6 3 3" xfId="2553"/>
    <cellStyle name="20 % - Markeringsfarve6 6 3 3 2" xfId="7542"/>
    <cellStyle name="20 % - Markeringsfarve6 6 3 4" xfId="4217"/>
    <cellStyle name="20 % - Markeringsfarve6 6 3 4 2" xfId="9203"/>
    <cellStyle name="20 % - Markeringsfarve6 6 3 5" xfId="5880"/>
    <cellStyle name="20 % - Markeringsfarve6 6 3 6" xfId="10867"/>
    <cellStyle name="20 % - Markeringsfarve6 6 4" xfId="1163"/>
    <cellStyle name="20 % - Markeringsfarve6 6 4 2" xfId="2831"/>
    <cellStyle name="20 % - Markeringsfarve6 6 4 2 2" xfId="7820"/>
    <cellStyle name="20 % - Markeringsfarve6 6 4 3" xfId="4495"/>
    <cellStyle name="20 % - Markeringsfarve6 6 4 3 2" xfId="9481"/>
    <cellStyle name="20 % - Markeringsfarve6 6 4 4" xfId="6158"/>
    <cellStyle name="20 % - Markeringsfarve6 6 5" xfId="2001"/>
    <cellStyle name="20 % - Markeringsfarve6 6 5 2" xfId="6990"/>
    <cellStyle name="20 % - Markeringsfarve6 6 6" xfId="3666"/>
    <cellStyle name="20 % - Markeringsfarve6 6 6 2" xfId="8652"/>
    <cellStyle name="20 % - Markeringsfarve6 6 7" xfId="5329"/>
    <cellStyle name="20 % - Markeringsfarve6 6 8" xfId="10313"/>
    <cellStyle name="20 % - Markeringsfarve6 7" xfId="290"/>
    <cellStyle name="20 % - Markeringsfarve6 7 2" xfId="662"/>
    <cellStyle name="20 % - Markeringsfarve6 7 2 2" xfId="1497"/>
    <cellStyle name="20 % - Markeringsfarve6 7 2 2 2" xfId="3165"/>
    <cellStyle name="20 % - Markeringsfarve6 7 2 2 2 2" xfId="8154"/>
    <cellStyle name="20 % - Markeringsfarve6 7 2 2 3" xfId="4829"/>
    <cellStyle name="20 % - Markeringsfarve6 7 2 2 3 2" xfId="9815"/>
    <cellStyle name="20 % - Markeringsfarve6 7 2 2 4" xfId="6492"/>
    <cellStyle name="20 % - Markeringsfarve6 7 2 3" xfId="2334"/>
    <cellStyle name="20 % - Markeringsfarve6 7 2 3 2" xfId="7323"/>
    <cellStyle name="20 % - Markeringsfarve6 7 2 4" xfId="3998"/>
    <cellStyle name="20 % - Markeringsfarve6 7 2 4 2" xfId="8984"/>
    <cellStyle name="20 % - Markeringsfarve6 7 2 5" xfId="5661"/>
    <cellStyle name="20 % - Markeringsfarve6 7 2 6" xfId="10648"/>
    <cellStyle name="20 % - Markeringsfarve6 7 3" xfId="937"/>
    <cellStyle name="20 % - Markeringsfarve6 7 3 2" xfId="1771"/>
    <cellStyle name="20 % - Markeringsfarve6 7 3 2 2" xfId="3439"/>
    <cellStyle name="20 % - Markeringsfarve6 7 3 2 2 2" xfId="8428"/>
    <cellStyle name="20 % - Markeringsfarve6 7 3 2 3" xfId="5103"/>
    <cellStyle name="20 % - Markeringsfarve6 7 3 2 3 2" xfId="10089"/>
    <cellStyle name="20 % - Markeringsfarve6 7 3 2 4" xfId="6766"/>
    <cellStyle name="20 % - Markeringsfarve6 7 3 3" xfId="2608"/>
    <cellStyle name="20 % - Markeringsfarve6 7 3 3 2" xfId="7597"/>
    <cellStyle name="20 % - Markeringsfarve6 7 3 4" xfId="4272"/>
    <cellStyle name="20 % - Markeringsfarve6 7 3 4 2" xfId="9258"/>
    <cellStyle name="20 % - Markeringsfarve6 7 3 5" xfId="5935"/>
    <cellStyle name="20 % - Markeringsfarve6 7 3 6" xfId="10922"/>
    <cellStyle name="20 % - Markeringsfarve6 7 4" xfId="1218"/>
    <cellStyle name="20 % - Markeringsfarve6 7 4 2" xfId="2886"/>
    <cellStyle name="20 % - Markeringsfarve6 7 4 2 2" xfId="7875"/>
    <cellStyle name="20 % - Markeringsfarve6 7 4 3" xfId="4550"/>
    <cellStyle name="20 % - Markeringsfarve6 7 4 3 2" xfId="9536"/>
    <cellStyle name="20 % - Markeringsfarve6 7 4 4" xfId="6213"/>
    <cellStyle name="20 % - Markeringsfarve6 7 5" xfId="2056"/>
    <cellStyle name="20 % - Markeringsfarve6 7 5 2" xfId="7045"/>
    <cellStyle name="20 % - Markeringsfarve6 7 6" xfId="3721"/>
    <cellStyle name="20 % - Markeringsfarve6 7 6 2" xfId="8707"/>
    <cellStyle name="20 % - Markeringsfarve6 7 7" xfId="5384"/>
    <cellStyle name="20 % - Markeringsfarve6 7 8" xfId="10368"/>
    <cellStyle name="20 % - Markeringsfarve6 8" xfId="444"/>
    <cellStyle name="20 % - Markeringsfarve6 8 2" xfId="1279"/>
    <cellStyle name="20 % - Markeringsfarve6 8 2 2" xfId="2947"/>
    <cellStyle name="20 % - Markeringsfarve6 8 2 2 2" xfId="7936"/>
    <cellStyle name="20 % - Markeringsfarve6 8 2 3" xfId="4611"/>
    <cellStyle name="20 % - Markeringsfarve6 8 2 3 2" xfId="9597"/>
    <cellStyle name="20 % - Markeringsfarve6 8 2 4" xfId="6274"/>
    <cellStyle name="20 % - Markeringsfarve6 8 3" xfId="2118"/>
    <cellStyle name="20 % - Markeringsfarve6 8 3 2" xfId="7107"/>
    <cellStyle name="20 % - Markeringsfarve6 8 4" xfId="3782"/>
    <cellStyle name="20 % - Markeringsfarve6 8 4 2" xfId="8768"/>
    <cellStyle name="20 % - Markeringsfarve6 8 5" xfId="5445"/>
    <cellStyle name="20 % - Markeringsfarve6 8 6" xfId="10453"/>
    <cellStyle name="20 % - Markeringsfarve6 9" xfId="719"/>
    <cellStyle name="20 % - Markeringsfarve6 9 2" xfId="1553"/>
    <cellStyle name="20 % - Markeringsfarve6 9 2 2" xfId="3221"/>
    <cellStyle name="20 % - Markeringsfarve6 9 2 2 2" xfId="8210"/>
    <cellStyle name="20 % - Markeringsfarve6 9 2 3" xfId="4885"/>
    <cellStyle name="20 % - Markeringsfarve6 9 2 3 2" xfId="9871"/>
    <cellStyle name="20 % - Markeringsfarve6 9 2 4" xfId="6548"/>
    <cellStyle name="20 % - Markeringsfarve6 9 3" xfId="2390"/>
    <cellStyle name="20 % - Markeringsfarve6 9 3 2" xfId="7379"/>
    <cellStyle name="20 % - Markeringsfarve6 9 4" xfId="4054"/>
    <cellStyle name="20 % - Markeringsfarve6 9 4 2" xfId="9040"/>
    <cellStyle name="20 % - Markeringsfarve6 9 5" xfId="5717"/>
    <cellStyle name="20 % - Markeringsfarve6 9 6" xfId="10704"/>
    <cellStyle name="20% - Accent1" xfId="345"/>
    <cellStyle name="20% - Accent2" xfId="346"/>
    <cellStyle name="20% - Accent3" xfId="347"/>
    <cellStyle name="20% - Accent4" xfId="348"/>
    <cellStyle name="20% - Accent5" xfId="349"/>
    <cellStyle name="20% - Accent6" xfId="350"/>
    <cellStyle name="40 % - Markeringsfarve1" xfId="21" builtinId="31" customBuiltin="1"/>
    <cellStyle name="40 % - Markeringsfarve1 10" xfId="991"/>
    <cellStyle name="40 % - Markeringsfarve1 10 2" xfId="2659"/>
    <cellStyle name="40 % - Markeringsfarve1 10 2 2" xfId="7648"/>
    <cellStyle name="40 % - Markeringsfarve1 10 3" xfId="4323"/>
    <cellStyle name="40 % - Markeringsfarve1 10 3 2" xfId="9309"/>
    <cellStyle name="40 % - Markeringsfarve1 10 4" xfId="5986"/>
    <cellStyle name="40 % - Markeringsfarve1 11" xfId="1826"/>
    <cellStyle name="40 % - Markeringsfarve1 11 2" xfId="6818"/>
    <cellStyle name="40 % - Markeringsfarve1 12" xfId="3494"/>
    <cellStyle name="40 % - Markeringsfarve1 12 2" xfId="8480"/>
    <cellStyle name="40 % - Markeringsfarve1 13" xfId="5157"/>
    <cellStyle name="40 % - Markeringsfarve1 14" xfId="10141"/>
    <cellStyle name="40 % - Markeringsfarve1 2" xfId="71"/>
    <cellStyle name="40 % - Markeringsfarve1 2 10" xfId="3518"/>
    <cellStyle name="40 % - Markeringsfarve1 2 10 2" xfId="8504"/>
    <cellStyle name="40 % - Markeringsfarve1 2 11" xfId="5181"/>
    <cellStyle name="40 % - Markeringsfarve1 2 12" xfId="10164"/>
    <cellStyle name="40 % - Markeringsfarve1 2 2" xfId="139"/>
    <cellStyle name="40 % - Markeringsfarve1 2 2 2" xfId="512"/>
    <cellStyle name="40 % - Markeringsfarve1 2 2 2 2" xfId="1347"/>
    <cellStyle name="40 % - Markeringsfarve1 2 2 2 2 2" xfId="3015"/>
    <cellStyle name="40 % - Markeringsfarve1 2 2 2 2 2 2" xfId="8004"/>
    <cellStyle name="40 % - Markeringsfarve1 2 2 2 2 3" xfId="4679"/>
    <cellStyle name="40 % - Markeringsfarve1 2 2 2 2 3 2" xfId="9665"/>
    <cellStyle name="40 % - Markeringsfarve1 2 2 2 2 4" xfId="6342"/>
    <cellStyle name="40 % - Markeringsfarve1 2 2 2 3" xfId="2184"/>
    <cellStyle name="40 % - Markeringsfarve1 2 2 2 3 2" xfId="7173"/>
    <cellStyle name="40 % - Markeringsfarve1 2 2 2 4" xfId="3848"/>
    <cellStyle name="40 % - Markeringsfarve1 2 2 2 4 2" xfId="8834"/>
    <cellStyle name="40 % - Markeringsfarve1 2 2 2 5" xfId="5511"/>
    <cellStyle name="40 % - Markeringsfarve1 2 2 2 6" xfId="10498"/>
    <cellStyle name="40 % - Markeringsfarve1 2 2 3" xfId="787"/>
    <cellStyle name="40 % - Markeringsfarve1 2 2 3 2" xfId="1621"/>
    <cellStyle name="40 % - Markeringsfarve1 2 2 3 2 2" xfId="3289"/>
    <cellStyle name="40 % - Markeringsfarve1 2 2 3 2 2 2" xfId="8278"/>
    <cellStyle name="40 % - Markeringsfarve1 2 2 3 2 3" xfId="4953"/>
    <cellStyle name="40 % - Markeringsfarve1 2 2 3 2 3 2" xfId="9939"/>
    <cellStyle name="40 % - Markeringsfarve1 2 2 3 2 4" xfId="6616"/>
    <cellStyle name="40 % - Markeringsfarve1 2 2 3 3" xfId="2458"/>
    <cellStyle name="40 % - Markeringsfarve1 2 2 3 3 2" xfId="7447"/>
    <cellStyle name="40 % - Markeringsfarve1 2 2 3 4" xfId="4122"/>
    <cellStyle name="40 % - Markeringsfarve1 2 2 3 4 2" xfId="9108"/>
    <cellStyle name="40 % - Markeringsfarve1 2 2 3 5" xfId="5785"/>
    <cellStyle name="40 % - Markeringsfarve1 2 2 3 6" xfId="10772"/>
    <cellStyle name="40 % - Markeringsfarve1 2 2 4" xfId="1068"/>
    <cellStyle name="40 % - Markeringsfarve1 2 2 4 2" xfId="2736"/>
    <cellStyle name="40 % - Markeringsfarve1 2 2 4 2 2" xfId="7725"/>
    <cellStyle name="40 % - Markeringsfarve1 2 2 4 3" xfId="4400"/>
    <cellStyle name="40 % - Markeringsfarve1 2 2 4 3 2" xfId="9386"/>
    <cellStyle name="40 % - Markeringsfarve1 2 2 4 4" xfId="6063"/>
    <cellStyle name="40 % - Markeringsfarve1 2 2 5" xfId="1906"/>
    <cellStyle name="40 % - Markeringsfarve1 2 2 5 2" xfId="6895"/>
    <cellStyle name="40 % - Markeringsfarve1 2 2 6" xfId="3571"/>
    <cellStyle name="40 % - Markeringsfarve1 2 2 6 2" xfId="8557"/>
    <cellStyle name="40 % - Markeringsfarve1 2 2 7" xfId="5234"/>
    <cellStyle name="40 % - Markeringsfarve1 2 2 8" xfId="10218"/>
    <cellStyle name="40 % - Markeringsfarve1 2 3" xfId="194"/>
    <cellStyle name="40 % - Markeringsfarve1 2 3 2" xfId="566"/>
    <cellStyle name="40 % - Markeringsfarve1 2 3 2 2" xfId="1401"/>
    <cellStyle name="40 % - Markeringsfarve1 2 3 2 2 2" xfId="3069"/>
    <cellStyle name="40 % - Markeringsfarve1 2 3 2 2 2 2" xfId="8058"/>
    <cellStyle name="40 % - Markeringsfarve1 2 3 2 2 3" xfId="4733"/>
    <cellStyle name="40 % - Markeringsfarve1 2 3 2 2 3 2" xfId="9719"/>
    <cellStyle name="40 % - Markeringsfarve1 2 3 2 2 4" xfId="6396"/>
    <cellStyle name="40 % - Markeringsfarve1 2 3 2 3" xfId="2238"/>
    <cellStyle name="40 % - Markeringsfarve1 2 3 2 3 2" xfId="7227"/>
    <cellStyle name="40 % - Markeringsfarve1 2 3 2 4" xfId="3902"/>
    <cellStyle name="40 % - Markeringsfarve1 2 3 2 4 2" xfId="8888"/>
    <cellStyle name="40 % - Markeringsfarve1 2 3 2 5" xfId="5565"/>
    <cellStyle name="40 % - Markeringsfarve1 2 3 2 6" xfId="10552"/>
    <cellStyle name="40 % - Markeringsfarve1 2 3 3" xfId="841"/>
    <cellStyle name="40 % - Markeringsfarve1 2 3 3 2" xfId="1675"/>
    <cellStyle name="40 % - Markeringsfarve1 2 3 3 2 2" xfId="3343"/>
    <cellStyle name="40 % - Markeringsfarve1 2 3 3 2 2 2" xfId="8332"/>
    <cellStyle name="40 % - Markeringsfarve1 2 3 3 2 3" xfId="5007"/>
    <cellStyle name="40 % - Markeringsfarve1 2 3 3 2 3 2" xfId="9993"/>
    <cellStyle name="40 % - Markeringsfarve1 2 3 3 2 4" xfId="6670"/>
    <cellStyle name="40 % - Markeringsfarve1 2 3 3 3" xfId="2512"/>
    <cellStyle name="40 % - Markeringsfarve1 2 3 3 3 2" xfId="7501"/>
    <cellStyle name="40 % - Markeringsfarve1 2 3 3 4" xfId="4176"/>
    <cellStyle name="40 % - Markeringsfarve1 2 3 3 4 2" xfId="9162"/>
    <cellStyle name="40 % - Markeringsfarve1 2 3 3 5" xfId="5839"/>
    <cellStyle name="40 % - Markeringsfarve1 2 3 3 6" xfId="10826"/>
    <cellStyle name="40 % - Markeringsfarve1 2 3 4" xfId="1122"/>
    <cellStyle name="40 % - Markeringsfarve1 2 3 4 2" xfId="2790"/>
    <cellStyle name="40 % - Markeringsfarve1 2 3 4 2 2" xfId="7779"/>
    <cellStyle name="40 % - Markeringsfarve1 2 3 4 3" xfId="4454"/>
    <cellStyle name="40 % - Markeringsfarve1 2 3 4 3 2" xfId="9440"/>
    <cellStyle name="40 % - Markeringsfarve1 2 3 4 4" xfId="6117"/>
    <cellStyle name="40 % - Markeringsfarve1 2 3 5" xfId="1960"/>
    <cellStyle name="40 % - Markeringsfarve1 2 3 5 2" xfId="6949"/>
    <cellStyle name="40 % - Markeringsfarve1 2 3 6" xfId="3625"/>
    <cellStyle name="40 % - Markeringsfarve1 2 3 6 2" xfId="8611"/>
    <cellStyle name="40 % - Markeringsfarve1 2 3 7" xfId="5288"/>
    <cellStyle name="40 % - Markeringsfarve1 2 3 8" xfId="10272"/>
    <cellStyle name="40 % - Markeringsfarve1 2 4" xfId="249"/>
    <cellStyle name="40 % - Markeringsfarve1 2 4 2" xfId="621"/>
    <cellStyle name="40 % - Markeringsfarve1 2 4 2 2" xfId="1456"/>
    <cellStyle name="40 % - Markeringsfarve1 2 4 2 2 2" xfId="3124"/>
    <cellStyle name="40 % - Markeringsfarve1 2 4 2 2 2 2" xfId="8113"/>
    <cellStyle name="40 % - Markeringsfarve1 2 4 2 2 3" xfId="4788"/>
    <cellStyle name="40 % - Markeringsfarve1 2 4 2 2 3 2" xfId="9774"/>
    <cellStyle name="40 % - Markeringsfarve1 2 4 2 2 4" xfId="6451"/>
    <cellStyle name="40 % - Markeringsfarve1 2 4 2 3" xfId="2293"/>
    <cellStyle name="40 % - Markeringsfarve1 2 4 2 3 2" xfId="7282"/>
    <cellStyle name="40 % - Markeringsfarve1 2 4 2 4" xfId="3957"/>
    <cellStyle name="40 % - Markeringsfarve1 2 4 2 4 2" xfId="8943"/>
    <cellStyle name="40 % - Markeringsfarve1 2 4 2 5" xfId="5620"/>
    <cellStyle name="40 % - Markeringsfarve1 2 4 2 6" xfId="10607"/>
    <cellStyle name="40 % - Markeringsfarve1 2 4 3" xfId="896"/>
    <cellStyle name="40 % - Markeringsfarve1 2 4 3 2" xfId="1730"/>
    <cellStyle name="40 % - Markeringsfarve1 2 4 3 2 2" xfId="3398"/>
    <cellStyle name="40 % - Markeringsfarve1 2 4 3 2 2 2" xfId="8387"/>
    <cellStyle name="40 % - Markeringsfarve1 2 4 3 2 3" xfId="5062"/>
    <cellStyle name="40 % - Markeringsfarve1 2 4 3 2 3 2" xfId="10048"/>
    <cellStyle name="40 % - Markeringsfarve1 2 4 3 2 4" xfId="6725"/>
    <cellStyle name="40 % - Markeringsfarve1 2 4 3 3" xfId="2567"/>
    <cellStyle name="40 % - Markeringsfarve1 2 4 3 3 2" xfId="7556"/>
    <cellStyle name="40 % - Markeringsfarve1 2 4 3 4" xfId="4231"/>
    <cellStyle name="40 % - Markeringsfarve1 2 4 3 4 2" xfId="9217"/>
    <cellStyle name="40 % - Markeringsfarve1 2 4 3 5" xfId="5894"/>
    <cellStyle name="40 % - Markeringsfarve1 2 4 3 6" xfId="10881"/>
    <cellStyle name="40 % - Markeringsfarve1 2 4 4" xfId="1177"/>
    <cellStyle name="40 % - Markeringsfarve1 2 4 4 2" xfId="2845"/>
    <cellStyle name="40 % - Markeringsfarve1 2 4 4 2 2" xfId="7834"/>
    <cellStyle name="40 % - Markeringsfarve1 2 4 4 3" xfId="4509"/>
    <cellStyle name="40 % - Markeringsfarve1 2 4 4 3 2" xfId="9495"/>
    <cellStyle name="40 % - Markeringsfarve1 2 4 4 4" xfId="6172"/>
    <cellStyle name="40 % - Markeringsfarve1 2 4 5" xfId="2015"/>
    <cellStyle name="40 % - Markeringsfarve1 2 4 5 2" xfId="7004"/>
    <cellStyle name="40 % - Markeringsfarve1 2 4 6" xfId="3680"/>
    <cellStyle name="40 % - Markeringsfarve1 2 4 6 2" xfId="8666"/>
    <cellStyle name="40 % - Markeringsfarve1 2 4 7" xfId="5343"/>
    <cellStyle name="40 % - Markeringsfarve1 2 4 8" xfId="10327"/>
    <cellStyle name="40 % - Markeringsfarve1 2 5" xfId="305"/>
    <cellStyle name="40 % - Markeringsfarve1 2 5 2" xfId="677"/>
    <cellStyle name="40 % - Markeringsfarve1 2 5 2 2" xfId="1512"/>
    <cellStyle name="40 % - Markeringsfarve1 2 5 2 2 2" xfId="3180"/>
    <cellStyle name="40 % - Markeringsfarve1 2 5 2 2 2 2" xfId="8169"/>
    <cellStyle name="40 % - Markeringsfarve1 2 5 2 2 3" xfId="4844"/>
    <cellStyle name="40 % - Markeringsfarve1 2 5 2 2 3 2" xfId="9830"/>
    <cellStyle name="40 % - Markeringsfarve1 2 5 2 2 4" xfId="6507"/>
    <cellStyle name="40 % - Markeringsfarve1 2 5 2 3" xfId="2349"/>
    <cellStyle name="40 % - Markeringsfarve1 2 5 2 3 2" xfId="7338"/>
    <cellStyle name="40 % - Markeringsfarve1 2 5 2 4" xfId="4013"/>
    <cellStyle name="40 % - Markeringsfarve1 2 5 2 4 2" xfId="8999"/>
    <cellStyle name="40 % - Markeringsfarve1 2 5 2 5" xfId="5676"/>
    <cellStyle name="40 % - Markeringsfarve1 2 5 2 6" xfId="10663"/>
    <cellStyle name="40 % - Markeringsfarve1 2 5 3" xfId="952"/>
    <cellStyle name="40 % - Markeringsfarve1 2 5 3 2" xfId="1786"/>
    <cellStyle name="40 % - Markeringsfarve1 2 5 3 2 2" xfId="3454"/>
    <cellStyle name="40 % - Markeringsfarve1 2 5 3 2 2 2" xfId="8443"/>
    <cellStyle name="40 % - Markeringsfarve1 2 5 3 2 3" xfId="5118"/>
    <cellStyle name="40 % - Markeringsfarve1 2 5 3 2 3 2" xfId="10104"/>
    <cellStyle name="40 % - Markeringsfarve1 2 5 3 2 4" xfId="6781"/>
    <cellStyle name="40 % - Markeringsfarve1 2 5 3 3" xfId="2623"/>
    <cellStyle name="40 % - Markeringsfarve1 2 5 3 3 2" xfId="7612"/>
    <cellStyle name="40 % - Markeringsfarve1 2 5 3 4" xfId="4287"/>
    <cellStyle name="40 % - Markeringsfarve1 2 5 3 4 2" xfId="9273"/>
    <cellStyle name="40 % - Markeringsfarve1 2 5 3 5" xfId="5950"/>
    <cellStyle name="40 % - Markeringsfarve1 2 5 3 6" xfId="10937"/>
    <cellStyle name="40 % - Markeringsfarve1 2 5 4" xfId="1233"/>
    <cellStyle name="40 % - Markeringsfarve1 2 5 4 2" xfId="2901"/>
    <cellStyle name="40 % - Markeringsfarve1 2 5 4 2 2" xfId="7890"/>
    <cellStyle name="40 % - Markeringsfarve1 2 5 4 3" xfId="4565"/>
    <cellStyle name="40 % - Markeringsfarve1 2 5 4 3 2" xfId="9551"/>
    <cellStyle name="40 % - Markeringsfarve1 2 5 4 4" xfId="6228"/>
    <cellStyle name="40 % - Markeringsfarve1 2 5 5" xfId="2071"/>
    <cellStyle name="40 % - Markeringsfarve1 2 5 5 2" xfId="7060"/>
    <cellStyle name="40 % - Markeringsfarve1 2 5 6" xfId="3736"/>
    <cellStyle name="40 % - Markeringsfarve1 2 5 6 2" xfId="8722"/>
    <cellStyle name="40 % - Markeringsfarve1 2 5 7" xfId="5399"/>
    <cellStyle name="40 % - Markeringsfarve1 2 5 8" xfId="10383"/>
    <cellStyle name="40 % - Markeringsfarve1 2 6" xfId="458"/>
    <cellStyle name="40 % - Markeringsfarve1 2 6 2" xfId="1293"/>
    <cellStyle name="40 % - Markeringsfarve1 2 6 2 2" xfId="2961"/>
    <cellStyle name="40 % - Markeringsfarve1 2 6 2 2 2" xfId="7950"/>
    <cellStyle name="40 % - Markeringsfarve1 2 6 2 3" xfId="4625"/>
    <cellStyle name="40 % - Markeringsfarve1 2 6 2 3 2" xfId="9611"/>
    <cellStyle name="40 % - Markeringsfarve1 2 6 2 4" xfId="6288"/>
    <cellStyle name="40 % - Markeringsfarve1 2 6 3" xfId="2132"/>
    <cellStyle name="40 % - Markeringsfarve1 2 6 3 2" xfId="7121"/>
    <cellStyle name="40 % - Markeringsfarve1 2 6 4" xfId="3796"/>
    <cellStyle name="40 % - Markeringsfarve1 2 6 4 2" xfId="8782"/>
    <cellStyle name="40 % - Markeringsfarve1 2 6 5" xfId="5459"/>
    <cellStyle name="40 % - Markeringsfarve1 2 6 6" xfId="10418"/>
    <cellStyle name="40 % - Markeringsfarve1 2 7" xfId="733"/>
    <cellStyle name="40 % - Markeringsfarve1 2 7 2" xfId="1567"/>
    <cellStyle name="40 % - Markeringsfarve1 2 7 2 2" xfId="3235"/>
    <cellStyle name="40 % - Markeringsfarve1 2 7 2 2 2" xfId="8224"/>
    <cellStyle name="40 % - Markeringsfarve1 2 7 2 3" xfId="4899"/>
    <cellStyle name="40 % - Markeringsfarve1 2 7 2 3 2" xfId="9885"/>
    <cellStyle name="40 % - Markeringsfarve1 2 7 2 4" xfId="6562"/>
    <cellStyle name="40 % - Markeringsfarve1 2 7 3" xfId="2404"/>
    <cellStyle name="40 % - Markeringsfarve1 2 7 3 2" xfId="7393"/>
    <cellStyle name="40 % - Markeringsfarve1 2 7 4" xfId="4068"/>
    <cellStyle name="40 % - Markeringsfarve1 2 7 4 2" xfId="9054"/>
    <cellStyle name="40 % - Markeringsfarve1 2 7 5" xfId="5731"/>
    <cellStyle name="40 % - Markeringsfarve1 2 7 6" xfId="10718"/>
    <cellStyle name="40 % - Markeringsfarve1 2 8" xfId="1014"/>
    <cellStyle name="40 % - Markeringsfarve1 2 8 2" xfId="2682"/>
    <cellStyle name="40 % - Markeringsfarve1 2 8 2 2" xfId="7671"/>
    <cellStyle name="40 % - Markeringsfarve1 2 8 3" xfId="4346"/>
    <cellStyle name="40 % - Markeringsfarve1 2 8 3 2" xfId="9332"/>
    <cellStyle name="40 % - Markeringsfarve1 2 8 4" xfId="6009"/>
    <cellStyle name="40 % - Markeringsfarve1 2 9" xfId="1850"/>
    <cellStyle name="40 % - Markeringsfarve1 2 9 2" xfId="6842"/>
    <cellStyle name="40 % - Markeringsfarve1 3" xfId="98"/>
    <cellStyle name="40 % - Markeringsfarve1 3 10" xfId="3537"/>
    <cellStyle name="40 % - Markeringsfarve1 3 10 2" xfId="8523"/>
    <cellStyle name="40 % - Markeringsfarve1 3 11" xfId="5200"/>
    <cellStyle name="40 % - Markeringsfarve1 3 12" xfId="10183"/>
    <cellStyle name="40 % - Markeringsfarve1 3 2" xfId="158"/>
    <cellStyle name="40 % - Markeringsfarve1 3 2 2" xfId="531"/>
    <cellStyle name="40 % - Markeringsfarve1 3 2 2 2" xfId="1366"/>
    <cellStyle name="40 % - Markeringsfarve1 3 2 2 2 2" xfId="3034"/>
    <cellStyle name="40 % - Markeringsfarve1 3 2 2 2 2 2" xfId="8023"/>
    <cellStyle name="40 % - Markeringsfarve1 3 2 2 2 3" xfId="4698"/>
    <cellStyle name="40 % - Markeringsfarve1 3 2 2 2 3 2" xfId="9684"/>
    <cellStyle name="40 % - Markeringsfarve1 3 2 2 2 4" xfId="6361"/>
    <cellStyle name="40 % - Markeringsfarve1 3 2 2 3" xfId="2203"/>
    <cellStyle name="40 % - Markeringsfarve1 3 2 2 3 2" xfId="7192"/>
    <cellStyle name="40 % - Markeringsfarve1 3 2 2 4" xfId="3867"/>
    <cellStyle name="40 % - Markeringsfarve1 3 2 2 4 2" xfId="8853"/>
    <cellStyle name="40 % - Markeringsfarve1 3 2 2 5" xfId="5530"/>
    <cellStyle name="40 % - Markeringsfarve1 3 2 2 6" xfId="10517"/>
    <cellStyle name="40 % - Markeringsfarve1 3 2 3" xfId="806"/>
    <cellStyle name="40 % - Markeringsfarve1 3 2 3 2" xfId="1640"/>
    <cellStyle name="40 % - Markeringsfarve1 3 2 3 2 2" xfId="3308"/>
    <cellStyle name="40 % - Markeringsfarve1 3 2 3 2 2 2" xfId="8297"/>
    <cellStyle name="40 % - Markeringsfarve1 3 2 3 2 3" xfId="4972"/>
    <cellStyle name="40 % - Markeringsfarve1 3 2 3 2 3 2" xfId="9958"/>
    <cellStyle name="40 % - Markeringsfarve1 3 2 3 2 4" xfId="6635"/>
    <cellStyle name="40 % - Markeringsfarve1 3 2 3 3" xfId="2477"/>
    <cellStyle name="40 % - Markeringsfarve1 3 2 3 3 2" xfId="7466"/>
    <cellStyle name="40 % - Markeringsfarve1 3 2 3 4" xfId="4141"/>
    <cellStyle name="40 % - Markeringsfarve1 3 2 3 4 2" xfId="9127"/>
    <cellStyle name="40 % - Markeringsfarve1 3 2 3 5" xfId="5804"/>
    <cellStyle name="40 % - Markeringsfarve1 3 2 3 6" xfId="10791"/>
    <cellStyle name="40 % - Markeringsfarve1 3 2 4" xfId="1087"/>
    <cellStyle name="40 % - Markeringsfarve1 3 2 4 2" xfId="2755"/>
    <cellStyle name="40 % - Markeringsfarve1 3 2 4 2 2" xfId="7744"/>
    <cellStyle name="40 % - Markeringsfarve1 3 2 4 3" xfId="4419"/>
    <cellStyle name="40 % - Markeringsfarve1 3 2 4 3 2" xfId="9405"/>
    <cellStyle name="40 % - Markeringsfarve1 3 2 4 4" xfId="6082"/>
    <cellStyle name="40 % - Markeringsfarve1 3 2 5" xfId="1925"/>
    <cellStyle name="40 % - Markeringsfarve1 3 2 5 2" xfId="6914"/>
    <cellStyle name="40 % - Markeringsfarve1 3 2 6" xfId="3590"/>
    <cellStyle name="40 % - Markeringsfarve1 3 2 6 2" xfId="8576"/>
    <cellStyle name="40 % - Markeringsfarve1 3 2 7" xfId="5253"/>
    <cellStyle name="40 % - Markeringsfarve1 3 2 8" xfId="10237"/>
    <cellStyle name="40 % - Markeringsfarve1 3 3" xfId="213"/>
    <cellStyle name="40 % - Markeringsfarve1 3 3 2" xfId="585"/>
    <cellStyle name="40 % - Markeringsfarve1 3 3 2 2" xfId="1420"/>
    <cellStyle name="40 % - Markeringsfarve1 3 3 2 2 2" xfId="3088"/>
    <cellStyle name="40 % - Markeringsfarve1 3 3 2 2 2 2" xfId="8077"/>
    <cellStyle name="40 % - Markeringsfarve1 3 3 2 2 3" xfId="4752"/>
    <cellStyle name="40 % - Markeringsfarve1 3 3 2 2 3 2" xfId="9738"/>
    <cellStyle name="40 % - Markeringsfarve1 3 3 2 2 4" xfId="6415"/>
    <cellStyle name="40 % - Markeringsfarve1 3 3 2 3" xfId="2257"/>
    <cellStyle name="40 % - Markeringsfarve1 3 3 2 3 2" xfId="7246"/>
    <cellStyle name="40 % - Markeringsfarve1 3 3 2 4" xfId="3921"/>
    <cellStyle name="40 % - Markeringsfarve1 3 3 2 4 2" xfId="8907"/>
    <cellStyle name="40 % - Markeringsfarve1 3 3 2 5" xfId="5584"/>
    <cellStyle name="40 % - Markeringsfarve1 3 3 2 6" xfId="10571"/>
    <cellStyle name="40 % - Markeringsfarve1 3 3 3" xfId="860"/>
    <cellStyle name="40 % - Markeringsfarve1 3 3 3 2" xfId="1694"/>
    <cellStyle name="40 % - Markeringsfarve1 3 3 3 2 2" xfId="3362"/>
    <cellStyle name="40 % - Markeringsfarve1 3 3 3 2 2 2" xfId="8351"/>
    <cellStyle name="40 % - Markeringsfarve1 3 3 3 2 3" xfId="5026"/>
    <cellStyle name="40 % - Markeringsfarve1 3 3 3 2 3 2" xfId="10012"/>
    <cellStyle name="40 % - Markeringsfarve1 3 3 3 2 4" xfId="6689"/>
    <cellStyle name="40 % - Markeringsfarve1 3 3 3 3" xfId="2531"/>
    <cellStyle name="40 % - Markeringsfarve1 3 3 3 3 2" xfId="7520"/>
    <cellStyle name="40 % - Markeringsfarve1 3 3 3 4" xfId="4195"/>
    <cellStyle name="40 % - Markeringsfarve1 3 3 3 4 2" xfId="9181"/>
    <cellStyle name="40 % - Markeringsfarve1 3 3 3 5" xfId="5858"/>
    <cellStyle name="40 % - Markeringsfarve1 3 3 3 6" xfId="10845"/>
    <cellStyle name="40 % - Markeringsfarve1 3 3 4" xfId="1141"/>
    <cellStyle name="40 % - Markeringsfarve1 3 3 4 2" xfId="2809"/>
    <cellStyle name="40 % - Markeringsfarve1 3 3 4 2 2" xfId="7798"/>
    <cellStyle name="40 % - Markeringsfarve1 3 3 4 3" xfId="4473"/>
    <cellStyle name="40 % - Markeringsfarve1 3 3 4 3 2" xfId="9459"/>
    <cellStyle name="40 % - Markeringsfarve1 3 3 4 4" xfId="6136"/>
    <cellStyle name="40 % - Markeringsfarve1 3 3 5" xfId="1979"/>
    <cellStyle name="40 % - Markeringsfarve1 3 3 5 2" xfId="6968"/>
    <cellStyle name="40 % - Markeringsfarve1 3 3 6" xfId="3644"/>
    <cellStyle name="40 % - Markeringsfarve1 3 3 6 2" xfId="8630"/>
    <cellStyle name="40 % - Markeringsfarve1 3 3 7" xfId="5307"/>
    <cellStyle name="40 % - Markeringsfarve1 3 3 8" xfId="10291"/>
    <cellStyle name="40 % - Markeringsfarve1 3 4" xfId="268"/>
    <cellStyle name="40 % - Markeringsfarve1 3 4 2" xfId="640"/>
    <cellStyle name="40 % - Markeringsfarve1 3 4 2 2" xfId="1475"/>
    <cellStyle name="40 % - Markeringsfarve1 3 4 2 2 2" xfId="3143"/>
    <cellStyle name="40 % - Markeringsfarve1 3 4 2 2 2 2" xfId="8132"/>
    <cellStyle name="40 % - Markeringsfarve1 3 4 2 2 3" xfId="4807"/>
    <cellStyle name="40 % - Markeringsfarve1 3 4 2 2 3 2" xfId="9793"/>
    <cellStyle name="40 % - Markeringsfarve1 3 4 2 2 4" xfId="6470"/>
    <cellStyle name="40 % - Markeringsfarve1 3 4 2 3" xfId="2312"/>
    <cellStyle name="40 % - Markeringsfarve1 3 4 2 3 2" xfId="7301"/>
    <cellStyle name="40 % - Markeringsfarve1 3 4 2 4" xfId="3976"/>
    <cellStyle name="40 % - Markeringsfarve1 3 4 2 4 2" xfId="8962"/>
    <cellStyle name="40 % - Markeringsfarve1 3 4 2 5" xfId="5639"/>
    <cellStyle name="40 % - Markeringsfarve1 3 4 2 6" xfId="10626"/>
    <cellStyle name="40 % - Markeringsfarve1 3 4 3" xfId="915"/>
    <cellStyle name="40 % - Markeringsfarve1 3 4 3 2" xfId="1749"/>
    <cellStyle name="40 % - Markeringsfarve1 3 4 3 2 2" xfId="3417"/>
    <cellStyle name="40 % - Markeringsfarve1 3 4 3 2 2 2" xfId="8406"/>
    <cellStyle name="40 % - Markeringsfarve1 3 4 3 2 3" xfId="5081"/>
    <cellStyle name="40 % - Markeringsfarve1 3 4 3 2 3 2" xfId="10067"/>
    <cellStyle name="40 % - Markeringsfarve1 3 4 3 2 4" xfId="6744"/>
    <cellStyle name="40 % - Markeringsfarve1 3 4 3 3" xfId="2586"/>
    <cellStyle name="40 % - Markeringsfarve1 3 4 3 3 2" xfId="7575"/>
    <cellStyle name="40 % - Markeringsfarve1 3 4 3 4" xfId="4250"/>
    <cellStyle name="40 % - Markeringsfarve1 3 4 3 4 2" xfId="9236"/>
    <cellStyle name="40 % - Markeringsfarve1 3 4 3 5" xfId="5913"/>
    <cellStyle name="40 % - Markeringsfarve1 3 4 3 6" xfId="10900"/>
    <cellStyle name="40 % - Markeringsfarve1 3 4 4" xfId="1196"/>
    <cellStyle name="40 % - Markeringsfarve1 3 4 4 2" xfId="2864"/>
    <cellStyle name="40 % - Markeringsfarve1 3 4 4 2 2" xfId="7853"/>
    <cellStyle name="40 % - Markeringsfarve1 3 4 4 3" xfId="4528"/>
    <cellStyle name="40 % - Markeringsfarve1 3 4 4 3 2" xfId="9514"/>
    <cellStyle name="40 % - Markeringsfarve1 3 4 4 4" xfId="6191"/>
    <cellStyle name="40 % - Markeringsfarve1 3 4 5" xfId="2034"/>
    <cellStyle name="40 % - Markeringsfarve1 3 4 5 2" xfId="7023"/>
    <cellStyle name="40 % - Markeringsfarve1 3 4 6" xfId="3699"/>
    <cellStyle name="40 % - Markeringsfarve1 3 4 6 2" xfId="8685"/>
    <cellStyle name="40 % - Markeringsfarve1 3 4 7" xfId="5362"/>
    <cellStyle name="40 % - Markeringsfarve1 3 4 8" xfId="10346"/>
    <cellStyle name="40 % - Markeringsfarve1 3 5" xfId="324"/>
    <cellStyle name="40 % - Markeringsfarve1 3 5 2" xfId="696"/>
    <cellStyle name="40 % - Markeringsfarve1 3 5 2 2" xfId="1531"/>
    <cellStyle name="40 % - Markeringsfarve1 3 5 2 2 2" xfId="3199"/>
    <cellStyle name="40 % - Markeringsfarve1 3 5 2 2 2 2" xfId="8188"/>
    <cellStyle name="40 % - Markeringsfarve1 3 5 2 2 3" xfId="4863"/>
    <cellStyle name="40 % - Markeringsfarve1 3 5 2 2 3 2" xfId="9849"/>
    <cellStyle name="40 % - Markeringsfarve1 3 5 2 2 4" xfId="6526"/>
    <cellStyle name="40 % - Markeringsfarve1 3 5 2 3" xfId="2368"/>
    <cellStyle name="40 % - Markeringsfarve1 3 5 2 3 2" xfId="7357"/>
    <cellStyle name="40 % - Markeringsfarve1 3 5 2 4" xfId="4032"/>
    <cellStyle name="40 % - Markeringsfarve1 3 5 2 4 2" xfId="9018"/>
    <cellStyle name="40 % - Markeringsfarve1 3 5 2 5" xfId="5695"/>
    <cellStyle name="40 % - Markeringsfarve1 3 5 2 6" xfId="10682"/>
    <cellStyle name="40 % - Markeringsfarve1 3 5 3" xfId="971"/>
    <cellStyle name="40 % - Markeringsfarve1 3 5 3 2" xfId="1805"/>
    <cellStyle name="40 % - Markeringsfarve1 3 5 3 2 2" xfId="3473"/>
    <cellStyle name="40 % - Markeringsfarve1 3 5 3 2 2 2" xfId="8462"/>
    <cellStyle name="40 % - Markeringsfarve1 3 5 3 2 3" xfId="5137"/>
    <cellStyle name="40 % - Markeringsfarve1 3 5 3 2 3 2" xfId="10123"/>
    <cellStyle name="40 % - Markeringsfarve1 3 5 3 2 4" xfId="6800"/>
    <cellStyle name="40 % - Markeringsfarve1 3 5 3 3" xfId="2642"/>
    <cellStyle name="40 % - Markeringsfarve1 3 5 3 3 2" xfId="7631"/>
    <cellStyle name="40 % - Markeringsfarve1 3 5 3 4" xfId="4306"/>
    <cellStyle name="40 % - Markeringsfarve1 3 5 3 4 2" xfId="9292"/>
    <cellStyle name="40 % - Markeringsfarve1 3 5 3 5" xfId="5969"/>
    <cellStyle name="40 % - Markeringsfarve1 3 5 3 6" xfId="10956"/>
    <cellStyle name="40 % - Markeringsfarve1 3 5 4" xfId="1252"/>
    <cellStyle name="40 % - Markeringsfarve1 3 5 4 2" xfId="2920"/>
    <cellStyle name="40 % - Markeringsfarve1 3 5 4 2 2" xfId="7909"/>
    <cellStyle name="40 % - Markeringsfarve1 3 5 4 3" xfId="4584"/>
    <cellStyle name="40 % - Markeringsfarve1 3 5 4 3 2" xfId="9570"/>
    <cellStyle name="40 % - Markeringsfarve1 3 5 4 4" xfId="6247"/>
    <cellStyle name="40 % - Markeringsfarve1 3 5 5" xfId="2090"/>
    <cellStyle name="40 % - Markeringsfarve1 3 5 5 2" xfId="7079"/>
    <cellStyle name="40 % - Markeringsfarve1 3 5 6" xfId="3755"/>
    <cellStyle name="40 % - Markeringsfarve1 3 5 6 2" xfId="8741"/>
    <cellStyle name="40 % - Markeringsfarve1 3 5 7" xfId="5418"/>
    <cellStyle name="40 % - Markeringsfarve1 3 5 8" xfId="10402"/>
    <cellStyle name="40 % - Markeringsfarve1 3 6" xfId="477"/>
    <cellStyle name="40 % - Markeringsfarve1 3 6 2" xfId="1312"/>
    <cellStyle name="40 % - Markeringsfarve1 3 6 2 2" xfId="2980"/>
    <cellStyle name="40 % - Markeringsfarve1 3 6 2 2 2" xfId="7969"/>
    <cellStyle name="40 % - Markeringsfarve1 3 6 2 3" xfId="4644"/>
    <cellStyle name="40 % - Markeringsfarve1 3 6 2 3 2" xfId="9630"/>
    <cellStyle name="40 % - Markeringsfarve1 3 6 2 4" xfId="6307"/>
    <cellStyle name="40 % - Markeringsfarve1 3 6 3" xfId="2151"/>
    <cellStyle name="40 % - Markeringsfarve1 3 6 3 2" xfId="7140"/>
    <cellStyle name="40 % - Markeringsfarve1 3 6 4" xfId="3815"/>
    <cellStyle name="40 % - Markeringsfarve1 3 6 4 2" xfId="8801"/>
    <cellStyle name="40 % - Markeringsfarve1 3 6 5" xfId="5478"/>
    <cellStyle name="40 % - Markeringsfarve1 3 6 6" xfId="10463"/>
    <cellStyle name="40 % - Markeringsfarve1 3 7" xfId="752"/>
    <cellStyle name="40 % - Markeringsfarve1 3 7 2" xfId="1586"/>
    <cellStyle name="40 % - Markeringsfarve1 3 7 2 2" xfId="3254"/>
    <cellStyle name="40 % - Markeringsfarve1 3 7 2 2 2" xfId="8243"/>
    <cellStyle name="40 % - Markeringsfarve1 3 7 2 3" xfId="4918"/>
    <cellStyle name="40 % - Markeringsfarve1 3 7 2 3 2" xfId="9904"/>
    <cellStyle name="40 % - Markeringsfarve1 3 7 2 4" xfId="6581"/>
    <cellStyle name="40 % - Markeringsfarve1 3 7 3" xfId="2423"/>
    <cellStyle name="40 % - Markeringsfarve1 3 7 3 2" xfId="7412"/>
    <cellStyle name="40 % - Markeringsfarve1 3 7 4" xfId="4087"/>
    <cellStyle name="40 % - Markeringsfarve1 3 7 4 2" xfId="9073"/>
    <cellStyle name="40 % - Markeringsfarve1 3 7 5" xfId="5750"/>
    <cellStyle name="40 % - Markeringsfarve1 3 7 6" xfId="10737"/>
    <cellStyle name="40 % - Markeringsfarve1 3 8" xfId="1033"/>
    <cellStyle name="40 % - Markeringsfarve1 3 8 2" xfId="2701"/>
    <cellStyle name="40 % - Markeringsfarve1 3 8 2 2" xfId="7690"/>
    <cellStyle name="40 % - Markeringsfarve1 3 8 3" xfId="4365"/>
    <cellStyle name="40 % - Markeringsfarve1 3 8 3 2" xfId="9351"/>
    <cellStyle name="40 % - Markeringsfarve1 3 8 4" xfId="6028"/>
    <cellStyle name="40 % - Markeringsfarve1 3 9" xfId="1869"/>
    <cellStyle name="40 % - Markeringsfarve1 3 9 2" xfId="6861"/>
    <cellStyle name="40 % - Markeringsfarve1 4" xfId="117"/>
    <cellStyle name="40 % - Markeringsfarve1 4 2" xfId="490"/>
    <cellStyle name="40 % - Markeringsfarve1 4 2 2" xfId="1325"/>
    <cellStyle name="40 % - Markeringsfarve1 4 2 2 2" xfId="2993"/>
    <cellStyle name="40 % - Markeringsfarve1 4 2 2 2 2" xfId="7982"/>
    <cellStyle name="40 % - Markeringsfarve1 4 2 2 3" xfId="4657"/>
    <cellStyle name="40 % - Markeringsfarve1 4 2 2 3 2" xfId="9643"/>
    <cellStyle name="40 % - Markeringsfarve1 4 2 2 4" xfId="6320"/>
    <cellStyle name="40 % - Markeringsfarve1 4 2 3" xfId="2164"/>
    <cellStyle name="40 % - Markeringsfarve1 4 2 3 2" xfId="7153"/>
    <cellStyle name="40 % - Markeringsfarve1 4 2 4" xfId="3828"/>
    <cellStyle name="40 % - Markeringsfarve1 4 2 4 2" xfId="8814"/>
    <cellStyle name="40 % - Markeringsfarve1 4 2 5" xfId="5491"/>
    <cellStyle name="40 % - Markeringsfarve1 4 2 6" xfId="10476"/>
    <cellStyle name="40 % - Markeringsfarve1 4 3" xfId="765"/>
    <cellStyle name="40 % - Markeringsfarve1 4 3 2" xfId="1599"/>
    <cellStyle name="40 % - Markeringsfarve1 4 3 2 2" xfId="3267"/>
    <cellStyle name="40 % - Markeringsfarve1 4 3 2 2 2" xfId="8256"/>
    <cellStyle name="40 % - Markeringsfarve1 4 3 2 3" xfId="4931"/>
    <cellStyle name="40 % - Markeringsfarve1 4 3 2 3 2" xfId="9917"/>
    <cellStyle name="40 % - Markeringsfarve1 4 3 2 4" xfId="6594"/>
    <cellStyle name="40 % - Markeringsfarve1 4 3 3" xfId="2436"/>
    <cellStyle name="40 % - Markeringsfarve1 4 3 3 2" xfId="7425"/>
    <cellStyle name="40 % - Markeringsfarve1 4 3 4" xfId="4100"/>
    <cellStyle name="40 % - Markeringsfarve1 4 3 4 2" xfId="9086"/>
    <cellStyle name="40 % - Markeringsfarve1 4 3 5" xfId="5763"/>
    <cellStyle name="40 % - Markeringsfarve1 4 3 6" xfId="10750"/>
    <cellStyle name="40 % - Markeringsfarve1 4 4" xfId="1046"/>
    <cellStyle name="40 % - Markeringsfarve1 4 4 2" xfId="2714"/>
    <cellStyle name="40 % - Markeringsfarve1 4 4 2 2" xfId="7703"/>
    <cellStyle name="40 % - Markeringsfarve1 4 4 3" xfId="4378"/>
    <cellStyle name="40 % - Markeringsfarve1 4 4 3 2" xfId="9364"/>
    <cellStyle name="40 % - Markeringsfarve1 4 4 4" xfId="6041"/>
    <cellStyle name="40 % - Markeringsfarve1 4 5" xfId="1884"/>
    <cellStyle name="40 % - Markeringsfarve1 4 5 2" xfId="6873"/>
    <cellStyle name="40 % - Markeringsfarve1 4 6" xfId="3549"/>
    <cellStyle name="40 % - Markeringsfarve1 4 6 2" xfId="8535"/>
    <cellStyle name="40 % - Markeringsfarve1 4 7" xfId="5212"/>
    <cellStyle name="40 % - Markeringsfarve1 4 8" xfId="10196"/>
    <cellStyle name="40 % - Markeringsfarve1 5" xfId="170"/>
    <cellStyle name="40 % - Markeringsfarve1 5 2" xfId="543"/>
    <cellStyle name="40 % - Markeringsfarve1 5 2 2" xfId="1378"/>
    <cellStyle name="40 % - Markeringsfarve1 5 2 2 2" xfId="3046"/>
    <cellStyle name="40 % - Markeringsfarve1 5 2 2 2 2" xfId="8035"/>
    <cellStyle name="40 % - Markeringsfarve1 5 2 2 3" xfId="4710"/>
    <cellStyle name="40 % - Markeringsfarve1 5 2 2 3 2" xfId="9696"/>
    <cellStyle name="40 % - Markeringsfarve1 5 2 2 4" xfId="6373"/>
    <cellStyle name="40 % - Markeringsfarve1 5 2 3" xfId="2215"/>
    <cellStyle name="40 % - Markeringsfarve1 5 2 3 2" xfId="7204"/>
    <cellStyle name="40 % - Markeringsfarve1 5 2 4" xfId="3879"/>
    <cellStyle name="40 % - Markeringsfarve1 5 2 4 2" xfId="8865"/>
    <cellStyle name="40 % - Markeringsfarve1 5 2 5" xfId="5542"/>
    <cellStyle name="40 % - Markeringsfarve1 5 2 6" xfId="10529"/>
    <cellStyle name="40 % - Markeringsfarve1 5 3" xfId="818"/>
    <cellStyle name="40 % - Markeringsfarve1 5 3 2" xfId="1652"/>
    <cellStyle name="40 % - Markeringsfarve1 5 3 2 2" xfId="3320"/>
    <cellStyle name="40 % - Markeringsfarve1 5 3 2 2 2" xfId="8309"/>
    <cellStyle name="40 % - Markeringsfarve1 5 3 2 3" xfId="4984"/>
    <cellStyle name="40 % - Markeringsfarve1 5 3 2 3 2" xfId="9970"/>
    <cellStyle name="40 % - Markeringsfarve1 5 3 2 4" xfId="6647"/>
    <cellStyle name="40 % - Markeringsfarve1 5 3 3" xfId="2489"/>
    <cellStyle name="40 % - Markeringsfarve1 5 3 3 2" xfId="7478"/>
    <cellStyle name="40 % - Markeringsfarve1 5 3 4" xfId="4153"/>
    <cellStyle name="40 % - Markeringsfarve1 5 3 4 2" xfId="9139"/>
    <cellStyle name="40 % - Markeringsfarve1 5 3 5" xfId="5816"/>
    <cellStyle name="40 % - Markeringsfarve1 5 3 6" xfId="10803"/>
    <cellStyle name="40 % - Markeringsfarve1 5 4" xfId="1099"/>
    <cellStyle name="40 % - Markeringsfarve1 5 4 2" xfId="2767"/>
    <cellStyle name="40 % - Markeringsfarve1 5 4 2 2" xfId="7756"/>
    <cellStyle name="40 % - Markeringsfarve1 5 4 3" xfId="4431"/>
    <cellStyle name="40 % - Markeringsfarve1 5 4 3 2" xfId="9417"/>
    <cellStyle name="40 % - Markeringsfarve1 5 4 4" xfId="6094"/>
    <cellStyle name="40 % - Markeringsfarve1 5 5" xfId="1937"/>
    <cellStyle name="40 % - Markeringsfarve1 5 5 2" xfId="6926"/>
    <cellStyle name="40 % - Markeringsfarve1 5 6" xfId="3602"/>
    <cellStyle name="40 % - Markeringsfarve1 5 6 2" xfId="8588"/>
    <cellStyle name="40 % - Markeringsfarve1 5 7" xfId="5265"/>
    <cellStyle name="40 % - Markeringsfarve1 5 8" xfId="10249"/>
    <cellStyle name="40 % - Markeringsfarve1 6" xfId="226"/>
    <cellStyle name="40 % - Markeringsfarve1 6 2" xfId="598"/>
    <cellStyle name="40 % - Markeringsfarve1 6 2 2" xfId="1433"/>
    <cellStyle name="40 % - Markeringsfarve1 6 2 2 2" xfId="3101"/>
    <cellStyle name="40 % - Markeringsfarve1 6 2 2 2 2" xfId="8090"/>
    <cellStyle name="40 % - Markeringsfarve1 6 2 2 3" xfId="4765"/>
    <cellStyle name="40 % - Markeringsfarve1 6 2 2 3 2" xfId="9751"/>
    <cellStyle name="40 % - Markeringsfarve1 6 2 2 4" xfId="6428"/>
    <cellStyle name="40 % - Markeringsfarve1 6 2 3" xfId="2270"/>
    <cellStyle name="40 % - Markeringsfarve1 6 2 3 2" xfId="7259"/>
    <cellStyle name="40 % - Markeringsfarve1 6 2 4" xfId="3934"/>
    <cellStyle name="40 % - Markeringsfarve1 6 2 4 2" xfId="8920"/>
    <cellStyle name="40 % - Markeringsfarve1 6 2 5" xfId="5597"/>
    <cellStyle name="40 % - Markeringsfarve1 6 2 6" xfId="10584"/>
    <cellStyle name="40 % - Markeringsfarve1 6 3" xfId="873"/>
    <cellStyle name="40 % - Markeringsfarve1 6 3 2" xfId="1707"/>
    <cellStyle name="40 % - Markeringsfarve1 6 3 2 2" xfId="3375"/>
    <cellStyle name="40 % - Markeringsfarve1 6 3 2 2 2" xfId="8364"/>
    <cellStyle name="40 % - Markeringsfarve1 6 3 2 3" xfId="5039"/>
    <cellStyle name="40 % - Markeringsfarve1 6 3 2 3 2" xfId="10025"/>
    <cellStyle name="40 % - Markeringsfarve1 6 3 2 4" xfId="6702"/>
    <cellStyle name="40 % - Markeringsfarve1 6 3 3" xfId="2544"/>
    <cellStyle name="40 % - Markeringsfarve1 6 3 3 2" xfId="7533"/>
    <cellStyle name="40 % - Markeringsfarve1 6 3 4" xfId="4208"/>
    <cellStyle name="40 % - Markeringsfarve1 6 3 4 2" xfId="9194"/>
    <cellStyle name="40 % - Markeringsfarve1 6 3 5" xfId="5871"/>
    <cellStyle name="40 % - Markeringsfarve1 6 3 6" xfId="10858"/>
    <cellStyle name="40 % - Markeringsfarve1 6 4" xfId="1154"/>
    <cellStyle name="40 % - Markeringsfarve1 6 4 2" xfId="2822"/>
    <cellStyle name="40 % - Markeringsfarve1 6 4 2 2" xfId="7811"/>
    <cellStyle name="40 % - Markeringsfarve1 6 4 3" xfId="4486"/>
    <cellStyle name="40 % - Markeringsfarve1 6 4 3 2" xfId="9472"/>
    <cellStyle name="40 % - Markeringsfarve1 6 4 4" xfId="6149"/>
    <cellStyle name="40 % - Markeringsfarve1 6 5" xfId="1992"/>
    <cellStyle name="40 % - Markeringsfarve1 6 5 2" xfId="6981"/>
    <cellStyle name="40 % - Markeringsfarve1 6 6" xfId="3657"/>
    <cellStyle name="40 % - Markeringsfarve1 6 6 2" xfId="8643"/>
    <cellStyle name="40 % - Markeringsfarve1 6 7" xfId="5320"/>
    <cellStyle name="40 % - Markeringsfarve1 6 8" xfId="10304"/>
    <cellStyle name="40 % - Markeringsfarve1 7" xfId="281"/>
    <cellStyle name="40 % - Markeringsfarve1 7 2" xfId="653"/>
    <cellStyle name="40 % - Markeringsfarve1 7 2 2" xfId="1488"/>
    <cellStyle name="40 % - Markeringsfarve1 7 2 2 2" xfId="3156"/>
    <cellStyle name="40 % - Markeringsfarve1 7 2 2 2 2" xfId="8145"/>
    <cellStyle name="40 % - Markeringsfarve1 7 2 2 3" xfId="4820"/>
    <cellStyle name="40 % - Markeringsfarve1 7 2 2 3 2" xfId="9806"/>
    <cellStyle name="40 % - Markeringsfarve1 7 2 2 4" xfId="6483"/>
    <cellStyle name="40 % - Markeringsfarve1 7 2 3" xfId="2325"/>
    <cellStyle name="40 % - Markeringsfarve1 7 2 3 2" xfId="7314"/>
    <cellStyle name="40 % - Markeringsfarve1 7 2 4" xfId="3989"/>
    <cellStyle name="40 % - Markeringsfarve1 7 2 4 2" xfId="8975"/>
    <cellStyle name="40 % - Markeringsfarve1 7 2 5" xfId="5652"/>
    <cellStyle name="40 % - Markeringsfarve1 7 2 6" xfId="10639"/>
    <cellStyle name="40 % - Markeringsfarve1 7 3" xfId="928"/>
    <cellStyle name="40 % - Markeringsfarve1 7 3 2" xfId="1762"/>
    <cellStyle name="40 % - Markeringsfarve1 7 3 2 2" xfId="3430"/>
    <cellStyle name="40 % - Markeringsfarve1 7 3 2 2 2" xfId="8419"/>
    <cellStyle name="40 % - Markeringsfarve1 7 3 2 3" xfId="5094"/>
    <cellStyle name="40 % - Markeringsfarve1 7 3 2 3 2" xfId="10080"/>
    <cellStyle name="40 % - Markeringsfarve1 7 3 2 4" xfId="6757"/>
    <cellStyle name="40 % - Markeringsfarve1 7 3 3" xfId="2599"/>
    <cellStyle name="40 % - Markeringsfarve1 7 3 3 2" xfId="7588"/>
    <cellStyle name="40 % - Markeringsfarve1 7 3 4" xfId="4263"/>
    <cellStyle name="40 % - Markeringsfarve1 7 3 4 2" xfId="9249"/>
    <cellStyle name="40 % - Markeringsfarve1 7 3 5" xfId="5926"/>
    <cellStyle name="40 % - Markeringsfarve1 7 3 6" xfId="10913"/>
    <cellStyle name="40 % - Markeringsfarve1 7 4" xfId="1209"/>
    <cellStyle name="40 % - Markeringsfarve1 7 4 2" xfId="2877"/>
    <cellStyle name="40 % - Markeringsfarve1 7 4 2 2" xfId="7866"/>
    <cellStyle name="40 % - Markeringsfarve1 7 4 3" xfId="4541"/>
    <cellStyle name="40 % - Markeringsfarve1 7 4 3 2" xfId="9527"/>
    <cellStyle name="40 % - Markeringsfarve1 7 4 4" xfId="6204"/>
    <cellStyle name="40 % - Markeringsfarve1 7 5" xfId="2047"/>
    <cellStyle name="40 % - Markeringsfarve1 7 5 2" xfId="7036"/>
    <cellStyle name="40 % - Markeringsfarve1 7 6" xfId="3712"/>
    <cellStyle name="40 % - Markeringsfarve1 7 6 2" xfId="8698"/>
    <cellStyle name="40 % - Markeringsfarve1 7 7" xfId="5375"/>
    <cellStyle name="40 % - Markeringsfarve1 7 8" xfId="10359"/>
    <cellStyle name="40 % - Markeringsfarve1 8" xfId="435"/>
    <cellStyle name="40 % - Markeringsfarve1 8 2" xfId="1270"/>
    <cellStyle name="40 % - Markeringsfarve1 8 2 2" xfId="2938"/>
    <cellStyle name="40 % - Markeringsfarve1 8 2 2 2" xfId="7927"/>
    <cellStyle name="40 % - Markeringsfarve1 8 2 3" xfId="4602"/>
    <cellStyle name="40 % - Markeringsfarve1 8 2 3 2" xfId="9588"/>
    <cellStyle name="40 % - Markeringsfarve1 8 2 4" xfId="6265"/>
    <cellStyle name="40 % - Markeringsfarve1 8 3" xfId="2109"/>
    <cellStyle name="40 % - Markeringsfarve1 8 3 2" xfId="7098"/>
    <cellStyle name="40 % - Markeringsfarve1 8 4" xfId="3773"/>
    <cellStyle name="40 % - Markeringsfarve1 8 4 2" xfId="8759"/>
    <cellStyle name="40 % - Markeringsfarve1 8 5" xfId="5436"/>
    <cellStyle name="40 % - Markeringsfarve1 8 6" xfId="10440"/>
    <cellStyle name="40 % - Markeringsfarve1 9" xfId="710"/>
    <cellStyle name="40 % - Markeringsfarve1 9 2" xfId="1544"/>
    <cellStyle name="40 % - Markeringsfarve1 9 2 2" xfId="3212"/>
    <cellStyle name="40 % - Markeringsfarve1 9 2 2 2" xfId="8201"/>
    <cellStyle name="40 % - Markeringsfarve1 9 2 3" xfId="4876"/>
    <cellStyle name="40 % - Markeringsfarve1 9 2 3 2" xfId="9862"/>
    <cellStyle name="40 % - Markeringsfarve1 9 2 4" xfId="6539"/>
    <cellStyle name="40 % - Markeringsfarve1 9 3" xfId="2381"/>
    <cellStyle name="40 % - Markeringsfarve1 9 3 2" xfId="7370"/>
    <cellStyle name="40 % - Markeringsfarve1 9 4" xfId="4045"/>
    <cellStyle name="40 % - Markeringsfarve1 9 4 2" xfId="9031"/>
    <cellStyle name="40 % - Markeringsfarve1 9 5" xfId="5708"/>
    <cellStyle name="40 % - Markeringsfarve1 9 6" xfId="10695"/>
    <cellStyle name="40 % - Markeringsfarve2" xfId="25" builtinId="35" customBuiltin="1"/>
    <cellStyle name="40 % - Markeringsfarve2 10" xfId="993"/>
    <cellStyle name="40 % - Markeringsfarve2 10 2" xfId="2661"/>
    <cellStyle name="40 % - Markeringsfarve2 10 2 2" xfId="7650"/>
    <cellStyle name="40 % - Markeringsfarve2 10 3" xfId="4325"/>
    <cellStyle name="40 % - Markeringsfarve2 10 3 2" xfId="9311"/>
    <cellStyle name="40 % - Markeringsfarve2 10 4" xfId="5988"/>
    <cellStyle name="40 % - Markeringsfarve2 11" xfId="1828"/>
    <cellStyle name="40 % - Markeringsfarve2 11 2" xfId="6820"/>
    <cellStyle name="40 % - Markeringsfarve2 12" xfId="3496"/>
    <cellStyle name="40 % - Markeringsfarve2 12 2" xfId="8482"/>
    <cellStyle name="40 % - Markeringsfarve2 13" xfId="5159"/>
    <cellStyle name="40 % - Markeringsfarve2 14" xfId="10143"/>
    <cellStyle name="40 % - Markeringsfarve2 2" xfId="72"/>
    <cellStyle name="40 % - Markeringsfarve2 2 10" xfId="3519"/>
    <cellStyle name="40 % - Markeringsfarve2 2 10 2" xfId="8505"/>
    <cellStyle name="40 % - Markeringsfarve2 2 11" xfId="5182"/>
    <cellStyle name="40 % - Markeringsfarve2 2 12" xfId="10165"/>
    <cellStyle name="40 % - Markeringsfarve2 2 2" xfId="140"/>
    <cellStyle name="40 % - Markeringsfarve2 2 2 2" xfId="513"/>
    <cellStyle name="40 % - Markeringsfarve2 2 2 2 2" xfId="1348"/>
    <cellStyle name="40 % - Markeringsfarve2 2 2 2 2 2" xfId="3016"/>
    <cellStyle name="40 % - Markeringsfarve2 2 2 2 2 2 2" xfId="8005"/>
    <cellStyle name="40 % - Markeringsfarve2 2 2 2 2 3" xfId="4680"/>
    <cellStyle name="40 % - Markeringsfarve2 2 2 2 2 3 2" xfId="9666"/>
    <cellStyle name="40 % - Markeringsfarve2 2 2 2 2 4" xfId="6343"/>
    <cellStyle name="40 % - Markeringsfarve2 2 2 2 3" xfId="2185"/>
    <cellStyle name="40 % - Markeringsfarve2 2 2 2 3 2" xfId="7174"/>
    <cellStyle name="40 % - Markeringsfarve2 2 2 2 4" xfId="3849"/>
    <cellStyle name="40 % - Markeringsfarve2 2 2 2 4 2" xfId="8835"/>
    <cellStyle name="40 % - Markeringsfarve2 2 2 2 5" xfId="5512"/>
    <cellStyle name="40 % - Markeringsfarve2 2 2 2 6" xfId="10499"/>
    <cellStyle name="40 % - Markeringsfarve2 2 2 3" xfId="788"/>
    <cellStyle name="40 % - Markeringsfarve2 2 2 3 2" xfId="1622"/>
    <cellStyle name="40 % - Markeringsfarve2 2 2 3 2 2" xfId="3290"/>
    <cellStyle name="40 % - Markeringsfarve2 2 2 3 2 2 2" xfId="8279"/>
    <cellStyle name="40 % - Markeringsfarve2 2 2 3 2 3" xfId="4954"/>
    <cellStyle name="40 % - Markeringsfarve2 2 2 3 2 3 2" xfId="9940"/>
    <cellStyle name="40 % - Markeringsfarve2 2 2 3 2 4" xfId="6617"/>
    <cellStyle name="40 % - Markeringsfarve2 2 2 3 3" xfId="2459"/>
    <cellStyle name="40 % - Markeringsfarve2 2 2 3 3 2" xfId="7448"/>
    <cellStyle name="40 % - Markeringsfarve2 2 2 3 4" xfId="4123"/>
    <cellStyle name="40 % - Markeringsfarve2 2 2 3 4 2" xfId="9109"/>
    <cellStyle name="40 % - Markeringsfarve2 2 2 3 5" xfId="5786"/>
    <cellStyle name="40 % - Markeringsfarve2 2 2 3 6" xfId="10773"/>
    <cellStyle name="40 % - Markeringsfarve2 2 2 4" xfId="1069"/>
    <cellStyle name="40 % - Markeringsfarve2 2 2 4 2" xfId="2737"/>
    <cellStyle name="40 % - Markeringsfarve2 2 2 4 2 2" xfId="7726"/>
    <cellStyle name="40 % - Markeringsfarve2 2 2 4 3" xfId="4401"/>
    <cellStyle name="40 % - Markeringsfarve2 2 2 4 3 2" xfId="9387"/>
    <cellStyle name="40 % - Markeringsfarve2 2 2 4 4" xfId="6064"/>
    <cellStyle name="40 % - Markeringsfarve2 2 2 5" xfId="1907"/>
    <cellStyle name="40 % - Markeringsfarve2 2 2 5 2" xfId="6896"/>
    <cellStyle name="40 % - Markeringsfarve2 2 2 6" xfId="3572"/>
    <cellStyle name="40 % - Markeringsfarve2 2 2 6 2" xfId="8558"/>
    <cellStyle name="40 % - Markeringsfarve2 2 2 7" xfId="5235"/>
    <cellStyle name="40 % - Markeringsfarve2 2 2 8" xfId="10219"/>
    <cellStyle name="40 % - Markeringsfarve2 2 3" xfId="195"/>
    <cellStyle name="40 % - Markeringsfarve2 2 3 2" xfId="567"/>
    <cellStyle name="40 % - Markeringsfarve2 2 3 2 2" xfId="1402"/>
    <cellStyle name="40 % - Markeringsfarve2 2 3 2 2 2" xfId="3070"/>
    <cellStyle name="40 % - Markeringsfarve2 2 3 2 2 2 2" xfId="8059"/>
    <cellStyle name="40 % - Markeringsfarve2 2 3 2 2 3" xfId="4734"/>
    <cellStyle name="40 % - Markeringsfarve2 2 3 2 2 3 2" xfId="9720"/>
    <cellStyle name="40 % - Markeringsfarve2 2 3 2 2 4" xfId="6397"/>
    <cellStyle name="40 % - Markeringsfarve2 2 3 2 3" xfId="2239"/>
    <cellStyle name="40 % - Markeringsfarve2 2 3 2 3 2" xfId="7228"/>
    <cellStyle name="40 % - Markeringsfarve2 2 3 2 4" xfId="3903"/>
    <cellStyle name="40 % - Markeringsfarve2 2 3 2 4 2" xfId="8889"/>
    <cellStyle name="40 % - Markeringsfarve2 2 3 2 5" xfId="5566"/>
    <cellStyle name="40 % - Markeringsfarve2 2 3 2 6" xfId="10553"/>
    <cellStyle name="40 % - Markeringsfarve2 2 3 3" xfId="842"/>
    <cellStyle name="40 % - Markeringsfarve2 2 3 3 2" xfId="1676"/>
    <cellStyle name="40 % - Markeringsfarve2 2 3 3 2 2" xfId="3344"/>
    <cellStyle name="40 % - Markeringsfarve2 2 3 3 2 2 2" xfId="8333"/>
    <cellStyle name="40 % - Markeringsfarve2 2 3 3 2 3" xfId="5008"/>
    <cellStyle name="40 % - Markeringsfarve2 2 3 3 2 3 2" xfId="9994"/>
    <cellStyle name="40 % - Markeringsfarve2 2 3 3 2 4" xfId="6671"/>
    <cellStyle name="40 % - Markeringsfarve2 2 3 3 3" xfId="2513"/>
    <cellStyle name="40 % - Markeringsfarve2 2 3 3 3 2" xfId="7502"/>
    <cellStyle name="40 % - Markeringsfarve2 2 3 3 4" xfId="4177"/>
    <cellStyle name="40 % - Markeringsfarve2 2 3 3 4 2" xfId="9163"/>
    <cellStyle name="40 % - Markeringsfarve2 2 3 3 5" xfId="5840"/>
    <cellStyle name="40 % - Markeringsfarve2 2 3 3 6" xfId="10827"/>
    <cellStyle name="40 % - Markeringsfarve2 2 3 4" xfId="1123"/>
    <cellStyle name="40 % - Markeringsfarve2 2 3 4 2" xfId="2791"/>
    <cellStyle name="40 % - Markeringsfarve2 2 3 4 2 2" xfId="7780"/>
    <cellStyle name="40 % - Markeringsfarve2 2 3 4 3" xfId="4455"/>
    <cellStyle name="40 % - Markeringsfarve2 2 3 4 3 2" xfId="9441"/>
    <cellStyle name="40 % - Markeringsfarve2 2 3 4 4" xfId="6118"/>
    <cellStyle name="40 % - Markeringsfarve2 2 3 5" xfId="1961"/>
    <cellStyle name="40 % - Markeringsfarve2 2 3 5 2" xfId="6950"/>
    <cellStyle name="40 % - Markeringsfarve2 2 3 6" xfId="3626"/>
    <cellStyle name="40 % - Markeringsfarve2 2 3 6 2" xfId="8612"/>
    <cellStyle name="40 % - Markeringsfarve2 2 3 7" xfId="5289"/>
    <cellStyle name="40 % - Markeringsfarve2 2 3 8" xfId="10273"/>
    <cellStyle name="40 % - Markeringsfarve2 2 4" xfId="250"/>
    <cellStyle name="40 % - Markeringsfarve2 2 4 2" xfId="622"/>
    <cellStyle name="40 % - Markeringsfarve2 2 4 2 2" xfId="1457"/>
    <cellStyle name="40 % - Markeringsfarve2 2 4 2 2 2" xfId="3125"/>
    <cellStyle name="40 % - Markeringsfarve2 2 4 2 2 2 2" xfId="8114"/>
    <cellStyle name="40 % - Markeringsfarve2 2 4 2 2 3" xfId="4789"/>
    <cellStyle name="40 % - Markeringsfarve2 2 4 2 2 3 2" xfId="9775"/>
    <cellStyle name="40 % - Markeringsfarve2 2 4 2 2 4" xfId="6452"/>
    <cellStyle name="40 % - Markeringsfarve2 2 4 2 3" xfId="2294"/>
    <cellStyle name="40 % - Markeringsfarve2 2 4 2 3 2" xfId="7283"/>
    <cellStyle name="40 % - Markeringsfarve2 2 4 2 4" xfId="3958"/>
    <cellStyle name="40 % - Markeringsfarve2 2 4 2 4 2" xfId="8944"/>
    <cellStyle name="40 % - Markeringsfarve2 2 4 2 5" xfId="5621"/>
    <cellStyle name="40 % - Markeringsfarve2 2 4 2 6" xfId="10608"/>
    <cellStyle name="40 % - Markeringsfarve2 2 4 3" xfId="897"/>
    <cellStyle name="40 % - Markeringsfarve2 2 4 3 2" xfId="1731"/>
    <cellStyle name="40 % - Markeringsfarve2 2 4 3 2 2" xfId="3399"/>
    <cellStyle name="40 % - Markeringsfarve2 2 4 3 2 2 2" xfId="8388"/>
    <cellStyle name="40 % - Markeringsfarve2 2 4 3 2 3" xfId="5063"/>
    <cellStyle name="40 % - Markeringsfarve2 2 4 3 2 3 2" xfId="10049"/>
    <cellStyle name="40 % - Markeringsfarve2 2 4 3 2 4" xfId="6726"/>
    <cellStyle name="40 % - Markeringsfarve2 2 4 3 3" xfId="2568"/>
    <cellStyle name="40 % - Markeringsfarve2 2 4 3 3 2" xfId="7557"/>
    <cellStyle name="40 % - Markeringsfarve2 2 4 3 4" xfId="4232"/>
    <cellStyle name="40 % - Markeringsfarve2 2 4 3 4 2" xfId="9218"/>
    <cellStyle name="40 % - Markeringsfarve2 2 4 3 5" xfId="5895"/>
    <cellStyle name="40 % - Markeringsfarve2 2 4 3 6" xfId="10882"/>
    <cellStyle name="40 % - Markeringsfarve2 2 4 4" xfId="1178"/>
    <cellStyle name="40 % - Markeringsfarve2 2 4 4 2" xfId="2846"/>
    <cellStyle name="40 % - Markeringsfarve2 2 4 4 2 2" xfId="7835"/>
    <cellStyle name="40 % - Markeringsfarve2 2 4 4 3" xfId="4510"/>
    <cellStyle name="40 % - Markeringsfarve2 2 4 4 3 2" xfId="9496"/>
    <cellStyle name="40 % - Markeringsfarve2 2 4 4 4" xfId="6173"/>
    <cellStyle name="40 % - Markeringsfarve2 2 4 5" xfId="2016"/>
    <cellStyle name="40 % - Markeringsfarve2 2 4 5 2" xfId="7005"/>
    <cellStyle name="40 % - Markeringsfarve2 2 4 6" xfId="3681"/>
    <cellStyle name="40 % - Markeringsfarve2 2 4 6 2" xfId="8667"/>
    <cellStyle name="40 % - Markeringsfarve2 2 4 7" xfId="5344"/>
    <cellStyle name="40 % - Markeringsfarve2 2 4 8" xfId="10328"/>
    <cellStyle name="40 % - Markeringsfarve2 2 5" xfId="306"/>
    <cellStyle name="40 % - Markeringsfarve2 2 5 2" xfId="678"/>
    <cellStyle name="40 % - Markeringsfarve2 2 5 2 2" xfId="1513"/>
    <cellStyle name="40 % - Markeringsfarve2 2 5 2 2 2" xfId="3181"/>
    <cellStyle name="40 % - Markeringsfarve2 2 5 2 2 2 2" xfId="8170"/>
    <cellStyle name="40 % - Markeringsfarve2 2 5 2 2 3" xfId="4845"/>
    <cellStyle name="40 % - Markeringsfarve2 2 5 2 2 3 2" xfId="9831"/>
    <cellStyle name="40 % - Markeringsfarve2 2 5 2 2 4" xfId="6508"/>
    <cellStyle name="40 % - Markeringsfarve2 2 5 2 3" xfId="2350"/>
    <cellStyle name="40 % - Markeringsfarve2 2 5 2 3 2" xfId="7339"/>
    <cellStyle name="40 % - Markeringsfarve2 2 5 2 4" xfId="4014"/>
    <cellStyle name="40 % - Markeringsfarve2 2 5 2 4 2" xfId="9000"/>
    <cellStyle name="40 % - Markeringsfarve2 2 5 2 5" xfId="5677"/>
    <cellStyle name="40 % - Markeringsfarve2 2 5 2 6" xfId="10664"/>
    <cellStyle name="40 % - Markeringsfarve2 2 5 3" xfId="953"/>
    <cellStyle name="40 % - Markeringsfarve2 2 5 3 2" xfId="1787"/>
    <cellStyle name="40 % - Markeringsfarve2 2 5 3 2 2" xfId="3455"/>
    <cellStyle name="40 % - Markeringsfarve2 2 5 3 2 2 2" xfId="8444"/>
    <cellStyle name="40 % - Markeringsfarve2 2 5 3 2 3" xfId="5119"/>
    <cellStyle name="40 % - Markeringsfarve2 2 5 3 2 3 2" xfId="10105"/>
    <cellStyle name="40 % - Markeringsfarve2 2 5 3 2 4" xfId="6782"/>
    <cellStyle name="40 % - Markeringsfarve2 2 5 3 3" xfId="2624"/>
    <cellStyle name="40 % - Markeringsfarve2 2 5 3 3 2" xfId="7613"/>
    <cellStyle name="40 % - Markeringsfarve2 2 5 3 4" xfId="4288"/>
    <cellStyle name="40 % - Markeringsfarve2 2 5 3 4 2" xfId="9274"/>
    <cellStyle name="40 % - Markeringsfarve2 2 5 3 5" xfId="5951"/>
    <cellStyle name="40 % - Markeringsfarve2 2 5 3 6" xfId="10938"/>
    <cellStyle name="40 % - Markeringsfarve2 2 5 4" xfId="1234"/>
    <cellStyle name="40 % - Markeringsfarve2 2 5 4 2" xfId="2902"/>
    <cellStyle name="40 % - Markeringsfarve2 2 5 4 2 2" xfId="7891"/>
    <cellStyle name="40 % - Markeringsfarve2 2 5 4 3" xfId="4566"/>
    <cellStyle name="40 % - Markeringsfarve2 2 5 4 3 2" xfId="9552"/>
    <cellStyle name="40 % - Markeringsfarve2 2 5 4 4" xfId="6229"/>
    <cellStyle name="40 % - Markeringsfarve2 2 5 5" xfId="2072"/>
    <cellStyle name="40 % - Markeringsfarve2 2 5 5 2" xfId="7061"/>
    <cellStyle name="40 % - Markeringsfarve2 2 5 6" xfId="3737"/>
    <cellStyle name="40 % - Markeringsfarve2 2 5 6 2" xfId="8723"/>
    <cellStyle name="40 % - Markeringsfarve2 2 5 7" xfId="5400"/>
    <cellStyle name="40 % - Markeringsfarve2 2 5 8" xfId="10384"/>
    <cellStyle name="40 % - Markeringsfarve2 2 6" xfId="459"/>
    <cellStyle name="40 % - Markeringsfarve2 2 6 2" xfId="1294"/>
    <cellStyle name="40 % - Markeringsfarve2 2 6 2 2" xfId="2962"/>
    <cellStyle name="40 % - Markeringsfarve2 2 6 2 2 2" xfId="7951"/>
    <cellStyle name="40 % - Markeringsfarve2 2 6 2 3" xfId="4626"/>
    <cellStyle name="40 % - Markeringsfarve2 2 6 2 3 2" xfId="9612"/>
    <cellStyle name="40 % - Markeringsfarve2 2 6 2 4" xfId="6289"/>
    <cellStyle name="40 % - Markeringsfarve2 2 6 3" xfId="2133"/>
    <cellStyle name="40 % - Markeringsfarve2 2 6 3 2" xfId="7122"/>
    <cellStyle name="40 % - Markeringsfarve2 2 6 4" xfId="3797"/>
    <cellStyle name="40 % - Markeringsfarve2 2 6 4 2" xfId="8783"/>
    <cellStyle name="40 % - Markeringsfarve2 2 6 5" xfId="5460"/>
    <cellStyle name="40 % - Markeringsfarve2 2 6 6" xfId="10452"/>
    <cellStyle name="40 % - Markeringsfarve2 2 7" xfId="734"/>
    <cellStyle name="40 % - Markeringsfarve2 2 7 2" xfId="1568"/>
    <cellStyle name="40 % - Markeringsfarve2 2 7 2 2" xfId="3236"/>
    <cellStyle name="40 % - Markeringsfarve2 2 7 2 2 2" xfId="8225"/>
    <cellStyle name="40 % - Markeringsfarve2 2 7 2 3" xfId="4900"/>
    <cellStyle name="40 % - Markeringsfarve2 2 7 2 3 2" xfId="9886"/>
    <cellStyle name="40 % - Markeringsfarve2 2 7 2 4" xfId="6563"/>
    <cellStyle name="40 % - Markeringsfarve2 2 7 3" xfId="2405"/>
    <cellStyle name="40 % - Markeringsfarve2 2 7 3 2" xfId="7394"/>
    <cellStyle name="40 % - Markeringsfarve2 2 7 4" xfId="4069"/>
    <cellStyle name="40 % - Markeringsfarve2 2 7 4 2" xfId="9055"/>
    <cellStyle name="40 % - Markeringsfarve2 2 7 5" xfId="5732"/>
    <cellStyle name="40 % - Markeringsfarve2 2 7 6" xfId="10719"/>
    <cellStyle name="40 % - Markeringsfarve2 2 8" xfId="1015"/>
    <cellStyle name="40 % - Markeringsfarve2 2 8 2" xfId="2683"/>
    <cellStyle name="40 % - Markeringsfarve2 2 8 2 2" xfId="7672"/>
    <cellStyle name="40 % - Markeringsfarve2 2 8 3" xfId="4347"/>
    <cellStyle name="40 % - Markeringsfarve2 2 8 3 2" xfId="9333"/>
    <cellStyle name="40 % - Markeringsfarve2 2 8 4" xfId="6010"/>
    <cellStyle name="40 % - Markeringsfarve2 2 9" xfId="1851"/>
    <cellStyle name="40 % - Markeringsfarve2 2 9 2" xfId="6843"/>
    <cellStyle name="40 % - Markeringsfarve2 3" xfId="99"/>
    <cellStyle name="40 % - Markeringsfarve2 3 10" xfId="3538"/>
    <cellStyle name="40 % - Markeringsfarve2 3 10 2" xfId="8524"/>
    <cellStyle name="40 % - Markeringsfarve2 3 11" xfId="5201"/>
    <cellStyle name="40 % - Markeringsfarve2 3 12" xfId="10184"/>
    <cellStyle name="40 % - Markeringsfarve2 3 2" xfId="159"/>
    <cellStyle name="40 % - Markeringsfarve2 3 2 2" xfId="532"/>
    <cellStyle name="40 % - Markeringsfarve2 3 2 2 2" xfId="1367"/>
    <cellStyle name="40 % - Markeringsfarve2 3 2 2 2 2" xfId="3035"/>
    <cellStyle name="40 % - Markeringsfarve2 3 2 2 2 2 2" xfId="8024"/>
    <cellStyle name="40 % - Markeringsfarve2 3 2 2 2 3" xfId="4699"/>
    <cellStyle name="40 % - Markeringsfarve2 3 2 2 2 3 2" xfId="9685"/>
    <cellStyle name="40 % - Markeringsfarve2 3 2 2 2 4" xfId="6362"/>
    <cellStyle name="40 % - Markeringsfarve2 3 2 2 3" xfId="2204"/>
    <cellStyle name="40 % - Markeringsfarve2 3 2 2 3 2" xfId="7193"/>
    <cellStyle name="40 % - Markeringsfarve2 3 2 2 4" xfId="3868"/>
    <cellStyle name="40 % - Markeringsfarve2 3 2 2 4 2" xfId="8854"/>
    <cellStyle name="40 % - Markeringsfarve2 3 2 2 5" xfId="5531"/>
    <cellStyle name="40 % - Markeringsfarve2 3 2 2 6" xfId="10518"/>
    <cellStyle name="40 % - Markeringsfarve2 3 2 3" xfId="807"/>
    <cellStyle name="40 % - Markeringsfarve2 3 2 3 2" xfId="1641"/>
    <cellStyle name="40 % - Markeringsfarve2 3 2 3 2 2" xfId="3309"/>
    <cellStyle name="40 % - Markeringsfarve2 3 2 3 2 2 2" xfId="8298"/>
    <cellStyle name="40 % - Markeringsfarve2 3 2 3 2 3" xfId="4973"/>
    <cellStyle name="40 % - Markeringsfarve2 3 2 3 2 3 2" xfId="9959"/>
    <cellStyle name="40 % - Markeringsfarve2 3 2 3 2 4" xfId="6636"/>
    <cellStyle name="40 % - Markeringsfarve2 3 2 3 3" xfId="2478"/>
    <cellStyle name="40 % - Markeringsfarve2 3 2 3 3 2" xfId="7467"/>
    <cellStyle name="40 % - Markeringsfarve2 3 2 3 4" xfId="4142"/>
    <cellStyle name="40 % - Markeringsfarve2 3 2 3 4 2" xfId="9128"/>
    <cellStyle name="40 % - Markeringsfarve2 3 2 3 5" xfId="5805"/>
    <cellStyle name="40 % - Markeringsfarve2 3 2 3 6" xfId="10792"/>
    <cellStyle name="40 % - Markeringsfarve2 3 2 4" xfId="1088"/>
    <cellStyle name="40 % - Markeringsfarve2 3 2 4 2" xfId="2756"/>
    <cellStyle name="40 % - Markeringsfarve2 3 2 4 2 2" xfId="7745"/>
    <cellStyle name="40 % - Markeringsfarve2 3 2 4 3" xfId="4420"/>
    <cellStyle name="40 % - Markeringsfarve2 3 2 4 3 2" xfId="9406"/>
    <cellStyle name="40 % - Markeringsfarve2 3 2 4 4" xfId="6083"/>
    <cellStyle name="40 % - Markeringsfarve2 3 2 5" xfId="1926"/>
    <cellStyle name="40 % - Markeringsfarve2 3 2 5 2" xfId="6915"/>
    <cellStyle name="40 % - Markeringsfarve2 3 2 6" xfId="3591"/>
    <cellStyle name="40 % - Markeringsfarve2 3 2 6 2" xfId="8577"/>
    <cellStyle name="40 % - Markeringsfarve2 3 2 7" xfId="5254"/>
    <cellStyle name="40 % - Markeringsfarve2 3 2 8" xfId="10238"/>
    <cellStyle name="40 % - Markeringsfarve2 3 3" xfId="214"/>
    <cellStyle name="40 % - Markeringsfarve2 3 3 2" xfId="586"/>
    <cellStyle name="40 % - Markeringsfarve2 3 3 2 2" xfId="1421"/>
    <cellStyle name="40 % - Markeringsfarve2 3 3 2 2 2" xfId="3089"/>
    <cellStyle name="40 % - Markeringsfarve2 3 3 2 2 2 2" xfId="8078"/>
    <cellStyle name="40 % - Markeringsfarve2 3 3 2 2 3" xfId="4753"/>
    <cellStyle name="40 % - Markeringsfarve2 3 3 2 2 3 2" xfId="9739"/>
    <cellStyle name="40 % - Markeringsfarve2 3 3 2 2 4" xfId="6416"/>
    <cellStyle name="40 % - Markeringsfarve2 3 3 2 3" xfId="2258"/>
    <cellStyle name="40 % - Markeringsfarve2 3 3 2 3 2" xfId="7247"/>
    <cellStyle name="40 % - Markeringsfarve2 3 3 2 4" xfId="3922"/>
    <cellStyle name="40 % - Markeringsfarve2 3 3 2 4 2" xfId="8908"/>
    <cellStyle name="40 % - Markeringsfarve2 3 3 2 5" xfId="5585"/>
    <cellStyle name="40 % - Markeringsfarve2 3 3 2 6" xfId="10572"/>
    <cellStyle name="40 % - Markeringsfarve2 3 3 3" xfId="861"/>
    <cellStyle name="40 % - Markeringsfarve2 3 3 3 2" xfId="1695"/>
    <cellStyle name="40 % - Markeringsfarve2 3 3 3 2 2" xfId="3363"/>
    <cellStyle name="40 % - Markeringsfarve2 3 3 3 2 2 2" xfId="8352"/>
    <cellStyle name="40 % - Markeringsfarve2 3 3 3 2 3" xfId="5027"/>
    <cellStyle name="40 % - Markeringsfarve2 3 3 3 2 3 2" xfId="10013"/>
    <cellStyle name="40 % - Markeringsfarve2 3 3 3 2 4" xfId="6690"/>
    <cellStyle name="40 % - Markeringsfarve2 3 3 3 3" xfId="2532"/>
    <cellStyle name="40 % - Markeringsfarve2 3 3 3 3 2" xfId="7521"/>
    <cellStyle name="40 % - Markeringsfarve2 3 3 3 4" xfId="4196"/>
    <cellStyle name="40 % - Markeringsfarve2 3 3 3 4 2" xfId="9182"/>
    <cellStyle name="40 % - Markeringsfarve2 3 3 3 5" xfId="5859"/>
    <cellStyle name="40 % - Markeringsfarve2 3 3 3 6" xfId="10846"/>
    <cellStyle name="40 % - Markeringsfarve2 3 3 4" xfId="1142"/>
    <cellStyle name="40 % - Markeringsfarve2 3 3 4 2" xfId="2810"/>
    <cellStyle name="40 % - Markeringsfarve2 3 3 4 2 2" xfId="7799"/>
    <cellStyle name="40 % - Markeringsfarve2 3 3 4 3" xfId="4474"/>
    <cellStyle name="40 % - Markeringsfarve2 3 3 4 3 2" xfId="9460"/>
    <cellStyle name="40 % - Markeringsfarve2 3 3 4 4" xfId="6137"/>
    <cellStyle name="40 % - Markeringsfarve2 3 3 5" xfId="1980"/>
    <cellStyle name="40 % - Markeringsfarve2 3 3 5 2" xfId="6969"/>
    <cellStyle name="40 % - Markeringsfarve2 3 3 6" xfId="3645"/>
    <cellStyle name="40 % - Markeringsfarve2 3 3 6 2" xfId="8631"/>
    <cellStyle name="40 % - Markeringsfarve2 3 3 7" xfId="5308"/>
    <cellStyle name="40 % - Markeringsfarve2 3 3 8" xfId="10292"/>
    <cellStyle name="40 % - Markeringsfarve2 3 4" xfId="269"/>
    <cellStyle name="40 % - Markeringsfarve2 3 4 2" xfId="641"/>
    <cellStyle name="40 % - Markeringsfarve2 3 4 2 2" xfId="1476"/>
    <cellStyle name="40 % - Markeringsfarve2 3 4 2 2 2" xfId="3144"/>
    <cellStyle name="40 % - Markeringsfarve2 3 4 2 2 2 2" xfId="8133"/>
    <cellStyle name="40 % - Markeringsfarve2 3 4 2 2 3" xfId="4808"/>
    <cellStyle name="40 % - Markeringsfarve2 3 4 2 2 3 2" xfId="9794"/>
    <cellStyle name="40 % - Markeringsfarve2 3 4 2 2 4" xfId="6471"/>
    <cellStyle name="40 % - Markeringsfarve2 3 4 2 3" xfId="2313"/>
    <cellStyle name="40 % - Markeringsfarve2 3 4 2 3 2" xfId="7302"/>
    <cellStyle name="40 % - Markeringsfarve2 3 4 2 4" xfId="3977"/>
    <cellStyle name="40 % - Markeringsfarve2 3 4 2 4 2" xfId="8963"/>
    <cellStyle name="40 % - Markeringsfarve2 3 4 2 5" xfId="5640"/>
    <cellStyle name="40 % - Markeringsfarve2 3 4 2 6" xfId="10627"/>
    <cellStyle name="40 % - Markeringsfarve2 3 4 3" xfId="916"/>
    <cellStyle name="40 % - Markeringsfarve2 3 4 3 2" xfId="1750"/>
    <cellStyle name="40 % - Markeringsfarve2 3 4 3 2 2" xfId="3418"/>
    <cellStyle name="40 % - Markeringsfarve2 3 4 3 2 2 2" xfId="8407"/>
    <cellStyle name="40 % - Markeringsfarve2 3 4 3 2 3" xfId="5082"/>
    <cellStyle name="40 % - Markeringsfarve2 3 4 3 2 3 2" xfId="10068"/>
    <cellStyle name="40 % - Markeringsfarve2 3 4 3 2 4" xfId="6745"/>
    <cellStyle name="40 % - Markeringsfarve2 3 4 3 3" xfId="2587"/>
    <cellStyle name="40 % - Markeringsfarve2 3 4 3 3 2" xfId="7576"/>
    <cellStyle name="40 % - Markeringsfarve2 3 4 3 4" xfId="4251"/>
    <cellStyle name="40 % - Markeringsfarve2 3 4 3 4 2" xfId="9237"/>
    <cellStyle name="40 % - Markeringsfarve2 3 4 3 5" xfId="5914"/>
    <cellStyle name="40 % - Markeringsfarve2 3 4 3 6" xfId="10901"/>
    <cellStyle name="40 % - Markeringsfarve2 3 4 4" xfId="1197"/>
    <cellStyle name="40 % - Markeringsfarve2 3 4 4 2" xfId="2865"/>
    <cellStyle name="40 % - Markeringsfarve2 3 4 4 2 2" xfId="7854"/>
    <cellStyle name="40 % - Markeringsfarve2 3 4 4 3" xfId="4529"/>
    <cellStyle name="40 % - Markeringsfarve2 3 4 4 3 2" xfId="9515"/>
    <cellStyle name="40 % - Markeringsfarve2 3 4 4 4" xfId="6192"/>
    <cellStyle name="40 % - Markeringsfarve2 3 4 5" xfId="2035"/>
    <cellStyle name="40 % - Markeringsfarve2 3 4 5 2" xfId="7024"/>
    <cellStyle name="40 % - Markeringsfarve2 3 4 6" xfId="3700"/>
    <cellStyle name="40 % - Markeringsfarve2 3 4 6 2" xfId="8686"/>
    <cellStyle name="40 % - Markeringsfarve2 3 4 7" xfId="5363"/>
    <cellStyle name="40 % - Markeringsfarve2 3 4 8" xfId="10347"/>
    <cellStyle name="40 % - Markeringsfarve2 3 5" xfId="325"/>
    <cellStyle name="40 % - Markeringsfarve2 3 5 2" xfId="697"/>
    <cellStyle name="40 % - Markeringsfarve2 3 5 2 2" xfId="1532"/>
    <cellStyle name="40 % - Markeringsfarve2 3 5 2 2 2" xfId="3200"/>
    <cellStyle name="40 % - Markeringsfarve2 3 5 2 2 2 2" xfId="8189"/>
    <cellStyle name="40 % - Markeringsfarve2 3 5 2 2 3" xfId="4864"/>
    <cellStyle name="40 % - Markeringsfarve2 3 5 2 2 3 2" xfId="9850"/>
    <cellStyle name="40 % - Markeringsfarve2 3 5 2 2 4" xfId="6527"/>
    <cellStyle name="40 % - Markeringsfarve2 3 5 2 3" xfId="2369"/>
    <cellStyle name="40 % - Markeringsfarve2 3 5 2 3 2" xfId="7358"/>
    <cellStyle name="40 % - Markeringsfarve2 3 5 2 4" xfId="4033"/>
    <cellStyle name="40 % - Markeringsfarve2 3 5 2 4 2" xfId="9019"/>
    <cellStyle name="40 % - Markeringsfarve2 3 5 2 5" xfId="5696"/>
    <cellStyle name="40 % - Markeringsfarve2 3 5 2 6" xfId="10683"/>
    <cellStyle name="40 % - Markeringsfarve2 3 5 3" xfId="972"/>
    <cellStyle name="40 % - Markeringsfarve2 3 5 3 2" xfId="1806"/>
    <cellStyle name="40 % - Markeringsfarve2 3 5 3 2 2" xfId="3474"/>
    <cellStyle name="40 % - Markeringsfarve2 3 5 3 2 2 2" xfId="8463"/>
    <cellStyle name="40 % - Markeringsfarve2 3 5 3 2 3" xfId="5138"/>
    <cellStyle name="40 % - Markeringsfarve2 3 5 3 2 3 2" xfId="10124"/>
    <cellStyle name="40 % - Markeringsfarve2 3 5 3 2 4" xfId="6801"/>
    <cellStyle name="40 % - Markeringsfarve2 3 5 3 3" xfId="2643"/>
    <cellStyle name="40 % - Markeringsfarve2 3 5 3 3 2" xfId="7632"/>
    <cellStyle name="40 % - Markeringsfarve2 3 5 3 4" xfId="4307"/>
    <cellStyle name="40 % - Markeringsfarve2 3 5 3 4 2" xfId="9293"/>
    <cellStyle name="40 % - Markeringsfarve2 3 5 3 5" xfId="5970"/>
    <cellStyle name="40 % - Markeringsfarve2 3 5 3 6" xfId="10957"/>
    <cellStyle name="40 % - Markeringsfarve2 3 5 4" xfId="1253"/>
    <cellStyle name="40 % - Markeringsfarve2 3 5 4 2" xfId="2921"/>
    <cellStyle name="40 % - Markeringsfarve2 3 5 4 2 2" xfId="7910"/>
    <cellStyle name="40 % - Markeringsfarve2 3 5 4 3" xfId="4585"/>
    <cellStyle name="40 % - Markeringsfarve2 3 5 4 3 2" xfId="9571"/>
    <cellStyle name="40 % - Markeringsfarve2 3 5 4 4" xfId="6248"/>
    <cellStyle name="40 % - Markeringsfarve2 3 5 5" xfId="2091"/>
    <cellStyle name="40 % - Markeringsfarve2 3 5 5 2" xfId="7080"/>
    <cellStyle name="40 % - Markeringsfarve2 3 5 6" xfId="3756"/>
    <cellStyle name="40 % - Markeringsfarve2 3 5 6 2" xfId="8742"/>
    <cellStyle name="40 % - Markeringsfarve2 3 5 7" xfId="5419"/>
    <cellStyle name="40 % - Markeringsfarve2 3 5 8" xfId="10403"/>
    <cellStyle name="40 % - Markeringsfarve2 3 6" xfId="478"/>
    <cellStyle name="40 % - Markeringsfarve2 3 6 2" xfId="1313"/>
    <cellStyle name="40 % - Markeringsfarve2 3 6 2 2" xfId="2981"/>
    <cellStyle name="40 % - Markeringsfarve2 3 6 2 2 2" xfId="7970"/>
    <cellStyle name="40 % - Markeringsfarve2 3 6 2 3" xfId="4645"/>
    <cellStyle name="40 % - Markeringsfarve2 3 6 2 3 2" xfId="9631"/>
    <cellStyle name="40 % - Markeringsfarve2 3 6 2 4" xfId="6308"/>
    <cellStyle name="40 % - Markeringsfarve2 3 6 3" xfId="2152"/>
    <cellStyle name="40 % - Markeringsfarve2 3 6 3 2" xfId="7141"/>
    <cellStyle name="40 % - Markeringsfarve2 3 6 4" xfId="3816"/>
    <cellStyle name="40 % - Markeringsfarve2 3 6 4 2" xfId="8802"/>
    <cellStyle name="40 % - Markeringsfarve2 3 6 5" xfId="5479"/>
    <cellStyle name="40 % - Markeringsfarve2 3 6 6" xfId="10464"/>
    <cellStyle name="40 % - Markeringsfarve2 3 7" xfId="753"/>
    <cellStyle name="40 % - Markeringsfarve2 3 7 2" xfId="1587"/>
    <cellStyle name="40 % - Markeringsfarve2 3 7 2 2" xfId="3255"/>
    <cellStyle name="40 % - Markeringsfarve2 3 7 2 2 2" xfId="8244"/>
    <cellStyle name="40 % - Markeringsfarve2 3 7 2 3" xfId="4919"/>
    <cellStyle name="40 % - Markeringsfarve2 3 7 2 3 2" xfId="9905"/>
    <cellStyle name="40 % - Markeringsfarve2 3 7 2 4" xfId="6582"/>
    <cellStyle name="40 % - Markeringsfarve2 3 7 3" xfId="2424"/>
    <cellStyle name="40 % - Markeringsfarve2 3 7 3 2" xfId="7413"/>
    <cellStyle name="40 % - Markeringsfarve2 3 7 4" xfId="4088"/>
    <cellStyle name="40 % - Markeringsfarve2 3 7 4 2" xfId="9074"/>
    <cellStyle name="40 % - Markeringsfarve2 3 7 5" xfId="5751"/>
    <cellStyle name="40 % - Markeringsfarve2 3 7 6" xfId="10738"/>
    <cellStyle name="40 % - Markeringsfarve2 3 8" xfId="1034"/>
    <cellStyle name="40 % - Markeringsfarve2 3 8 2" xfId="2702"/>
    <cellStyle name="40 % - Markeringsfarve2 3 8 2 2" xfId="7691"/>
    <cellStyle name="40 % - Markeringsfarve2 3 8 3" xfId="4366"/>
    <cellStyle name="40 % - Markeringsfarve2 3 8 3 2" xfId="9352"/>
    <cellStyle name="40 % - Markeringsfarve2 3 8 4" xfId="6029"/>
    <cellStyle name="40 % - Markeringsfarve2 3 9" xfId="1870"/>
    <cellStyle name="40 % - Markeringsfarve2 3 9 2" xfId="6862"/>
    <cellStyle name="40 % - Markeringsfarve2 4" xfId="119"/>
    <cellStyle name="40 % - Markeringsfarve2 4 2" xfId="492"/>
    <cellStyle name="40 % - Markeringsfarve2 4 2 2" xfId="1327"/>
    <cellStyle name="40 % - Markeringsfarve2 4 2 2 2" xfId="2995"/>
    <cellStyle name="40 % - Markeringsfarve2 4 2 2 2 2" xfId="7984"/>
    <cellStyle name="40 % - Markeringsfarve2 4 2 2 3" xfId="4659"/>
    <cellStyle name="40 % - Markeringsfarve2 4 2 2 3 2" xfId="9645"/>
    <cellStyle name="40 % - Markeringsfarve2 4 2 2 4" xfId="6322"/>
    <cellStyle name="40 % - Markeringsfarve2 4 2 3" xfId="2166"/>
    <cellStyle name="40 % - Markeringsfarve2 4 2 3 2" xfId="7155"/>
    <cellStyle name="40 % - Markeringsfarve2 4 2 4" xfId="3830"/>
    <cellStyle name="40 % - Markeringsfarve2 4 2 4 2" xfId="8816"/>
    <cellStyle name="40 % - Markeringsfarve2 4 2 5" xfId="5493"/>
    <cellStyle name="40 % - Markeringsfarve2 4 2 6" xfId="10478"/>
    <cellStyle name="40 % - Markeringsfarve2 4 3" xfId="767"/>
    <cellStyle name="40 % - Markeringsfarve2 4 3 2" xfId="1601"/>
    <cellStyle name="40 % - Markeringsfarve2 4 3 2 2" xfId="3269"/>
    <cellStyle name="40 % - Markeringsfarve2 4 3 2 2 2" xfId="8258"/>
    <cellStyle name="40 % - Markeringsfarve2 4 3 2 3" xfId="4933"/>
    <cellStyle name="40 % - Markeringsfarve2 4 3 2 3 2" xfId="9919"/>
    <cellStyle name="40 % - Markeringsfarve2 4 3 2 4" xfId="6596"/>
    <cellStyle name="40 % - Markeringsfarve2 4 3 3" xfId="2438"/>
    <cellStyle name="40 % - Markeringsfarve2 4 3 3 2" xfId="7427"/>
    <cellStyle name="40 % - Markeringsfarve2 4 3 4" xfId="4102"/>
    <cellStyle name="40 % - Markeringsfarve2 4 3 4 2" xfId="9088"/>
    <cellStyle name="40 % - Markeringsfarve2 4 3 5" xfId="5765"/>
    <cellStyle name="40 % - Markeringsfarve2 4 3 6" xfId="10752"/>
    <cellStyle name="40 % - Markeringsfarve2 4 4" xfId="1048"/>
    <cellStyle name="40 % - Markeringsfarve2 4 4 2" xfId="2716"/>
    <cellStyle name="40 % - Markeringsfarve2 4 4 2 2" xfId="7705"/>
    <cellStyle name="40 % - Markeringsfarve2 4 4 3" xfId="4380"/>
    <cellStyle name="40 % - Markeringsfarve2 4 4 3 2" xfId="9366"/>
    <cellStyle name="40 % - Markeringsfarve2 4 4 4" xfId="6043"/>
    <cellStyle name="40 % - Markeringsfarve2 4 5" xfId="1886"/>
    <cellStyle name="40 % - Markeringsfarve2 4 5 2" xfId="6875"/>
    <cellStyle name="40 % - Markeringsfarve2 4 6" xfId="3551"/>
    <cellStyle name="40 % - Markeringsfarve2 4 6 2" xfId="8537"/>
    <cellStyle name="40 % - Markeringsfarve2 4 7" xfId="5214"/>
    <cellStyle name="40 % - Markeringsfarve2 4 8" xfId="10198"/>
    <cellStyle name="40 % - Markeringsfarve2 5" xfId="172"/>
    <cellStyle name="40 % - Markeringsfarve2 5 2" xfId="545"/>
    <cellStyle name="40 % - Markeringsfarve2 5 2 2" xfId="1380"/>
    <cellStyle name="40 % - Markeringsfarve2 5 2 2 2" xfId="3048"/>
    <cellStyle name="40 % - Markeringsfarve2 5 2 2 2 2" xfId="8037"/>
    <cellStyle name="40 % - Markeringsfarve2 5 2 2 3" xfId="4712"/>
    <cellStyle name="40 % - Markeringsfarve2 5 2 2 3 2" xfId="9698"/>
    <cellStyle name="40 % - Markeringsfarve2 5 2 2 4" xfId="6375"/>
    <cellStyle name="40 % - Markeringsfarve2 5 2 3" xfId="2217"/>
    <cellStyle name="40 % - Markeringsfarve2 5 2 3 2" xfId="7206"/>
    <cellStyle name="40 % - Markeringsfarve2 5 2 4" xfId="3881"/>
    <cellStyle name="40 % - Markeringsfarve2 5 2 4 2" xfId="8867"/>
    <cellStyle name="40 % - Markeringsfarve2 5 2 5" xfId="5544"/>
    <cellStyle name="40 % - Markeringsfarve2 5 2 6" xfId="10531"/>
    <cellStyle name="40 % - Markeringsfarve2 5 3" xfId="820"/>
    <cellStyle name="40 % - Markeringsfarve2 5 3 2" xfId="1654"/>
    <cellStyle name="40 % - Markeringsfarve2 5 3 2 2" xfId="3322"/>
    <cellStyle name="40 % - Markeringsfarve2 5 3 2 2 2" xfId="8311"/>
    <cellStyle name="40 % - Markeringsfarve2 5 3 2 3" xfId="4986"/>
    <cellStyle name="40 % - Markeringsfarve2 5 3 2 3 2" xfId="9972"/>
    <cellStyle name="40 % - Markeringsfarve2 5 3 2 4" xfId="6649"/>
    <cellStyle name="40 % - Markeringsfarve2 5 3 3" xfId="2491"/>
    <cellStyle name="40 % - Markeringsfarve2 5 3 3 2" xfId="7480"/>
    <cellStyle name="40 % - Markeringsfarve2 5 3 4" xfId="4155"/>
    <cellStyle name="40 % - Markeringsfarve2 5 3 4 2" xfId="9141"/>
    <cellStyle name="40 % - Markeringsfarve2 5 3 5" xfId="5818"/>
    <cellStyle name="40 % - Markeringsfarve2 5 3 6" xfId="10805"/>
    <cellStyle name="40 % - Markeringsfarve2 5 4" xfId="1101"/>
    <cellStyle name="40 % - Markeringsfarve2 5 4 2" xfId="2769"/>
    <cellStyle name="40 % - Markeringsfarve2 5 4 2 2" xfId="7758"/>
    <cellStyle name="40 % - Markeringsfarve2 5 4 3" xfId="4433"/>
    <cellStyle name="40 % - Markeringsfarve2 5 4 3 2" xfId="9419"/>
    <cellStyle name="40 % - Markeringsfarve2 5 4 4" xfId="6096"/>
    <cellStyle name="40 % - Markeringsfarve2 5 5" xfId="1939"/>
    <cellStyle name="40 % - Markeringsfarve2 5 5 2" xfId="6928"/>
    <cellStyle name="40 % - Markeringsfarve2 5 6" xfId="3604"/>
    <cellStyle name="40 % - Markeringsfarve2 5 6 2" xfId="8590"/>
    <cellStyle name="40 % - Markeringsfarve2 5 7" xfId="5267"/>
    <cellStyle name="40 % - Markeringsfarve2 5 8" xfId="10251"/>
    <cellStyle name="40 % - Markeringsfarve2 6" xfId="228"/>
    <cellStyle name="40 % - Markeringsfarve2 6 2" xfId="600"/>
    <cellStyle name="40 % - Markeringsfarve2 6 2 2" xfId="1435"/>
    <cellStyle name="40 % - Markeringsfarve2 6 2 2 2" xfId="3103"/>
    <cellStyle name="40 % - Markeringsfarve2 6 2 2 2 2" xfId="8092"/>
    <cellStyle name="40 % - Markeringsfarve2 6 2 2 3" xfId="4767"/>
    <cellStyle name="40 % - Markeringsfarve2 6 2 2 3 2" xfId="9753"/>
    <cellStyle name="40 % - Markeringsfarve2 6 2 2 4" xfId="6430"/>
    <cellStyle name="40 % - Markeringsfarve2 6 2 3" xfId="2272"/>
    <cellStyle name="40 % - Markeringsfarve2 6 2 3 2" xfId="7261"/>
    <cellStyle name="40 % - Markeringsfarve2 6 2 4" xfId="3936"/>
    <cellStyle name="40 % - Markeringsfarve2 6 2 4 2" xfId="8922"/>
    <cellStyle name="40 % - Markeringsfarve2 6 2 5" xfId="5599"/>
    <cellStyle name="40 % - Markeringsfarve2 6 2 6" xfId="10586"/>
    <cellStyle name="40 % - Markeringsfarve2 6 3" xfId="875"/>
    <cellStyle name="40 % - Markeringsfarve2 6 3 2" xfId="1709"/>
    <cellStyle name="40 % - Markeringsfarve2 6 3 2 2" xfId="3377"/>
    <cellStyle name="40 % - Markeringsfarve2 6 3 2 2 2" xfId="8366"/>
    <cellStyle name="40 % - Markeringsfarve2 6 3 2 3" xfId="5041"/>
    <cellStyle name="40 % - Markeringsfarve2 6 3 2 3 2" xfId="10027"/>
    <cellStyle name="40 % - Markeringsfarve2 6 3 2 4" xfId="6704"/>
    <cellStyle name="40 % - Markeringsfarve2 6 3 3" xfId="2546"/>
    <cellStyle name="40 % - Markeringsfarve2 6 3 3 2" xfId="7535"/>
    <cellStyle name="40 % - Markeringsfarve2 6 3 4" xfId="4210"/>
    <cellStyle name="40 % - Markeringsfarve2 6 3 4 2" xfId="9196"/>
    <cellStyle name="40 % - Markeringsfarve2 6 3 5" xfId="5873"/>
    <cellStyle name="40 % - Markeringsfarve2 6 3 6" xfId="10860"/>
    <cellStyle name="40 % - Markeringsfarve2 6 4" xfId="1156"/>
    <cellStyle name="40 % - Markeringsfarve2 6 4 2" xfId="2824"/>
    <cellStyle name="40 % - Markeringsfarve2 6 4 2 2" xfId="7813"/>
    <cellStyle name="40 % - Markeringsfarve2 6 4 3" xfId="4488"/>
    <cellStyle name="40 % - Markeringsfarve2 6 4 3 2" xfId="9474"/>
    <cellStyle name="40 % - Markeringsfarve2 6 4 4" xfId="6151"/>
    <cellStyle name="40 % - Markeringsfarve2 6 5" xfId="1994"/>
    <cellStyle name="40 % - Markeringsfarve2 6 5 2" xfId="6983"/>
    <cellStyle name="40 % - Markeringsfarve2 6 6" xfId="3659"/>
    <cellStyle name="40 % - Markeringsfarve2 6 6 2" xfId="8645"/>
    <cellStyle name="40 % - Markeringsfarve2 6 7" xfId="5322"/>
    <cellStyle name="40 % - Markeringsfarve2 6 8" xfId="10306"/>
    <cellStyle name="40 % - Markeringsfarve2 7" xfId="283"/>
    <cellStyle name="40 % - Markeringsfarve2 7 2" xfId="655"/>
    <cellStyle name="40 % - Markeringsfarve2 7 2 2" xfId="1490"/>
    <cellStyle name="40 % - Markeringsfarve2 7 2 2 2" xfId="3158"/>
    <cellStyle name="40 % - Markeringsfarve2 7 2 2 2 2" xfId="8147"/>
    <cellStyle name="40 % - Markeringsfarve2 7 2 2 3" xfId="4822"/>
    <cellStyle name="40 % - Markeringsfarve2 7 2 2 3 2" xfId="9808"/>
    <cellStyle name="40 % - Markeringsfarve2 7 2 2 4" xfId="6485"/>
    <cellStyle name="40 % - Markeringsfarve2 7 2 3" xfId="2327"/>
    <cellStyle name="40 % - Markeringsfarve2 7 2 3 2" xfId="7316"/>
    <cellStyle name="40 % - Markeringsfarve2 7 2 4" xfId="3991"/>
    <cellStyle name="40 % - Markeringsfarve2 7 2 4 2" xfId="8977"/>
    <cellStyle name="40 % - Markeringsfarve2 7 2 5" xfId="5654"/>
    <cellStyle name="40 % - Markeringsfarve2 7 2 6" xfId="10641"/>
    <cellStyle name="40 % - Markeringsfarve2 7 3" xfId="930"/>
    <cellStyle name="40 % - Markeringsfarve2 7 3 2" xfId="1764"/>
    <cellStyle name="40 % - Markeringsfarve2 7 3 2 2" xfId="3432"/>
    <cellStyle name="40 % - Markeringsfarve2 7 3 2 2 2" xfId="8421"/>
    <cellStyle name="40 % - Markeringsfarve2 7 3 2 3" xfId="5096"/>
    <cellStyle name="40 % - Markeringsfarve2 7 3 2 3 2" xfId="10082"/>
    <cellStyle name="40 % - Markeringsfarve2 7 3 2 4" xfId="6759"/>
    <cellStyle name="40 % - Markeringsfarve2 7 3 3" xfId="2601"/>
    <cellStyle name="40 % - Markeringsfarve2 7 3 3 2" xfId="7590"/>
    <cellStyle name="40 % - Markeringsfarve2 7 3 4" xfId="4265"/>
    <cellStyle name="40 % - Markeringsfarve2 7 3 4 2" xfId="9251"/>
    <cellStyle name="40 % - Markeringsfarve2 7 3 5" xfId="5928"/>
    <cellStyle name="40 % - Markeringsfarve2 7 3 6" xfId="10915"/>
    <cellStyle name="40 % - Markeringsfarve2 7 4" xfId="1211"/>
    <cellStyle name="40 % - Markeringsfarve2 7 4 2" xfId="2879"/>
    <cellStyle name="40 % - Markeringsfarve2 7 4 2 2" xfId="7868"/>
    <cellStyle name="40 % - Markeringsfarve2 7 4 3" xfId="4543"/>
    <cellStyle name="40 % - Markeringsfarve2 7 4 3 2" xfId="9529"/>
    <cellStyle name="40 % - Markeringsfarve2 7 4 4" xfId="6206"/>
    <cellStyle name="40 % - Markeringsfarve2 7 5" xfId="2049"/>
    <cellStyle name="40 % - Markeringsfarve2 7 5 2" xfId="7038"/>
    <cellStyle name="40 % - Markeringsfarve2 7 6" xfId="3714"/>
    <cellStyle name="40 % - Markeringsfarve2 7 6 2" xfId="8700"/>
    <cellStyle name="40 % - Markeringsfarve2 7 7" xfId="5377"/>
    <cellStyle name="40 % - Markeringsfarve2 7 8" xfId="10361"/>
    <cellStyle name="40 % - Markeringsfarve2 8" xfId="437"/>
    <cellStyle name="40 % - Markeringsfarve2 8 2" xfId="1272"/>
    <cellStyle name="40 % - Markeringsfarve2 8 2 2" xfId="2940"/>
    <cellStyle name="40 % - Markeringsfarve2 8 2 2 2" xfId="7929"/>
    <cellStyle name="40 % - Markeringsfarve2 8 2 3" xfId="4604"/>
    <cellStyle name="40 % - Markeringsfarve2 8 2 3 2" xfId="9590"/>
    <cellStyle name="40 % - Markeringsfarve2 8 2 4" xfId="6267"/>
    <cellStyle name="40 % - Markeringsfarve2 8 3" xfId="2111"/>
    <cellStyle name="40 % - Markeringsfarve2 8 3 2" xfId="7100"/>
    <cellStyle name="40 % - Markeringsfarve2 8 4" xfId="3775"/>
    <cellStyle name="40 % - Markeringsfarve2 8 4 2" xfId="8761"/>
    <cellStyle name="40 % - Markeringsfarve2 8 5" xfId="5438"/>
    <cellStyle name="40 % - Markeringsfarve2 8 6" xfId="10459"/>
    <cellStyle name="40 % - Markeringsfarve2 9" xfId="712"/>
    <cellStyle name="40 % - Markeringsfarve2 9 2" xfId="1546"/>
    <cellStyle name="40 % - Markeringsfarve2 9 2 2" xfId="3214"/>
    <cellStyle name="40 % - Markeringsfarve2 9 2 2 2" xfId="8203"/>
    <cellStyle name="40 % - Markeringsfarve2 9 2 3" xfId="4878"/>
    <cellStyle name="40 % - Markeringsfarve2 9 2 3 2" xfId="9864"/>
    <cellStyle name="40 % - Markeringsfarve2 9 2 4" xfId="6541"/>
    <cellStyle name="40 % - Markeringsfarve2 9 3" xfId="2383"/>
    <cellStyle name="40 % - Markeringsfarve2 9 3 2" xfId="7372"/>
    <cellStyle name="40 % - Markeringsfarve2 9 4" xfId="4047"/>
    <cellStyle name="40 % - Markeringsfarve2 9 4 2" xfId="9033"/>
    <cellStyle name="40 % - Markeringsfarve2 9 5" xfId="5710"/>
    <cellStyle name="40 % - Markeringsfarve2 9 6" xfId="10697"/>
    <cellStyle name="40 % - Markeringsfarve3" xfId="29" builtinId="39" customBuiltin="1"/>
    <cellStyle name="40 % - Markeringsfarve3 10" xfId="1830"/>
    <cellStyle name="40 % - Markeringsfarve3 10 2" xfId="6822"/>
    <cellStyle name="40 % - Markeringsfarve3 11" xfId="3498"/>
    <cellStyle name="40 % - Markeringsfarve3 11 2" xfId="8484"/>
    <cellStyle name="40 % - Markeringsfarve3 12" xfId="5161"/>
    <cellStyle name="40 % - Markeringsfarve3 13" xfId="10145"/>
    <cellStyle name="40 % - Markeringsfarve3 2" xfId="57"/>
    <cellStyle name="40 % - Markeringsfarve3 2 10" xfId="1842"/>
    <cellStyle name="40 % - Markeringsfarve3 2 10 2" xfId="6834"/>
    <cellStyle name="40 % - Markeringsfarve3 2 11" xfId="3510"/>
    <cellStyle name="40 % - Markeringsfarve3 2 11 2" xfId="8496"/>
    <cellStyle name="40 % - Markeringsfarve3 2 12" xfId="5173"/>
    <cellStyle name="40 % - Markeringsfarve3 2 13" xfId="10157"/>
    <cellStyle name="40 % - Markeringsfarve3 2 2" xfId="82"/>
    <cellStyle name="40 % - Markeringsfarve3 2 2 10" xfId="3529"/>
    <cellStyle name="40 % - Markeringsfarve3 2 2 10 2" xfId="8515"/>
    <cellStyle name="40 % - Markeringsfarve3 2 2 11" xfId="5192"/>
    <cellStyle name="40 % - Markeringsfarve3 2 2 12" xfId="10175"/>
    <cellStyle name="40 % - Markeringsfarve3 2 2 2" xfId="150"/>
    <cellStyle name="40 % - Markeringsfarve3 2 2 2 2" xfId="523"/>
    <cellStyle name="40 % - Markeringsfarve3 2 2 2 2 2" xfId="1358"/>
    <cellStyle name="40 % - Markeringsfarve3 2 2 2 2 2 2" xfId="3026"/>
    <cellStyle name="40 % - Markeringsfarve3 2 2 2 2 2 2 2" xfId="8015"/>
    <cellStyle name="40 % - Markeringsfarve3 2 2 2 2 2 3" xfId="4690"/>
    <cellStyle name="40 % - Markeringsfarve3 2 2 2 2 2 3 2" xfId="9676"/>
    <cellStyle name="40 % - Markeringsfarve3 2 2 2 2 2 4" xfId="6353"/>
    <cellStyle name="40 % - Markeringsfarve3 2 2 2 2 3" xfId="2195"/>
    <cellStyle name="40 % - Markeringsfarve3 2 2 2 2 3 2" xfId="7184"/>
    <cellStyle name="40 % - Markeringsfarve3 2 2 2 2 4" xfId="3859"/>
    <cellStyle name="40 % - Markeringsfarve3 2 2 2 2 4 2" xfId="8845"/>
    <cellStyle name="40 % - Markeringsfarve3 2 2 2 2 5" xfId="5522"/>
    <cellStyle name="40 % - Markeringsfarve3 2 2 2 2 6" xfId="10509"/>
    <cellStyle name="40 % - Markeringsfarve3 2 2 2 3" xfId="798"/>
    <cellStyle name="40 % - Markeringsfarve3 2 2 2 3 2" xfId="1632"/>
    <cellStyle name="40 % - Markeringsfarve3 2 2 2 3 2 2" xfId="3300"/>
    <cellStyle name="40 % - Markeringsfarve3 2 2 2 3 2 2 2" xfId="8289"/>
    <cellStyle name="40 % - Markeringsfarve3 2 2 2 3 2 3" xfId="4964"/>
    <cellStyle name="40 % - Markeringsfarve3 2 2 2 3 2 3 2" xfId="9950"/>
    <cellStyle name="40 % - Markeringsfarve3 2 2 2 3 2 4" xfId="6627"/>
    <cellStyle name="40 % - Markeringsfarve3 2 2 2 3 3" xfId="2469"/>
    <cellStyle name="40 % - Markeringsfarve3 2 2 2 3 3 2" xfId="7458"/>
    <cellStyle name="40 % - Markeringsfarve3 2 2 2 3 4" xfId="4133"/>
    <cellStyle name="40 % - Markeringsfarve3 2 2 2 3 4 2" xfId="9119"/>
    <cellStyle name="40 % - Markeringsfarve3 2 2 2 3 5" xfId="5796"/>
    <cellStyle name="40 % - Markeringsfarve3 2 2 2 3 6" xfId="10783"/>
    <cellStyle name="40 % - Markeringsfarve3 2 2 2 4" xfId="1079"/>
    <cellStyle name="40 % - Markeringsfarve3 2 2 2 4 2" xfId="2747"/>
    <cellStyle name="40 % - Markeringsfarve3 2 2 2 4 2 2" xfId="7736"/>
    <cellStyle name="40 % - Markeringsfarve3 2 2 2 4 3" xfId="4411"/>
    <cellStyle name="40 % - Markeringsfarve3 2 2 2 4 3 2" xfId="9397"/>
    <cellStyle name="40 % - Markeringsfarve3 2 2 2 4 4" xfId="6074"/>
    <cellStyle name="40 % - Markeringsfarve3 2 2 2 5" xfId="1917"/>
    <cellStyle name="40 % - Markeringsfarve3 2 2 2 5 2" xfId="6906"/>
    <cellStyle name="40 % - Markeringsfarve3 2 2 2 6" xfId="3582"/>
    <cellStyle name="40 % - Markeringsfarve3 2 2 2 6 2" xfId="8568"/>
    <cellStyle name="40 % - Markeringsfarve3 2 2 2 7" xfId="5245"/>
    <cellStyle name="40 % - Markeringsfarve3 2 2 2 8" xfId="10229"/>
    <cellStyle name="40 % - Markeringsfarve3 2 2 3" xfId="205"/>
    <cellStyle name="40 % - Markeringsfarve3 2 2 3 2" xfId="577"/>
    <cellStyle name="40 % - Markeringsfarve3 2 2 3 2 2" xfId="1412"/>
    <cellStyle name="40 % - Markeringsfarve3 2 2 3 2 2 2" xfId="3080"/>
    <cellStyle name="40 % - Markeringsfarve3 2 2 3 2 2 2 2" xfId="8069"/>
    <cellStyle name="40 % - Markeringsfarve3 2 2 3 2 2 3" xfId="4744"/>
    <cellStyle name="40 % - Markeringsfarve3 2 2 3 2 2 3 2" xfId="9730"/>
    <cellStyle name="40 % - Markeringsfarve3 2 2 3 2 2 4" xfId="6407"/>
    <cellStyle name="40 % - Markeringsfarve3 2 2 3 2 3" xfId="2249"/>
    <cellStyle name="40 % - Markeringsfarve3 2 2 3 2 3 2" xfId="7238"/>
    <cellStyle name="40 % - Markeringsfarve3 2 2 3 2 4" xfId="3913"/>
    <cellStyle name="40 % - Markeringsfarve3 2 2 3 2 4 2" xfId="8899"/>
    <cellStyle name="40 % - Markeringsfarve3 2 2 3 2 5" xfId="5576"/>
    <cellStyle name="40 % - Markeringsfarve3 2 2 3 2 6" xfId="10563"/>
    <cellStyle name="40 % - Markeringsfarve3 2 2 3 3" xfId="852"/>
    <cellStyle name="40 % - Markeringsfarve3 2 2 3 3 2" xfId="1686"/>
    <cellStyle name="40 % - Markeringsfarve3 2 2 3 3 2 2" xfId="3354"/>
    <cellStyle name="40 % - Markeringsfarve3 2 2 3 3 2 2 2" xfId="8343"/>
    <cellStyle name="40 % - Markeringsfarve3 2 2 3 3 2 3" xfId="5018"/>
    <cellStyle name="40 % - Markeringsfarve3 2 2 3 3 2 3 2" xfId="10004"/>
    <cellStyle name="40 % - Markeringsfarve3 2 2 3 3 2 4" xfId="6681"/>
    <cellStyle name="40 % - Markeringsfarve3 2 2 3 3 3" xfId="2523"/>
    <cellStyle name="40 % - Markeringsfarve3 2 2 3 3 3 2" xfId="7512"/>
    <cellStyle name="40 % - Markeringsfarve3 2 2 3 3 4" xfId="4187"/>
    <cellStyle name="40 % - Markeringsfarve3 2 2 3 3 4 2" xfId="9173"/>
    <cellStyle name="40 % - Markeringsfarve3 2 2 3 3 5" xfId="5850"/>
    <cellStyle name="40 % - Markeringsfarve3 2 2 3 3 6" xfId="10837"/>
    <cellStyle name="40 % - Markeringsfarve3 2 2 3 4" xfId="1133"/>
    <cellStyle name="40 % - Markeringsfarve3 2 2 3 4 2" xfId="2801"/>
    <cellStyle name="40 % - Markeringsfarve3 2 2 3 4 2 2" xfId="7790"/>
    <cellStyle name="40 % - Markeringsfarve3 2 2 3 4 3" xfId="4465"/>
    <cellStyle name="40 % - Markeringsfarve3 2 2 3 4 3 2" xfId="9451"/>
    <cellStyle name="40 % - Markeringsfarve3 2 2 3 4 4" xfId="6128"/>
    <cellStyle name="40 % - Markeringsfarve3 2 2 3 5" xfId="1971"/>
    <cellStyle name="40 % - Markeringsfarve3 2 2 3 5 2" xfId="6960"/>
    <cellStyle name="40 % - Markeringsfarve3 2 2 3 6" xfId="3636"/>
    <cellStyle name="40 % - Markeringsfarve3 2 2 3 6 2" xfId="8622"/>
    <cellStyle name="40 % - Markeringsfarve3 2 2 3 7" xfId="5299"/>
    <cellStyle name="40 % - Markeringsfarve3 2 2 3 8" xfId="10283"/>
    <cellStyle name="40 % - Markeringsfarve3 2 2 4" xfId="260"/>
    <cellStyle name="40 % - Markeringsfarve3 2 2 4 2" xfId="632"/>
    <cellStyle name="40 % - Markeringsfarve3 2 2 4 2 2" xfId="1467"/>
    <cellStyle name="40 % - Markeringsfarve3 2 2 4 2 2 2" xfId="3135"/>
    <cellStyle name="40 % - Markeringsfarve3 2 2 4 2 2 2 2" xfId="8124"/>
    <cellStyle name="40 % - Markeringsfarve3 2 2 4 2 2 3" xfId="4799"/>
    <cellStyle name="40 % - Markeringsfarve3 2 2 4 2 2 3 2" xfId="9785"/>
    <cellStyle name="40 % - Markeringsfarve3 2 2 4 2 2 4" xfId="6462"/>
    <cellStyle name="40 % - Markeringsfarve3 2 2 4 2 3" xfId="2304"/>
    <cellStyle name="40 % - Markeringsfarve3 2 2 4 2 3 2" xfId="7293"/>
    <cellStyle name="40 % - Markeringsfarve3 2 2 4 2 4" xfId="3968"/>
    <cellStyle name="40 % - Markeringsfarve3 2 2 4 2 4 2" xfId="8954"/>
    <cellStyle name="40 % - Markeringsfarve3 2 2 4 2 5" xfId="5631"/>
    <cellStyle name="40 % - Markeringsfarve3 2 2 4 2 6" xfId="10618"/>
    <cellStyle name="40 % - Markeringsfarve3 2 2 4 3" xfId="907"/>
    <cellStyle name="40 % - Markeringsfarve3 2 2 4 3 2" xfId="1741"/>
    <cellStyle name="40 % - Markeringsfarve3 2 2 4 3 2 2" xfId="3409"/>
    <cellStyle name="40 % - Markeringsfarve3 2 2 4 3 2 2 2" xfId="8398"/>
    <cellStyle name="40 % - Markeringsfarve3 2 2 4 3 2 3" xfId="5073"/>
    <cellStyle name="40 % - Markeringsfarve3 2 2 4 3 2 3 2" xfId="10059"/>
    <cellStyle name="40 % - Markeringsfarve3 2 2 4 3 2 4" xfId="6736"/>
    <cellStyle name="40 % - Markeringsfarve3 2 2 4 3 3" xfId="2578"/>
    <cellStyle name="40 % - Markeringsfarve3 2 2 4 3 3 2" xfId="7567"/>
    <cellStyle name="40 % - Markeringsfarve3 2 2 4 3 4" xfId="4242"/>
    <cellStyle name="40 % - Markeringsfarve3 2 2 4 3 4 2" xfId="9228"/>
    <cellStyle name="40 % - Markeringsfarve3 2 2 4 3 5" xfId="5905"/>
    <cellStyle name="40 % - Markeringsfarve3 2 2 4 3 6" xfId="10892"/>
    <cellStyle name="40 % - Markeringsfarve3 2 2 4 4" xfId="1188"/>
    <cellStyle name="40 % - Markeringsfarve3 2 2 4 4 2" xfId="2856"/>
    <cellStyle name="40 % - Markeringsfarve3 2 2 4 4 2 2" xfId="7845"/>
    <cellStyle name="40 % - Markeringsfarve3 2 2 4 4 3" xfId="4520"/>
    <cellStyle name="40 % - Markeringsfarve3 2 2 4 4 3 2" xfId="9506"/>
    <cellStyle name="40 % - Markeringsfarve3 2 2 4 4 4" xfId="6183"/>
    <cellStyle name="40 % - Markeringsfarve3 2 2 4 5" xfId="2026"/>
    <cellStyle name="40 % - Markeringsfarve3 2 2 4 5 2" xfId="7015"/>
    <cellStyle name="40 % - Markeringsfarve3 2 2 4 6" xfId="3691"/>
    <cellStyle name="40 % - Markeringsfarve3 2 2 4 6 2" xfId="8677"/>
    <cellStyle name="40 % - Markeringsfarve3 2 2 4 7" xfId="5354"/>
    <cellStyle name="40 % - Markeringsfarve3 2 2 4 8" xfId="10338"/>
    <cellStyle name="40 % - Markeringsfarve3 2 2 5" xfId="316"/>
    <cellStyle name="40 % - Markeringsfarve3 2 2 5 2" xfId="688"/>
    <cellStyle name="40 % - Markeringsfarve3 2 2 5 2 2" xfId="1523"/>
    <cellStyle name="40 % - Markeringsfarve3 2 2 5 2 2 2" xfId="3191"/>
    <cellStyle name="40 % - Markeringsfarve3 2 2 5 2 2 2 2" xfId="8180"/>
    <cellStyle name="40 % - Markeringsfarve3 2 2 5 2 2 3" xfId="4855"/>
    <cellStyle name="40 % - Markeringsfarve3 2 2 5 2 2 3 2" xfId="9841"/>
    <cellStyle name="40 % - Markeringsfarve3 2 2 5 2 2 4" xfId="6518"/>
    <cellStyle name="40 % - Markeringsfarve3 2 2 5 2 3" xfId="2360"/>
    <cellStyle name="40 % - Markeringsfarve3 2 2 5 2 3 2" xfId="7349"/>
    <cellStyle name="40 % - Markeringsfarve3 2 2 5 2 4" xfId="4024"/>
    <cellStyle name="40 % - Markeringsfarve3 2 2 5 2 4 2" xfId="9010"/>
    <cellStyle name="40 % - Markeringsfarve3 2 2 5 2 5" xfId="5687"/>
    <cellStyle name="40 % - Markeringsfarve3 2 2 5 2 6" xfId="10674"/>
    <cellStyle name="40 % - Markeringsfarve3 2 2 5 3" xfId="963"/>
    <cellStyle name="40 % - Markeringsfarve3 2 2 5 3 2" xfId="1797"/>
    <cellStyle name="40 % - Markeringsfarve3 2 2 5 3 2 2" xfId="3465"/>
    <cellStyle name="40 % - Markeringsfarve3 2 2 5 3 2 2 2" xfId="8454"/>
    <cellStyle name="40 % - Markeringsfarve3 2 2 5 3 2 3" xfId="5129"/>
    <cellStyle name="40 % - Markeringsfarve3 2 2 5 3 2 3 2" xfId="10115"/>
    <cellStyle name="40 % - Markeringsfarve3 2 2 5 3 2 4" xfId="6792"/>
    <cellStyle name="40 % - Markeringsfarve3 2 2 5 3 3" xfId="2634"/>
    <cellStyle name="40 % - Markeringsfarve3 2 2 5 3 3 2" xfId="7623"/>
    <cellStyle name="40 % - Markeringsfarve3 2 2 5 3 4" xfId="4298"/>
    <cellStyle name="40 % - Markeringsfarve3 2 2 5 3 4 2" xfId="9284"/>
    <cellStyle name="40 % - Markeringsfarve3 2 2 5 3 5" xfId="5961"/>
    <cellStyle name="40 % - Markeringsfarve3 2 2 5 3 6" xfId="10948"/>
    <cellStyle name="40 % - Markeringsfarve3 2 2 5 4" xfId="1244"/>
    <cellStyle name="40 % - Markeringsfarve3 2 2 5 4 2" xfId="2912"/>
    <cellStyle name="40 % - Markeringsfarve3 2 2 5 4 2 2" xfId="7901"/>
    <cellStyle name="40 % - Markeringsfarve3 2 2 5 4 3" xfId="4576"/>
    <cellStyle name="40 % - Markeringsfarve3 2 2 5 4 3 2" xfId="9562"/>
    <cellStyle name="40 % - Markeringsfarve3 2 2 5 4 4" xfId="6239"/>
    <cellStyle name="40 % - Markeringsfarve3 2 2 5 5" xfId="2082"/>
    <cellStyle name="40 % - Markeringsfarve3 2 2 5 5 2" xfId="7071"/>
    <cellStyle name="40 % - Markeringsfarve3 2 2 5 6" xfId="3747"/>
    <cellStyle name="40 % - Markeringsfarve3 2 2 5 6 2" xfId="8733"/>
    <cellStyle name="40 % - Markeringsfarve3 2 2 5 7" xfId="5410"/>
    <cellStyle name="40 % - Markeringsfarve3 2 2 5 8" xfId="10394"/>
    <cellStyle name="40 % - Markeringsfarve3 2 2 6" xfId="469"/>
    <cellStyle name="40 % - Markeringsfarve3 2 2 6 2" xfId="1304"/>
    <cellStyle name="40 % - Markeringsfarve3 2 2 6 2 2" xfId="2972"/>
    <cellStyle name="40 % - Markeringsfarve3 2 2 6 2 2 2" xfId="7961"/>
    <cellStyle name="40 % - Markeringsfarve3 2 2 6 2 3" xfId="4636"/>
    <cellStyle name="40 % - Markeringsfarve3 2 2 6 2 3 2" xfId="9622"/>
    <cellStyle name="40 % - Markeringsfarve3 2 2 6 2 4" xfId="6299"/>
    <cellStyle name="40 % - Markeringsfarve3 2 2 6 3" xfId="2143"/>
    <cellStyle name="40 % - Markeringsfarve3 2 2 6 3 2" xfId="7132"/>
    <cellStyle name="40 % - Markeringsfarve3 2 2 6 4" xfId="3807"/>
    <cellStyle name="40 % - Markeringsfarve3 2 2 6 4 2" xfId="8793"/>
    <cellStyle name="40 % - Markeringsfarve3 2 2 6 5" xfId="5470"/>
    <cellStyle name="40 % - Markeringsfarve3 2 2 6 6" xfId="10441"/>
    <cellStyle name="40 % - Markeringsfarve3 2 2 7" xfId="744"/>
    <cellStyle name="40 % - Markeringsfarve3 2 2 7 2" xfId="1578"/>
    <cellStyle name="40 % - Markeringsfarve3 2 2 7 2 2" xfId="3246"/>
    <cellStyle name="40 % - Markeringsfarve3 2 2 7 2 2 2" xfId="8235"/>
    <cellStyle name="40 % - Markeringsfarve3 2 2 7 2 3" xfId="4910"/>
    <cellStyle name="40 % - Markeringsfarve3 2 2 7 2 3 2" xfId="9896"/>
    <cellStyle name="40 % - Markeringsfarve3 2 2 7 2 4" xfId="6573"/>
    <cellStyle name="40 % - Markeringsfarve3 2 2 7 3" xfId="2415"/>
    <cellStyle name="40 % - Markeringsfarve3 2 2 7 3 2" xfId="7404"/>
    <cellStyle name="40 % - Markeringsfarve3 2 2 7 4" xfId="4079"/>
    <cellStyle name="40 % - Markeringsfarve3 2 2 7 4 2" xfId="9065"/>
    <cellStyle name="40 % - Markeringsfarve3 2 2 7 5" xfId="5742"/>
    <cellStyle name="40 % - Markeringsfarve3 2 2 7 6" xfId="10729"/>
    <cellStyle name="40 % - Markeringsfarve3 2 2 8" xfId="1025"/>
    <cellStyle name="40 % - Markeringsfarve3 2 2 8 2" xfId="2693"/>
    <cellStyle name="40 % - Markeringsfarve3 2 2 8 2 2" xfId="7682"/>
    <cellStyle name="40 % - Markeringsfarve3 2 2 8 3" xfId="4357"/>
    <cellStyle name="40 % - Markeringsfarve3 2 2 8 3 2" xfId="9343"/>
    <cellStyle name="40 % - Markeringsfarve3 2 2 8 4" xfId="6020"/>
    <cellStyle name="40 % - Markeringsfarve3 2 2 9" xfId="1861"/>
    <cellStyle name="40 % - Markeringsfarve3 2 2 9 2" xfId="6853"/>
    <cellStyle name="40 % - Markeringsfarve3 2 3" xfId="133"/>
    <cellStyle name="40 % - Markeringsfarve3 2 3 2" xfId="506"/>
    <cellStyle name="40 % - Markeringsfarve3 2 3 2 2" xfId="1341"/>
    <cellStyle name="40 % - Markeringsfarve3 2 3 2 2 2" xfId="3009"/>
    <cellStyle name="40 % - Markeringsfarve3 2 3 2 2 2 2" xfId="7998"/>
    <cellStyle name="40 % - Markeringsfarve3 2 3 2 2 3" xfId="4673"/>
    <cellStyle name="40 % - Markeringsfarve3 2 3 2 2 3 2" xfId="9659"/>
    <cellStyle name="40 % - Markeringsfarve3 2 3 2 2 4" xfId="6336"/>
    <cellStyle name="40 % - Markeringsfarve3 2 3 2 3" xfId="2180"/>
    <cellStyle name="40 % - Markeringsfarve3 2 3 2 3 2" xfId="7169"/>
    <cellStyle name="40 % - Markeringsfarve3 2 3 2 4" xfId="3844"/>
    <cellStyle name="40 % - Markeringsfarve3 2 3 2 4 2" xfId="8830"/>
    <cellStyle name="40 % - Markeringsfarve3 2 3 2 5" xfId="5507"/>
    <cellStyle name="40 % - Markeringsfarve3 2 3 2 6" xfId="10492"/>
    <cellStyle name="40 % - Markeringsfarve3 2 3 3" xfId="781"/>
    <cellStyle name="40 % - Markeringsfarve3 2 3 3 2" xfId="1615"/>
    <cellStyle name="40 % - Markeringsfarve3 2 3 3 2 2" xfId="3283"/>
    <cellStyle name="40 % - Markeringsfarve3 2 3 3 2 2 2" xfId="8272"/>
    <cellStyle name="40 % - Markeringsfarve3 2 3 3 2 3" xfId="4947"/>
    <cellStyle name="40 % - Markeringsfarve3 2 3 3 2 3 2" xfId="9933"/>
    <cellStyle name="40 % - Markeringsfarve3 2 3 3 2 4" xfId="6610"/>
    <cellStyle name="40 % - Markeringsfarve3 2 3 3 3" xfId="2452"/>
    <cellStyle name="40 % - Markeringsfarve3 2 3 3 3 2" xfId="7441"/>
    <cellStyle name="40 % - Markeringsfarve3 2 3 3 4" xfId="4116"/>
    <cellStyle name="40 % - Markeringsfarve3 2 3 3 4 2" xfId="9102"/>
    <cellStyle name="40 % - Markeringsfarve3 2 3 3 5" xfId="5779"/>
    <cellStyle name="40 % - Markeringsfarve3 2 3 3 6" xfId="10766"/>
    <cellStyle name="40 % - Markeringsfarve3 2 3 4" xfId="1062"/>
    <cellStyle name="40 % - Markeringsfarve3 2 3 4 2" xfId="2730"/>
    <cellStyle name="40 % - Markeringsfarve3 2 3 4 2 2" xfId="7719"/>
    <cellStyle name="40 % - Markeringsfarve3 2 3 4 3" xfId="4394"/>
    <cellStyle name="40 % - Markeringsfarve3 2 3 4 3 2" xfId="9380"/>
    <cellStyle name="40 % - Markeringsfarve3 2 3 4 4" xfId="6057"/>
    <cellStyle name="40 % - Markeringsfarve3 2 3 5" xfId="1900"/>
    <cellStyle name="40 % - Markeringsfarve3 2 3 5 2" xfId="6889"/>
    <cellStyle name="40 % - Markeringsfarve3 2 3 6" xfId="3565"/>
    <cellStyle name="40 % - Markeringsfarve3 2 3 6 2" xfId="8551"/>
    <cellStyle name="40 % - Markeringsfarve3 2 3 7" xfId="5228"/>
    <cellStyle name="40 % - Markeringsfarve3 2 3 8" xfId="10212"/>
    <cellStyle name="40 % - Markeringsfarve3 2 4" xfId="187"/>
    <cellStyle name="40 % - Markeringsfarve3 2 4 2" xfId="559"/>
    <cellStyle name="40 % - Markeringsfarve3 2 4 2 2" xfId="1394"/>
    <cellStyle name="40 % - Markeringsfarve3 2 4 2 2 2" xfId="3062"/>
    <cellStyle name="40 % - Markeringsfarve3 2 4 2 2 2 2" xfId="8051"/>
    <cellStyle name="40 % - Markeringsfarve3 2 4 2 2 3" xfId="4726"/>
    <cellStyle name="40 % - Markeringsfarve3 2 4 2 2 3 2" xfId="9712"/>
    <cellStyle name="40 % - Markeringsfarve3 2 4 2 2 4" xfId="6389"/>
    <cellStyle name="40 % - Markeringsfarve3 2 4 2 3" xfId="2231"/>
    <cellStyle name="40 % - Markeringsfarve3 2 4 2 3 2" xfId="7220"/>
    <cellStyle name="40 % - Markeringsfarve3 2 4 2 4" xfId="3895"/>
    <cellStyle name="40 % - Markeringsfarve3 2 4 2 4 2" xfId="8881"/>
    <cellStyle name="40 % - Markeringsfarve3 2 4 2 5" xfId="5558"/>
    <cellStyle name="40 % - Markeringsfarve3 2 4 2 6" xfId="10545"/>
    <cellStyle name="40 % - Markeringsfarve3 2 4 3" xfId="834"/>
    <cellStyle name="40 % - Markeringsfarve3 2 4 3 2" xfId="1668"/>
    <cellStyle name="40 % - Markeringsfarve3 2 4 3 2 2" xfId="3336"/>
    <cellStyle name="40 % - Markeringsfarve3 2 4 3 2 2 2" xfId="8325"/>
    <cellStyle name="40 % - Markeringsfarve3 2 4 3 2 3" xfId="5000"/>
    <cellStyle name="40 % - Markeringsfarve3 2 4 3 2 3 2" xfId="9986"/>
    <cellStyle name="40 % - Markeringsfarve3 2 4 3 2 4" xfId="6663"/>
    <cellStyle name="40 % - Markeringsfarve3 2 4 3 3" xfId="2505"/>
    <cellStyle name="40 % - Markeringsfarve3 2 4 3 3 2" xfId="7494"/>
    <cellStyle name="40 % - Markeringsfarve3 2 4 3 4" xfId="4169"/>
    <cellStyle name="40 % - Markeringsfarve3 2 4 3 4 2" xfId="9155"/>
    <cellStyle name="40 % - Markeringsfarve3 2 4 3 5" xfId="5832"/>
    <cellStyle name="40 % - Markeringsfarve3 2 4 3 6" xfId="10819"/>
    <cellStyle name="40 % - Markeringsfarve3 2 4 4" xfId="1115"/>
    <cellStyle name="40 % - Markeringsfarve3 2 4 4 2" xfId="2783"/>
    <cellStyle name="40 % - Markeringsfarve3 2 4 4 2 2" xfId="7772"/>
    <cellStyle name="40 % - Markeringsfarve3 2 4 4 3" xfId="4447"/>
    <cellStyle name="40 % - Markeringsfarve3 2 4 4 3 2" xfId="9433"/>
    <cellStyle name="40 % - Markeringsfarve3 2 4 4 4" xfId="6110"/>
    <cellStyle name="40 % - Markeringsfarve3 2 4 5" xfId="1953"/>
    <cellStyle name="40 % - Markeringsfarve3 2 4 5 2" xfId="6942"/>
    <cellStyle name="40 % - Markeringsfarve3 2 4 6" xfId="3618"/>
    <cellStyle name="40 % - Markeringsfarve3 2 4 6 2" xfId="8604"/>
    <cellStyle name="40 % - Markeringsfarve3 2 4 7" xfId="5281"/>
    <cellStyle name="40 % - Markeringsfarve3 2 4 8" xfId="10265"/>
    <cellStyle name="40 % - Markeringsfarve3 2 5" xfId="241"/>
    <cellStyle name="40 % - Markeringsfarve3 2 5 2" xfId="613"/>
    <cellStyle name="40 % - Markeringsfarve3 2 5 2 2" xfId="1448"/>
    <cellStyle name="40 % - Markeringsfarve3 2 5 2 2 2" xfId="3116"/>
    <cellStyle name="40 % - Markeringsfarve3 2 5 2 2 2 2" xfId="8105"/>
    <cellStyle name="40 % - Markeringsfarve3 2 5 2 2 3" xfId="4780"/>
    <cellStyle name="40 % - Markeringsfarve3 2 5 2 2 3 2" xfId="9766"/>
    <cellStyle name="40 % - Markeringsfarve3 2 5 2 2 4" xfId="6443"/>
    <cellStyle name="40 % - Markeringsfarve3 2 5 2 3" xfId="2285"/>
    <cellStyle name="40 % - Markeringsfarve3 2 5 2 3 2" xfId="7274"/>
    <cellStyle name="40 % - Markeringsfarve3 2 5 2 4" xfId="3949"/>
    <cellStyle name="40 % - Markeringsfarve3 2 5 2 4 2" xfId="8935"/>
    <cellStyle name="40 % - Markeringsfarve3 2 5 2 5" xfId="5612"/>
    <cellStyle name="40 % - Markeringsfarve3 2 5 2 6" xfId="10599"/>
    <cellStyle name="40 % - Markeringsfarve3 2 5 3" xfId="888"/>
    <cellStyle name="40 % - Markeringsfarve3 2 5 3 2" xfId="1722"/>
    <cellStyle name="40 % - Markeringsfarve3 2 5 3 2 2" xfId="3390"/>
    <cellStyle name="40 % - Markeringsfarve3 2 5 3 2 2 2" xfId="8379"/>
    <cellStyle name="40 % - Markeringsfarve3 2 5 3 2 3" xfId="5054"/>
    <cellStyle name="40 % - Markeringsfarve3 2 5 3 2 3 2" xfId="10040"/>
    <cellStyle name="40 % - Markeringsfarve3 2 5 3 2 4" xfId="6717"/>
    <cellStyle name="40 % - Markeringsfarve3 2 5 3 3" xfId="2559"/>
    <cellStyle name="40 % - Markeringsfarve3 2 5 3 3 2" xfId="7548"/>
    <cellStyle name="40 % - Markeringsfarve3 2 5 3 4" xfId="4223"/>
    <cellStyle name="40 % - Markeringsfarve3 2 5 3 4 2" xfId="9209"/>
    <cellStyle name="40 % - Markeringsfarve3 2 5 3 5" xfId="5886"/>
    <cellStyle name="40 % - Markeringsfarve3 2 5 3 6" xfId="10873"/>
    <cellStyle name="40 % - Markeringsfarve3 2 5 4" xfId="1169"/>
    <cellStyle name="40 % - Markeringsfarve3 2 5 4 2" xfId="2837"/>
    <cellStyle name="40 % - Markeringsfarve3 2 5 4 2 2" xfId="7826"/>
    <cellStyle name="40 % - Markeringsfarve3 2 5 4 3" xfId="4501"/>
    <cellStyle name="40 % - Markeringsfarve3 2 5 4 3 2" xfId="9487"/>
    <cellStyle name="40 % - Markeringsfarve3 2 5 4 4" xfId="6164"/>
    <cellStyle name="40 % - Markeringsfarve3 2 5 5" xfId="2007"/>
    <cellStyle name="40 % - Markeringsfarve3 2 5 5 2" xfId="6996"/>
    <cellStyle name="40 % - Markeringsfarve3 2 5 6" xfId="3672"/>
    <cellStyle name="40 % - Markeringsfarve3 2 5 6 2" xfId="8658"/>
    <cellStyle name="40 % - Markeringsfarve3 2 5 7" xfId="5335"/>
    <cellStyle name="40 % - Markeringsfarve3 2 5 8" xfId="10319"/>
    <cellStyle name="40 % - Markeringsfarve3 2 6" xfId="297"/>
    <cellStyle name="40 % - Markeringsfarve3 2 6 2" xfId="669"/>
    <cellStyle name="40 % - Markeringsfarve3 2 6 2 2" xfId="1504"/>
    <cellStyle name="40 % - Markeringsfarve3 2 6 2 2 2" xfId="3172"/>
    <cellStyle name="40 % - Markeringsfarve3 2 6 2 2 2 2" xfId="8161"/>
    <cellStyle name="40 % - Markeringsfarve3 2 6 2 2 3" xfId="4836"/>
    <cellStyle name="40 % - Markeringsfarve3 2 6 2 2 3 2" xfId="9822"/>
    <cellStyle name="40 % - Markeringsfarve3 2 6 2 2 4" xfId="6499"/>
    <cellStyle name="40 % - Markeringsfarve3 2 6 2 3" xfId="2341"/>
    <cellStyle name="40 % - Markeringsfarve3 2 6 2 3 2" xfId="7330"/>
    <cellStyle name="40 % - Markeringsfarve3 2 6 2 4" xfId="4005"/>
    <cellStyle name="40 % - Markeringsfarve3 2 6 2 4 2" xfId="8991"/>
    <cellStyle name="40 % - Markeringsfarve3 2 6 2 5" xfId="5668"/>
    <cellStyle name="40 % - Markeringsfarve3 2 6 2 6" xfId="10655"/>
    <cellStyle name="40 % - Markeringsfarve3 2 6 3" xfId="944"/>
    <cellStyle name="40 % - Markeringsfarve3 2 6 3 2" xfId="1778"/>
    <cellStyle name="40 % - Markeringsfarve3 2 6 3 2 2" xfId="3446"/>
    <cellStyle name="40 % - Markeringsfarve3 2 6 3 2 2 2" xfId="8435"/>
    <cellStyle name="40 % - Markeringsfarve3 2 6 3 2 3" xfId="5110"/>
    <cellStyle name="40 % - Markeringsfarve3 2 6 3 2 3 2" xfId="10096"/>
    <cellStyle name="40 % - Markeringsfarve3 2 6 3 2 4" xfId="6773"/>
    <cellStyle name="40 % - Markeringsfarve3 2 6 3 3" xfId="2615"/>
    <cellStyle name="40 % - Markeringsfarve3 2 6 3 3 2" xfId="7604"/>
    <cellStyle name="40 % - Markeringsfarve3 2 6 3 4" xfId="4279"/>
    <cellStyle name="40 % - Markeringsfarve3 2 6 3 4 2" xfId="9265"/>
    <cellStyle name="40 % - Markeringsfarve3 2 6 3 5" xfId="5942"/>
    <cellStyle name="40 % - Markeringsfarve3 2 6 3 6" xfId="10929"/>
    <cellStyle name="40 % - Markeringsfarve3 2 6 4" xfId="1225"/>
    <cellStyle name="40 % - Markeringsfarve3 2 6 4 2" xfId="2893"/>
    <cellStyle name="40 % - Markeringsfarve3 2 6 4 2 2" xfId="7882"/>
    <cellStyle name="40 % - Markeringsfarve3 2 6 4 3" xfId="4557"/>
    <cellStyle name="40 % - Markeringsfarve3 2 6 4 3 2" xfId="9543"/>
    <cellStyle name="40 % - Markeringsfarve3 2 6 4 4" xfId="6220"/>
    <cellStyle name="40 % - Markeringsfarve3 2 6 5" xfId="2063"/>
    <cellStyle name="40 % - Markeringsfarve3 2 6 5 2" xfId="7052"/>
    <cellStyle name="40 % - Markeringsfarve3 2 6 6" xfId="3728"/>
    <cellStyle name="40 % - Markeringsfarve3 2 6 6 2" xfId="8714"/>
    <cellStyle name="40 % - Markeringsfarve3 2 6 7" xfId="5391"/>
    <cellStyle name="40 % - Markeringsfarve3 2 6 8" xfId="10375"/>
    <cellStyle name="40 % - Markeringsfarve3 2 7" xfId="451"/>
    <cellStyle name="40 % - Markeringsfarve3 2 7 2" xfId="1286"/>
    <cellStyle name="40 % - Markeringsfarve3 2 7 2 2" xfId="2954"/>
    <cellStyle name="40 % - Markeringsfarve3 2 7 2 2 2" xfId="7943"/>
    <cellStyle name="40 % - Markeringsfarve3 2 7 2 3" xfId="4618"/>
    <cellStyle name="40 % - Markeringsfarve3 2 7 2 3 2" xfId="9604"/>
    <cellStyle name="40 % - Markeringsfarve3 2 7 2 4" xfId="6281"/>
    <cellStyle name="40 % - Markeringsfarve3 2 7 3" xfId="2125"/>
    <cellStyle name="40 % - Markeringsfarve3 2 7 3 2" xfId="7114"/>
    <cellStyle name="40 % - Markeringsfarve3 2 7 4" xfId="3789"/>
    <cellStyle name="40 % - Markeringsfarve3 2 7 4 2" xfId="8775"/>
    <cellStyle name="40 % - Markeringsfarve3 2 7 5" xfId="5452"/>
    <cellStyle name="40 % - Markeringsfarve3 2 7 6" xfId="10430"/>
    <cellStyle name="40 % - Markeringsfarve3 2 8" xfId="726"/>
    <cellStyle name="40 % - Markeringsfarve3 2 8 2" xfId="1560"/>
    <cellStyle name="40 % - Markeringsfarve3 2 8 2 2" xfId="3228"/>
    <cellStyle name="40 % - Markeringsfarve3 2 8 2 2 2" xfId="8217"/>
    <cellStyle name="40 % - Markeringsfarve3 2 8 2 3" xfId="4892"/>
    <cellStyle name="40 % - Markeringsfarve3 2 8 2 3 2" xfId="9878"/>
    <cellStyle name="40 % - Markeringsfarve3 2 8 2 4" xfId="6555"/>
    <cellStyle name="40 % - Markeringsfarve3 2 8 3" xfId="2397"/>
    <cellStyle name="40 % - Markeringsfarve3 2 8 3 2" xfId="7386"/>
    <cellStyle name="40 % - Markeringsfarve3 2 8 4" xfId="4061"/>
    <cellStyle name="40 % - Markeringsfarve3 2 8 4 2" xfId="9047"/>
    <cellStyle name="40 % - Markeringsfarve3 2 8 5" xfId="5724"/>
    <cellStyle name="40 % - Markeringsfarve3 2 8 6" xfId="10711"/>
    <cellStyle name="40 % - Markeringsfarve3 2 9" xfId="1007"/>
    <cellStyle name="40 % - Markeringsfarve3 2 9 2" xfId="2675"/>
    <cellStyle name="40 % - Markeringsfarve3 2 9 2 2" xfId="7664"/>
    <cellStyle name="40 % - Markeringsfarve3 2 9 3" xfId="4339"/>
    <cellStyle name="40 % - Markeringsfarve3 2 9 3 2" xfId="9325"/>
    <cellStyle name="40 % - Markeringsfarve3 2 9 4" xfId="6002"/>
    <cellStyle name="40 % - Markeringsfarve3 3" xfId="121"/>
    <cellStyle name="40 % - Markeringsfarve3 3 2" xfId="494"/>
    <cellStyle name="40 % - Markeringsfarve3 3 2 2" xfId="1329"/>
    <cellStyle name="40 % - Markeringsfarve3 3 2 2 2" xfId="2997"/>
    <cellStyle name="40 % - Markeringsfarve3 3 2 2 2 2" xfId="7986"/>
    <cellStyle name="40 % - Markeringsfarve3 3 2 2 3" xfId="4661"/>
    <cellStyle name="40 % - Markeringsfarve3 3 2 2 3 2" xfId="9647"/>
    <cellStyle name="40 % - Markeringsfarve3 3 2 2 4" xfId="6324"/>
    <cellStyle name="40 % - Markeringsfarve3 3 2 3" xfId="2168"/>
    <cellStyle name="40 % - Markeringsfarve3 3 2 3 2" xfId="7157"/>
    <cellStyle name="40 % - Markeringsfarve3 3 2 4" xfId="3832"/>
    <cellStyle name="40 % - Markeringsfarve3 3 2 4 2" xfId="8818"/>
    <cellStyle name="40 % - Markeringsfarve3 3 2 5" xfId="5495"/>
    <cellStyle name="40 % - Markeringsfarve3 3 2 6" xfId="10480"/>
    <cellStyle name="40 % - Markeringsfarve3 3 3" xfId="769"/>
    <cellStyle name="40 % - Markeringsfarve3 3 3 2" xfId="1603"/>
    <cellStyle name="40 % - Markeringsfarve3 3 3 2 2" xfId="3271"/>
    <cellStyle name="40 % - Markeringsfarve3 3 3 2 2 2" xfId="8260"/>
    <cellStyle name="40 % - Markeringsfarve3 3 3 2 3" xfId="4935"/>
    <cellStyle name="40 % - Markeringsfarve3 3 3 2 3 2" xfId="9921"/>
    <cellStyle name="40 % - Markeringsfarve3 3 3 2 4" xfId="6598"/>
    <cellStyle name="40 % - Markeringsfarve3 3 3 3" xfId="2440"/>
    <cellStyle name="40 % - Markeringsfarve3 3 3 3 2" xfId="7429"/>
    <cellStyle name="40 % - Markeringsfarve3 3 3 4" xfId="4104"/>
    <cellStyle name="40 % - Markeringsfarve3 3 3 4 2" xfId="9090"/>
    <cellStyle name="40 % - Markeringsfarve3 3 3 5" xfId="5767"/>
    <cellStyle name="40 % - Markeringsfarve3 3 3 6" xfId="10754"/>
    <cellStyle name="40 % - Markeringsfarve3 3 4" xfId="1050"/>
    <cellStyle name="40 % - Markeringsfarve3 3 4 2" xfId="2718"/>
    <cellStyle name="40 % - Markeringsfarve3 3 4 2 2" xfId="7707"/>
    <cellStyle name="40 % - Markeringsfarve3 3 4 3" xfId="4382"/>
    <cellStyle name="40 % - Markeringsfarve3 3 4 3 2" xfId="9368"/>
    <cellStyle name="40 % - Markeringsfarve3 3 4 4" xfId="6045"/>
    <cellStyle name="40 % - Markeringsfarve3 3 5" xfId="1888"/>
    <cellStyle name="40 % - Markeringsfarve3 3 5 2" xfId="6877"/>
    <cellStyle name="40 % - Markeringsfarve3 3 6" xfId="3553"/>
    <cellStyle name="40 % - Markeringsfarve3 3 6 2" xfId="8539"/>
    <cellStyle name="40 % - Markeringsfarve3 3 7" xfId="5216"/>
    <cellStyle name="40 % - Markeringsfarve3 3 8" xfId="10200"/>
    <cellStyle name="40 % - Markeringsfarve3 4" xfId="174"/>
    <cellStyle name="40 % - Markeringsfarve3 4 2" xfId="547"/>
    <cellStyle name="40 % - Markeringsfarve3 4 2 2" xfId="1382"/>
    <cellStyle name="40 % - Markeringsfarve3 4 2 2 2" xfId="3050"/>
    <cellStyle name="40 % - Markeringsfarve3 4 2 2 2 2" xfId="8039"/>
    <cellStyle name="40 % - Markeringsfarve3 4 2 2 3" xfId="4714"/>
    <cellStyle name="40 % - Markeringsfarve3 4 2 2 3 2" xfId="9700"/>
    <cellStyle name="40 % - Markeringsfarve3 4 2 2 4" xfId="6377"/>
    <cellStyle name="40 % - Markeringsfarve3 4 2 3" xfId="2219"/>
    <cellStyle name="40 % - Markeringsfarve3 4 2 3 2" xfId="7208"/>
    <cellStyle name="40 % - Markeringsfarve3 4 2 4" xfId="3883"/>
    <cellStyle name="40 % - Markeringsfarve3 4 2 4 2" xfId="8869"/>
    <cellStyle name="40 % - Markeringsfarve3 4 2 5" xfId="5546"/>
    <cellStyle name="40 % - Markeringsfarve3 4 2 6" xfId="10533"/>
    <cellStyle name="40 % - Markeringsfarve3 4 3" xfId="822"/>
    <cellStyle name="40 % - Markeringsfarve3 4 3 2" xfId="1656"/>
    <cellStyle name="40 % - Markeringsfarve3 4 3 2 2" xfId="3324"/>
    <cellStyle name="40 % - Markeringsfarve3 4 3 2 2 2" xfId="8313"/>
    <cellStyle name="40 % - Markeringsfarve3 4 3 2 3" xfId="4988"/>
    <cellStyle name="40 % - Markeringsfarve3 4 3 2 3 2" xfId="9974"/>
    <cellStyle name="40 % - Markeringsfarve3 4 3 2 4" xfId="6651"/>
    <cellStyle name="40 % - Markeringsfarve3 4 3 3" xfId="2493"/>
    <cellStyle name="40 % - Markeringsfarve3 4 3 3 2" xfId="7482"/>
    <cellStyle name="40 % - Markeringsfarve3 4 3 4" xfId="4157"/>
    <cellStyle name="40 % - Markeringsfarve3 4 3 4 2" xfId="9143"/>
    <cellStyle name="40 % - Markeringsfarve3 4 3 5" xfId="5820"/>
    <cellStyle name="40 % - Markeringsfarve3 4 3 6" xfId="10807"/>
    <cellStyle name="40 % - Markeringsfarve3 4 4" xfId="1103"/>
    <cellStyle name="40 % - Markeringsfarve3 4 4 2" xfId="2771"/>
    <cellStyle name="40 % - Markeringsfarve3 4 4 2 2" xfId="7760"/>
    <cellStyle name="40 % - Markeringsfarve3 4 4 3" xfId="4435"/>
    <cellStyle name="40 % - Markeringsfarve3 4 4 3 2" xfId="9421"/>
    <cellStyle name="40 % - Markeringsfarve3 4 4 4" xfId="6098"/>
    <cellStyle name="40 % - Markeringsfarve3 4 5" xfId="1941"/>
    <cellStyle name="40 % - Markeringsfarve3 4 5 2" xfId="6930"/>
    <cellStyle name="40 % - Markeringsfarve3 4 6" xfId="3606"/>
    <cellStyle name="40 % - Markeringsfarve3 4 6 2" xfId="8592"/>
    <cellStyle name="40 % - Markeringsfarve3 4 7" xfId="5269"/>
    <cellStyle name="40 % - Markeringsfarve3 4 8" xfId="10253"/>
    <cellStyle name="40 % - Markeringsfarve3 5" xfId="230"/>
    <cellStyle name="40 % - Markeringsfarve3 5 2" xfId="602"/>
    <cellStyle name="40 % - Markeringsfarve3 5 2 2" xfId="1437"/>
    <cellStyle name="40 % - Markeringsfarve3 5 2 2 2" xfId="3105"/>
    <cellStyle name="40 % - Markeringsfarve3 5 2 2 2 2" xfId="8094"/>
    <cellStyle name="40 % - Markeringsfarve3 5 2 2 3" xfId="4769"/>
    <cellStyle name="40 % - Markeringsfarve3 5 2 2 3 2" xfId="9755"/>
    <cellStyle name="40 % - Markeringsfarve3 5 2 2 4" xfId="6432"/>
    <cellStyle name="40 % - Markeringsfarve3 5 2 3" xfId="2274"/>
    <cellStyle name="40 % - Markeringsfarve3 5 2 3 2" xfId="7263"/>
    <cellStyle name="40 % - Markeringsfarve3 5 2 4" xfId="3938"/>
    <cellStyle name="40 % - Markeringsfarve3 5 2 4 2" xfId="8924"/>
    <cellStyle name="40 % - Markeringsfarve3 5 2 5" xfId="5601"/>
    <cellStyle name="40 % - Markeringsfarve3 5 2 6" xfId="10588"/>
    <cellStyle name="40 % - Markeringsfarve3 5 3" xfId="877"/>
    <cellStyle name="40 % - Markeringsfarve3 5 3 2" xfId="1711"/>
    <cellStyle name="40 % - Markeringsfarve3 5 3 2 2" xfId="3379"/>
    <cellStyle name="40 % - Markeringsfarve3 5 3 2 2 2" xfId="8368"/>
    <cellStyle name="40 % - Markeringsfarve3 5 3 2 3" xfId="5043"/>
    <cellStyle name="40 % - Markeringsfarve3 5 3 2 3 2" xfId="10029"/>
    <cellStyle name="40 % - Markeringsfarve3 5 3 2 4" xfId="6706"/>
    <cellStyle name="40 % - Markeringsfarve3 5 3 3" xfId="2548"/>
    <cellStyle name="40 % - Markeringsfarve3 5 3 3 2" xfId="7537"/>
    <cellStyle name="40 % - Markeringsfarve3 5 3 4" xfId="4212"/>
    <cellStyle name="40 % - Markeringsfarve3 5 3 4 2" xfId="9198"/>
    <cellStyle name="40 % - Markeringsfarve3 5 3 5" xfId="5875"/>
    <cellStyle name="40 % - Markeringsfarve3 5 3 6" xfId="10862"/>
    <cellStyle name="40 % - Markeringsfarve3 5 4" xfId="1158"/>
    <cellStyle name="40 % - Markeringsfarve3 5 4 2" xfId="2826"/>
    <cellStyle name="40 % - Markeringsfarve3 5 4 2 2" xfId="7815"/>
    <cellStyle name="40 % - Markeringsfarve3 5 4 3" xfId="4490"/>
    <cellStyle name="40 % - Markeringsfarve3 5 4 3 2" xfId="9476"/>
    <cellStyle name="40 % - Markeringsfarve3 5 4 4" xfId="6153"/>
    <cellStyle name="40 % - Markeringsfarve3 5 5" xfId="1996"/>
    <cellStyle name="40 % - Markeringsfarve3 5 5 2" xfId="6985"/>
    <cellStyle name="40 % - Markeringsfarve3 5 6" xfId="3661"/>
    <cellStyle name="40 % - Markeringsfarve3 5 6 2" xfId="8647"/>
    <cellStyle name="40 % - Markeringsfarve3 5 7" xfId="5324"/>
    <cellStyle name="40 % - Markeringsfarve3 5 8" xfId="10308"/>
    <cellStyle name="40 % - Markeringsfarve3 6" xfId="285"/>
    <cellStyle name="40 % - Markeringsfarve3 6 2" xfId="657"/>
    <cellStyle name="40 % - Markeringsfarve3 6 2 2" xfId="1492"/>
    <cellStyle name="40 % - Markeringsfarve3 6 2 2 2" xfId="3160"/>
    <cellStyle name="40 % - Markeringsfarve3 6 2 2 2 2" xfId="8149"/>
    <cellStyle name="40 % - Markeringsfarve3 6 2 2 3" xfId="4824"/>
    <cellStyle name="40 % - Markeringsfarve3 6 2 2 3 2" xfId="9810"/>
    <cellStyle name="40 % - Markeringsfarve3 6 2 2 4" xfId="6487"/>
    <cellStyle name="40 % - Markeringsfarve3 6 2 3" xfId="2329"/>
    <cellStyle name="40 % - Markeringsfarve3 6 2 3 2" xfId="7318"/>
    <cellStyle name="40 % - Markeringsfarve3 6 2 4" xfId="3993"/>
    <cellStyle name="40 % - Markeringsfarve3 6 2 4 2" xfId="8979"/>
    <cellStyle name="40 % - Markeringsfarve3 6 2 5" xfId="5656"/>
    <cellStyle name="40 % - Markeringsfarve3 6 2 6" xfId="10643"/>
    <cellStyle name="40 % - Markeringsfarve3 6 3" xfId="932"/>
    <cellStyle name="40 % - Markeringsfarve3 6 3 2" xfId="1766"/>
    <cellStyle name="40 % - Markeringsfarve3 6 3 2 2" xfId="3434"/>
    <cellStyle name="40 % - Markeringsfarve3 6 3 2 2 2" xfId="8423"/>
    <cellStyle name="40 % - Markeringsfarve3 6 3 2 3" xfId="5098"/>
    <cellStyle name="40 % - Markeringsfarve3 6 3 2 3 2" xfId="10084"/>
    <cellStyle name="40 % - Markeringsfarve3 6 3 2 4" xfId="6761"/>
    <cellStyle name="40 % - Markeringsfarve3 6 3 3" xfId="2603"/>
    <cellStyle name="40 % - Markeringsfarve3 6 3 3 2" xfId="7592"/>
    <cellStyle name="40 % - Markeringsfarve3 6 3 4" xfId="4267"/>
    <cellStyle name="40 % - Markeringsfarve3 6 3 4 2" xfId="9253"/>
    <cellStyle name="40 % - Markeringsfarve3 6 3 5" xfId="5930"/>
    <cellStyle name="40 % - Markeringsfarve3 6 3 6" xfId="10917"/>
    <cellStyle name="40 % - Markeringsfarve3 6 4" xfId="1213"/>
    <cellStyle name="40 % - Markeringsfarve3 6 4 2" xfId="2881"/>
    <cellStyle name="40 % - Markeringsfarve3 6 4 2 2" xfId="7870"/>
    <cellStyle name="40 % - Markeringsfarve3 6 4 3" xfId="4545"/>
    <cellStyle name="40 % - Markeringsfarve3 6 4 3 2" xfId="9531"/>
    <cellStyle name="40 % - Markeringsfarve3 6 4 4" xfId="6208"/>
    <cellStyle name="40 % - Markeringsfarve3 6 5" xfId="2051"/>
    <cellStyle name="40 % - Markeringsfarve3 6 5 2" xfId="7040"/>
    <cellStyle name="40 % - Markeringsfarve3 6 6" xfId="3716"/>
    <cellStyle name="40 % - Markeringsfarve3 6 6 2" xfId="8702"/>
    <cellStyle name="40 % - Markeringsfarve3 6 7" xfId="5379"/>
    <cellStyle name="40 % - Markeringsfarve3 6 8" xfId="10363"/>
    <cellStyle name="40 % - Markeringsfarve3 7" xfId="439"/>
    <cellStyle name="40 % - Markeringsfarve3 7 2" xfId="1274"/>
    <cellStyle name="40 % - Markeringsfarve3 7 2 2" xfId="2942"/>
    <cellStyle name="40 % - Markeringsfarve3 7 2 2 2" xfId="7931"/>
    <cellStyle name="40 % - Markeringsfarve3 7 2 3" xfId="4606"/>
    <cellStyle name="40 % - Markeringsfarve3 7 2 3 2" xfId="9592"/>
    <cellStyle name="40 % - Markeringsfarve3 7 2 4" xfId="6269"/>
    <cellStyle name="40 % - Markeringsfarve3 7 3" xfId="2113"/>
    <cellStyle name="40 % - Markeringsfarve3 7 3 2" xfId="7102"/>
    <cellStyle name="40 % - Markeringsfarve3 7 4" xfId="3777"/>
    <cellStyle name="40 % - Markeringsfarve3 7 4 2" xfId="8763"/>
    <cellStyle name="40 % - Markeringsfarve3 7 5" xfId="5440"/>
    <cellStyle name="40 % - Markeringsfarve3 7 6" xfId="10443"/>
    <cellStyle name="40 % - Markeringsfarve3 8" xfId="714"/>
    <cellStyle name="40 % - Markeringsfarve3 8 2" xfId="1548"/>
    <cellStyle name="40 % - Markeringsfarve3 8 2 2" xfId="3216"/>
    <cellStyle name="40 % - Markeringsfarve3 8 2 2 2" xfId="8205"/>
    <cellStyle name="40 % - Markeringsfarve3 8 2 3" xfId="4880"/>
    <cellStyle name="40 % - Markeringsfarve3 8 2 3 2" xfId="9866"/>
    <cellStyle name="40 % - Markeringsfarve3 8 2 4" xfId="6543"/>
    <cellStyle name="40 % - Markeringsfarve3 8 3" xfId="2385"/>
    <cellStyle name="40 % - Markeringsfarve3 8 3 2" xfId="7374"/>
    <cellStyle name="40 % - Markeringsfarve3 8 4" xfId="4049"/>
    <cellStyle name="40 % - Markeringsfarve3 8 4 2" xfId="9035"/>
    <cellStyle name="40 % - Markeringsfarve3 8 5" xfId="5712"/>
    <cellStyle name="40 % - Markeringsfarve3 8 6" xfId="10699"/>
    <cellStyle name="40 % - Markeringsfarve3 9" xfId="995"/>
    <cellStyle name="40 % - Markeringsfarve3 9 2" xfId="2663"/>
    <cellStyle name="40 % - Markeringsfarve3 9 2 2" xfId="7652"/>
    <cellStyle name="40 % - Markeringsfarve3 9 3" xfId="4327"/>
    <cellStyle name="40 % - Markeringsfarve3 9 3 2" xfId="9313"/>
    <cellStyle name="40 % - Markeringsfarve3 9 4" xfId="5990"/>
    <cellStyle name="40 % - Markeringsfarve4" xfId="33" builtinId="43" customBuiltin="1"/>
    <cellStyle name="40 % - Markeringsfarve4 10" xfId="997"/>
    <cellStyle name="40 % - Markeringsfarve4 10 2" xfId="2665"/>
    <cellStyle name="40 % - Markeringsfarve4 10 2 2" xfId="7654"/>
    <cellStyle name="40 % - Markeringsfarve4 10 3" xfId="4329"/>
    <cellStyle name="40 % - Markeringsfarve4 10 3 2" xfId="9315"/>
    <cellStyle name="40 % - Markeringsfarve4 10 4" xfId="5992"/>
    <cellStyle name="40 % - Markeringsfarve4 11" xfId="1832"/>
    <cellStyle name="40 % - Markeringsfarve4 11 2" xfId="6824"/>
    <cellStyle name="40 % - Markeringsfarve4 12" xfId="3500"/>
    <cellStyle name="40 % - Markeringsfarve4 12 2" xfId="8486"/>
    <cellStyle name="40 % - Markeringsfarve4 13" xfId="5163"/>
    <cellStyle name="40 % - Markeringsfarve4 14" xfId="10147"/>
    <cellStyle name="40 % - Markeringsfarve4 2" xfId="73"/>
    <cellStyle name="40 % - Markeringsfarve4 2 10" xfId="3520"/>
    <cellStyle name="40 % - Markeringsfarve4 2 10 2" xfId="8506"/>
    <cellStyle name="40 % - Markeringsfarve4 2 11" xfId="5183"/>
    <cellStyle name="40 % - Markeringsfarve4 2 12" xfId="10166"/>
    <cellStyle name="40 % - Markeringsfarve4 2 2" xfId="141"/>
    <cellStyle name="40 % - Markeringsfarve4 2 2 2" xfId="514"/>
    <cellStyle name="40 % - Markeringsfarve4 2 2 2 2" xfId="1349"/>
    <cellStyle name="40 % - Markeringsfarve4 2 2 2 2 2" xfId="3017"/>
    <cellStyle name="40 % - Markeringsfarve4 2 2 2 2 2 2" xfId="8006"/>
    <cellStyle name="40 % - Markeringsfarve4 2 2 2 2 3" xfId="4681"/>
    <cellStyle name="40 % - Markeringsfarve4 2 2 2 2 3 2" xfId="9667"/>
    <cellStyle name="40 % - Markeringsfarve4 2 2 2 2 4" xfId="6344"/>
    <cellStyle name="40 % - Markeringsfarve4 2 2 2 3" xfId="2186"/>
    <cellStyle name="40 % - Markeringsfarve4 2 2 2 3 2" xfId="7175"/>
    <cellStyle name="40 % - Markeringsfarve4 2 2 2 4" xfId="3850"/>
    <cellStyle name="40 % - Markeringsfarve4 2 2 2 4 2" xfId="8836"/>
    <cellStyle name="40 % - Markeringsfarve4 2 2 2 5" xfId="5513"/>
    <cellStyle name="40 % - Markeringsfarve4 2 2 2 6" xfId="10500"/>
    <cellStyle name="40 % - Markeringsfarve4 2 2 3" xfId="789"/>
    <cellStyle name="40 % - Markeringsfarve4 2 2 3 2" xfId="1623"/>
    <cellStyle name="40 % - Markeringsfarve4 2 2 3 2 2" xfId="3291"/>
    <cellStyle name="40 % - Markeringsfarve4 2 2 3 2 2 2" xfId="8280"/>
    <cellStyle name="40 % - Markeringsfarve4 2 2 3 2 3" xfId="4955"/>
    <cellStyle name="40 % - Markeringsfarve4 2 2 3 2 3 2" xfId="9941"/>
    <cellStyle name="40 % - Markeringsfarve4 2 2 3 2 4" xfId="6618"/>
    <cellStyle name="40 % - Markeringsfarve4 2 2 3 3" xfId="2460"/>
    <cellStyle name="40 % - Markeringsfarve4 2 2 3 3 2" xfId="7449"/>
    <cellStyle name="40 % - Markeringsfarve4 2 2 3 4" xfId="4124"/>
    <cellStyle name="40 % - Markeringsfarve4 2 2 3 4 2" xfId="9110"/>
    <cellStyle name="40 % - Markeringsfarve4 2 2 3 5" xfId="5787"/>
    <cellStyle name="40 % - Markeringsfarve4 2 2 3 6" xfId="10774"/>
    <cellStyle name="40 % - Markeringsfarve4 2 2 4" xfId="1070"/>
    <cellStyle name="40 % - Markeringsfarve4 2 2 4 2" xfId="2738"/>
    <cellStyle name="40 % - Markeringsfarve4 2 2 4 2 2" xfId="7727"/>
    <cellStyle name="40 % - Markeringsfarve4 2 2 4 3" xfId="4402"/>
    <cellStyle name="40 % - Markeringsfarve4 2 2 4 3 2" xfId="9388"/>
    <cellStyle name="40 % - Markeringsfarve4 2 2 4 4" xfId="6065"/>
    <cellStyle name="40 % - Markeringsfarve4 2 2 5" xfId="1908"/>
    <cellStyle name="40 % - Markeringsfarve4 2 2 5 2" xfId="6897"/>
    <cellStyle name="40 % - Markeringsfarve4 2 2 6" xfId="3573"/>
    <cellStyle name="40 % - Markeringsfarve4 2 2 6 2" xfId="8559"/>
    <cellStyle name="40 % - Markeringsfarve4 2 2 7" xfId="5236"/>
    <cellStyle name="40 % - Markeringsfarve4 2 2 8" xfId="10220"/>
    <cellStyle name="40 % - Markeringsfarve4 2 3" xfId="196"/>
    <cellStyle name="40 % - Markeringsfarve4 2 3 2" xfId="568"/>
    <cellStyle name="40 % - Markeringsfarve4 2 3 2 2" xfId="1403"/>
    <cellStyle name="40 % - Markeringsfarve4 2 3 2 2 2" xfId="3071"/>
    <cellStyle name="40 % - Markeringsfarve4 2 3 2 2 2 2" xfId="8060"/>
    <cellStyle name="40 % - Markeringsfarve4 2 3 2 2 3" xfId="4735"/>
    <cellStyle name="40 % - Markeringsfarve4 2 3 2 2 3 2" xfId="9721"/>
    <cellStyle name="40 % - Markeringsfarve4 2 3 2 2 4" xfId="6398"/>
    <cellStyle name="40 % - Markeringsfarve4 2 3 2 3" xfId="2240"/>
    <cellStyle name="40 % - Markeringsfarve4 2 3 2 3 2" xfId="7229"/>
    <cellStyle name="40 % - Markeringsfarve4 2 3 2 4" xfId="3904"/>
    <cellStyle name="40 % - Markeringsfarve4 2 3 2 4 2" xfId="8890"/>
    <cellStyle name="40 % - Markeringsfarve4 2 3 2 5" xfId="5567"/>
    <cellStyle name="40 % - Markeringsfarve4 2 3 2 6" xfId="10554"/>
    <cellStyle name="40 % - Markeringsfarve4 2 3 3" xfId="843"/>
    <cellStyle name="40 % - Markeringsfarve4 2 3 3 2" xfId="1677"/>
    <cellStyle name="40 % - Markeringsfarve4 2 3 3 2 2" xfId="3345"/>
    <cellStyle name="40 % - Markeringsfarve4 2 3 3 2 2 2" xfId="8334"/>
    <cellStyle name="40 % - Markeringsfarve4 2 3 3 2 3" xfId="5009"/>
    <cellStyle name="40 % - Markeringsfarve4 2 3 3 2 3 2" xfId="9995"/>
    <cellStyle name="40 % - Markeringsfarve4 2 3 3 2 4" xfId="6672"/>
    <cellStyle name="40 % - Markeringsfarve4 2 3 3 3" xfId="2514"/>
    <cellStyle name="40 % - Markeringsfarve4 2 3 3 3 2" xfId="7503"/>
    <cellStyle name="40 % - Markeringsfarve4 2 3 3 4" xfId="4178"/>
    <cellStyle name="40 % - Markeringsfarve4 2 3 3 4 2" xfId="9164"/>
    <cellStyle name="40 % - Markeringsfarve4 2 3 3 5" xfId="5841"/>
    <cellStyle name="40 % - Markeringsfarve4 2 3 3 6" xfId="10828"/>
    <cellStyle name="40 % - Markeringsfarve4 2 3 4" xfId="1124"/>
    <cellStyle name="40 % - Markeringsfarve4 2 3 4 2" xfId="2792"/>
    <cellStyle name="40 % - Markeringsfarve4 2 3 4 2 2" xfId="7781"/>
    <cellStyle name="40 % - Markeringsfarve4 2 3 4 3" xfId="4456"/>
    <cellStyle name="40 % - Markeringsfarve4 2 3 4 3 2" xfId="9442"/>
    <cellStyle name="40 % - Markeringsfarve4 2 3 4 4" xfId="6119"/>
    <cellStyle name="40 % - Markeringsfarve4 2 3 5" xfId="1962"/>
    <cellStyle name="40 % - Markeringsfarve4 2 3 5 2" xfId="6951"/>
    <cellStyle name="40 % - Markeringsfarve4 2 3 6" xfId="3627"/>
    <cellStyle name="40 % - Markeringsfarve4 2 3 6 2" xfId="8613"/>
    <cellStyle name="40 % - Markeringsfarve4 2 3 7" xfId="5290"/>
    <cellStyle name="40 % - Markeringsfarve4 2 3 8" xfId="10274"/>
    <cellStyle name="40 % - Markeringsfarve4 2 4" xfId="251"/>
    <cellStyle name="40 % - Markeringsfarve4 2 4 2" xfId="623"/>
    <cellStyle name="40 % - Markeringsfarve4 2 4 2 2" xfId="1458"/>
    <cellStyle name="40 % - Markeringsfarve4 2 4 2 2 2" xfId="3126"/>
    <cellStyle name="40 % - Markeringsfarve4 2 4 2 2 2 2" xfId="8115"/>
    <cellStyle name="40 % - Markeringsfarve4 2 4 2 2 3" xfId="4790"/>
    <cellStyle name="40 % - Markeringsfarve4 2 4 2 2 3 2" xfId="9776"/>
    <cellStyle name="40 % - Markeringsfarve4 2 4 2 2 4" xfId="6453"/>
    <cellStyle name="40 % - Markeringsfarve4 2 4 2 3" xfId="2295"/>
    <cellStyle name="40 % - Markeringsfarve4 2 4 2 3 2" xfId="7284"/>
    <cellStyle name="40 % - Markeringsfarve4 2 4 2 4" xfId="3959"/>
    <cellStyle name="40 % - Markeringsfarve4 2 4 2 4 2" xfId="8945"/>
    <cellStyle name="40 % - Markeringsfarve4 2 4 2 5" xfId="5622"/>
    <cellStyle name="40 % - Markeringsfarve4 2 4 2 6" xfId="10609"/>
    <cellStyle name="40 % - Markeringsfarve4 2 4 3" xfId="898"/>
    <cellStyle name="40 % - Markeringsfarve4 2 4 3 2" xfId="1732"/>
    <cellStyle name="40 % - Markeringsfarve4 2 4 3 2 2" xfId="3400"/>
    <cellStyle name="40 % - Markeringsfarve4 2 4 3 2 2 2" xfId="8389"/>
    <cellStyle name="40 % - Markeringsfarve4 2 4 3 2 3" xfId="5064"/>
    <cellStyle name="40 % - Markeringsfarve4 2 4 3 2 3 2" xfId="10050"/>
    <cellStyle name="40 % - Markeringsfarve4 2 4 3 2 4" xfId="6727"/>
    <cellStyle name="40 % - Markeringsfarve4 2 4 3 3" xfId="2569"/>
    <cellStyle name="40 % - Markeringsfarve4 2 4 3 3 2" xfId="7558"/>
    <cellStyle name="40 % - Markeringsfarve4 2 4 3 4" xfId="4233"/>
    <cellStyle name="40 % - Markeringsfarve4 2 4 3 4 2" xfId="9219"/>
    <cellStyle name="40 % - Markeringsfarve4 2 4 3 5" xfId="5896"/>
    <cellStyle name="40 % - Markeringsfarve4 2 4 3 6" xfId="10883"/>
    <cellStyle name="40 % - Markeringsfarve4 2 4 4" xfId="1179"/>
    <cellStyle name="40 % - Markeringsfarve4 2 4 4 2" xfId="2847"/>
    <cellStyle name="40 % - Markeringsfarve4 2 4 4 2 2" xfId="7836"/>
    <cellStyle name="40 % - Markeringsfarve4 2 4 4 3" xfId="4511"/>
    <cellStyle name="40 % - Markeringsfarve4 2 4 4 3 2" xfId="9497"/>
    <cellStyle name="40 % - Markeringsfarve4 2 4 4 4" xfId="6174"/>
    <cellStyle name="40 % - Markeringsfarve4 2 4 5" xfId="2017"/>
    <cellStyle name="40 % - Markeringsfarve4 2 4 5 2" xfId="7006"/>
    <cellStyle name="40 % - Markeringsfarve4 2 4 6" xfId="3682"/>
    <cellStyle name="40 % - Markeringsfarve4 2 4 6 2" xfId="8668"/>
    <cellStyle name="40 % - Markeringsfarve4 2 4 7" xfId="5345"/>
    <cellStyle name="40 % - Markeringsfarve4 2 4 8" xfId="10329"/>
    <cellStyle name="40 % - Markeringsfarve4 2 5" xfId="307"/>
    <cellStyle name="40 % - Markeringsfarve4 2 5 2" xfId="679"/>
    <cellStyle name="40 % - Markeringsfarve4 2 5 2 2" xfId="1514"/>
    <cellStyle name="40 % - Markeringsfarve4 2 5 2 2 2" xfId="3182"/>
    <cellStyle name="40 % - Markeringsfarve4 2 5 2 2 2 2" xfId="8171"/>
    <cellStyle name="40 % - Markeringsfarve4 2 5 2 2 3" xfId="4846"/>
    <cellStyle name="40 % - Markeringsfarve4 2 5 2 2 3 2" xfId="9832"/>
    <cellStyle name="40 % - Markeringsfarve4 2 5 2 2 4" xfId="6509"/>
    <cellStyle name="40 % - Markeringsfarve4 2 5 2 3" xfId="2351"/>
    <cellStyle name="40 % - Markeringsfarve4 2 5 2 3 2" xfId="7340"/>
    <cellStyle name="40 % - Markeringsfarve4 2 5 2 4" xfId="4015"/>
    <cellStyle name="40 % - Markeringsfarve4 2 5 2 4 2" xfId="9001"/>
    <cellStyle name="40 % - Markeringsfarve4 2 5 2 5" xfId="5678"/>
    <cellStyle name="40 % - Markeringsfarve4 2 5 2 6" xfId="10665"/>
    <cellStyle name="40 % - Markeringsfarve4 2 5 3" xfId="954"/>
    <cellStyle name="40 % - Markeringsfarve4 2 5 3 2" xfId="1788"/>
    <cellStyle name="40 % - Markeringsfarve4 2 5 3 2 2" xfId="3456"/>
    <cellStyle name="40 % - Markeringsfarve4 2 5 3 2 2 2" xfId="8445"/>
    <cellStyle name="40 % - Markeringsfarve4 2 5 3 2 3" xfId="5120"/>
    <cellStyle name="40 % - Markeringsfarve4 2 5 3 2 3 2" xfId="10106"/>
    <cellStyle name="40 % - Markeringsfarve4 2 5 3 2 4" xfId="6783"/>
    <cellStyle name="40 % - Markeringsfarve4 2 5 3 3" xfId="2625"/>
    <cellStyle name="40 % - Markeringsfarve4 2 5 3 3 2" xfId="7614"/>
    <cellStyle name="40 % - Markeringsfarve4 2 5 3 4" xfId="4289"/>
    <cellStyle name="40 % - Markeringsfarve4 2 5 3 4 2" xfId="9275"/>
    <cellStyle name="40 % - Markeringsfarve4 2 5 3 5" xfId="5952"/>
    <cellStyle name="40 % - Markeringsfarve4 2 5 3 6" xfId="10939"/>
    <cellStyle name="40 % - Markeringsfarve4 2 5 4" xfId="1235"/>
    <cellStyle name="40 % - Markeringsfarve4 2 5 4 2" xfId="2903"/>
    <cellStyle name="40 % - Markeringsfarve4 2 5 4 2 2" xfId="7892"/>
    <cellStyle name="40 % - Markeringsfarve4 2 5 4 3" xfId="4567"/>
    <cellStyle name="40 % - Markeringsfarve4 2 5 4 3 2" xfId="9553"/>
    <cellStyle name="40 % - Markeringsfarve4 2 5 4 4" xfId="6230"/>
    <cellStyle name="40 % - Markeringsfarve4 2 5 5" xfId="2073"/>
    <cellStyle name="40 % - Markeringsfarve4 2 5 5 2" xfId="7062"/>
    <cellStyle name="40 % - Markeringsfarve4 2 5 6" xfId="3738"/>
    <cellStyle name="40 % - Markeringsfarve4 2 5 6 2" xfId="8724"/>
    <cellStyle name="40 % - Markeringsfarve4 2 5 7" xfId="5401"/>
    <cellStyle name="40 % - Markeringsfarve4 2 5 8" xfId="10385"/>
    <cellStyle name="40 % - Markeringsfarve4 2 6" xfId="460"/>
    <cellStyle name="40 % - Markeringsfarve4 2 6 2" xfId="1295"/>
    <cellStyle name="40 % - Markeringsfarve4 2 6 2 2" xfId="2963"/>
    <cellStyle name="40 % - Markeringsfarve4 2 6 2 2 2" xfId="7952"/>
    <cellStyle name="40 % - Markeringsfarve4 2 6 2 3" xfId="4627"/>
    <cellStyle name="40 % - Markeringsfarve4 2 6 2 3 2" xfId="9613"/>
    <cellStyle name="40 % - Markeringsfarve4 2 6 2 4" xfId="6290"/>
    <cellStyle name="40 % - Markeringsfarve4 2 6 3" xfId="2134"/>
    <cellStyle name="40 % - Markeringsfarve4 2 6 3 2" xfId="7123"/>
    <cellStyle name="40 % - Markeringsfarve4 2 6 4" xfId="3798"/>
    <cellStyle name="40 % - Markeringsfarve4 2 6 4 2" xfId="8784"/>
    <cellStyle name="40 % - Markeringsfarve4 2 6 5" xfId="5461"/>
    <cellStyle name="40 % - Markeringsfarve4 2 6 6" xfId="10444"/>
    <cellStyle name="40 % - Markeringsfarve4 2 7" xfId="735"/>
    <cellStyle name="40 % - Markeringsfarve4 2 7 2" xfId="1569"/>
    <cellStyle name="40 % - Markeringsfarve4 2 7 2 2" xfId="3237"/>
    <cellStyle name="40 % - Markeringsfarve4 2 7 2 2 2" xfId="8226"/>
    <cellStyle name="40 % - Markeringsfarve4 2 7 2 3" xfId="4901"/>
    <cellStyle name="40 % - Markeringsfarve4 2 7 2 3 2" xfId="9887"/>
    <cellStyle name="40 % - Markeringsfarve4 2 7 2 4" xfId="6564"/>
    <cellStyle name="40 % - Markeringsfarve4 2 7 3" xfId="2406"/>
    <cellStyle name="40 % - Markeringsfarve4 2 7 3 2" xfId="7395"/>
    <cellStyle name="40 % - Markeringsfarve4 2 7 4" xfId="4070"/>
    <cellStyle name="40 % - Markeringsfarve4 2 7 4 2" xfId="9056"/>
    <cellStyle name="40 % - Markeringsfarve4 2 7 5" xfId="5733"/>
    <cellStyle name="40 % - Markeringsfarve4 2 7 6" xfId="10720"/>
    <cellStyle name="40 % - Markeringsfarve4 2 8" xfId="1016"/>
    <cellStyle name="40 % - Markeringsfarve4 2 8 2" xfId="2684"/>
    <cellStyle name="40 % - Markeringsfarve4 2 8 2 2" xfId="7673"/>
    <cellStyle name="40 % - Markeringsfarve4 2 8 3" xfId="4348"/>
    <cellStyle name="40 % - Markeringsfarve4 2 8 3 2" xfId="9334"/>
    <cellStyle name="40 % - Markeringsfarve4 2 8 4" xfId="6011"/>
    <cellStyle name="40 % - Markeringsfarve4 2 9" xfId="1852"/>
    <cellStyle name="40 % - Markeringsfarve4 2 9 2" xfId="6844"/>
    <cellStyle name="40 % - Markeringsfarve4 3" xfId="100"/>
    <cellStyle name="40 % - Markeringsfarve4 3 10" xfId="3539"/>
    <cellStyle name="40 % - Markeringsfarve4 3 10 2" xfId="8525"/>
    <cellStyle name="40 % - Markeringsfarve4 3 11" xfId="5202"/>
    <cellStyle name="40 % - Markeringsfarve4 3 12" xfId="10185"/>
    <cellStyle name="40 % - Markeringsfarve4 3 2" xfId="160"/>
    <cellStyle name="40 % - Markeringsfarve4 3 2 2" xfId="533"/>
    <cellStyle name="40 % - Markeringsfarve4 3 2 2 2" xfId="1368"/>
    <cellStyle name="40 % - Markeringsfarve4 3 2 2 2 2" xfId="3036"/>
    <cellStyle name="40 % - Markeringsfarve4 3 2 2 2 2 2" xfId="8025"/>
    <cellStyle name="40 % - Markeringsfarve4 3 2 2 2 3" xfId="4700"/>
    <cellStyle name="40 % - Markeringsfarve4 3 2 2 2 3 2" xfId="9686"/>
    <cellStyle name="40 % - Markeringsfarve4 3 2 2 2 4" xfId="6363"/>
    <cellStyle name="40 % - Markeringsfarve4 3 2 2 3" xfId="2205"/>
    <cellStyle name="40 % - Markeringsfarve4 3 2 2 3 2" xfId="7194"/>
    <cellStyle name="40 % - Markeringsfarve4 3 2 2 4" xfId="3869"/>
    <cellStyle name="40 % - Markeringsfarve4 3 2 2 4 2" xfId="8855"/>
    <cellStyle name="40 % - Markeringsfarve4 3 2 2 5" xfId="5532"/>
    <cellStyle name="40 % - Markeringsfarve4 3 2 2 6" xfId="10519"/>
    <cellStyle name="40 % - Markeringsfarve4 3 2 3" xfId="808"/>
    <cellStyle name="40 % - Markeringsfarve4 3 2 3 2" xfId="1642"/>
    <cellStyle name="40 % - Markeringsfarve4 3 2 3 2 2" xfId="3310"/>
    <cellStyle name="40 % - Markeringsfarve4 3 2 3 2 2 2" xfId="8299"/>
    <cellStyle name="40 % - Markeringsfarve4 3 2 3 2 3" xfId="4974"/>
    <cellStyle name="40 % - Markeringsfarve4 3 2 3 2 3 2" xfId="9960"/>
    <cellStyle name="40 % - Markeringsfarve4 3 2 3 2 4" xfId="6637"/>
    <cellStyle name="40 % - Markeringsfarve4 3 2 3 3" xfId="2479"/>
    <cellStyle name="40 % - Markeringsfarve4 3 2 3 3 2" xfId="7468"/>
    <cellStyle name="40 % - Markeringsfarve4 3 2 3 4" xfId="4143"/>
    <cellStyle name="40 % - Markeringsfarve4 3 2 3 4 2" xfId="9129"/>
    <cellStyle name="40 % - Markeringsfarve4 3 2 3 5" xfId="5806"/>
    <cellStyle name="40 % - Markeringsfarve4 3 2 3 6" xfId="10793"/>
    <cellStyle name="40 % - Markeringsfarve4 3 2 4" xfId="1089"/>
    <cellStyle name="40 % - Markeringsfarve4 3 2 4 2" xfId="2757"/>
    <cellStyle name="40 % - Markeringsfarve4 3 2 4 2 2" xfId="7746"/>
    <cellStyle name="40 % - Markeringsfarve4 3 2 4 3" xfId="4421"/>
    <cellStyle name="40 % - Markeringsfarve4 3 2 4 3 2" xfId="9407"/>
    <cellStyle name="40 % - Markeringsfarve4 3 2 4 4" xfId="6084"/>
    <cellStyle name="40 % - Markeringsfarve4 3 2 5" xfId="1927"/>
    <cellStyle name="40 % - Markeringsfarve4 3 2 5 2" xfId="6916"/>
    <cellStyle name="40 % - Markeringsfarve4 3 2 6" xfId="3592"/>
    <cellStyle name="40 % - Markeringsfarve4 3 2 6 2" xfId="8578"/>
    <cellStyle name="40 % - Markeringsfarve4 3 2 7" xfId="5255"/>
    <cellStyle name="40 % - Markeringsfarve4 3 2 8" xfId="10239"/>
    <cellStyle name="40 % - Markeringsfarve4 3 3" xfId="215"/>
    <cellStyle name="40 % - Markeringsfarve4 3 3 2" xfId="587"/>
    <cellStyle name="40 % - Markeringsfarve4 3 3 2 2" xfId="1422"/>
    <cellStyle name="40 % - Markeringsfarve4 3 3 2 2 2" xfId="3090"/>
    <cellStyle name="40 % - Markeringsfarve4 3 3 2 2 2 2" xfId="8079"/>
    <cellStyle name="40 % - Markeringsfarve4 3 3 2 2 3" xfId="4754"/>
    <cellStyle name="40 % - Markeringsfarve4 3 3 2 2 3 2" xfId="9740"/>
    <cellStyle name="40 % - Markeringsfarve4 3 3 2 2 4" xfId="6417"/>
    <cellStyle name="40 % - Markeringsfarve4 3 3 2 3" xfId="2259"/>
    <cellStyle name="40 % - Markeringsfarve4 3 3 2 3 2" xfId="7248"/>
    <cellStyle name="40 % - Markeringsfarve4 3 3 2 4" xfId="3923"/>
    <cellStyle name="40 % - Markeringsfarve4 3 3 2 4 2" xfId="8909"/>
    <cellStyle name="40 % - Markeringsfarve4 3 3 2 5" xfId="5586"/>
    <cellStyle name="40 % - Markeringsfarve4 3 3 2 6" xfId="10573"/>
    <cellStyle name="40 % - Markeringsfarve4 3 3 3" xfId="862"/>
    <cellStyle name="40 % - Markeringsfarve4 3 3 3 2" xfId="1696"/>
    <cellStyle name="40 % - Markeringsfarve4 3 3 3 2 2" xfId="3364"/>
    <cellStyle name="40 % - Markeringsfarve4 3 3 3 2 2 2" xfId="8353"/>
    <cellStyle name="40 % - Markeringsfarve4 3 3 3 2 3" xfId="5028"/>
    <cellStyle name="40 % - Markeringsfarve4 3 3 3 2 3 2" xfId="10014"/>
    <cellStyle name="40 % - Markeringsfarve4 3 3 3 2 4" xfId="6691"/>
    <cellStyle name="40 % - Markeringsfarve4 3 3 3 3" xfId="2533"/>
    <cellStyle name="40 % - Markeringsfarve4 3 3 3 3 2" xfId="7522"/>
    <cellStyle name="40 % - Markeringsfarve4 3 3 3 4" xfId="4197"/>
    <cellStyle name="40 % - Markeringsfarve4 3 3 3 4 2" xfId="9183"/>
    <cellStyle name="40 % - Markeringsfarve4 3 3 3 5" xfId="5860"/>
    <cellStyle name="40 % - Markeringsfarve4 3 3 3 6" xfId="10847"/>
    <cellStyle name="40 % - Markeringsfarve4 3 3 4" xfId="1143"/>
    <cellStyle name="40 % - Markeringsfarve4 3 3 4 2" xfId="2811"/>
    <cellStyle name="40 % - Markeringsfarve4 3 3 4 2 2" xfId="7800"/>
    <cellStyle name="40 % - Markeringsfarve4 3 3 4 3" xfId="4475"/>
    <cellStyle name="40 % - Markeringsfarve4 3 3 4 3 2" xfId="9461"/>
    <cellStyle name="40 % - Markeringsfarve4 3 3 4 4" xfId="6138"/>
    <cellStyle name="40 % - Markeringsfarve4 3 3 5" xfId="1981"/>
    <cellStyle name="40 % - Markeringsfarve4 3 3 5 2" xfId="6970"/>
    <cellStyle name="40 % - Markeringsfarve4 3 3 6" xfId="3646"/>
    <cellStyle name="40 % - Markeringsfarve4 3 3 6 2" xfId="8632"/>
    <cellStyle name="40 % - Markeringsfarve4 3 3 7" xfId="5309"/>
    <cellStyle name="40 % - Markeringsfarve4 3 3 8" xfId="10293"/>
    <cellStyle name="40 % - Markeringsfarve4 3 4" xfId="270"/>
    <cellStyle name="40 % - Markeringsfarve4 3 4 2" xfId="642"/>
    <cellStyle name="40 % - Markeringsfarve4 3 4 2 2" xfId="1477"/>
    <cellStyle name="40 % - Markeringsfarve4 3 4 2 2 2" xfId="3145"/>
    <cellStyle name="40 % - Markeringsfarve4 3 4 2 2 2 2" xfId="8134"/>
    <cellStyle name="40 % - Markeringsfarve4 3 4 2 2 3" xfId="4809"/>
    <cellStyle name="40 % - Markeringsfarve4 3 4 2 2 3 2" xfId="9795"/>
    <cellStyle name="40 % - Markeringsfarve4 3 4 2 2 4" xfId="6472"/>
    <cellStyle name="40 % - Markeringsfarve4 3 4 2 3" xfId="2314"/>
    <cellStyle name="40 % - Markeringsfarve4 3 4 2 3 2" xfId="7303"/>
    <cellStyle name="40 % - Markeringsfarve4 3 4 2 4" xfId="3978"/>
    <cellStyle name="40 % - Markeringsfarve4 3 4 2 4 2" xfId="8964"/>
    <cellStyle name="40 % - Markeringsfarve4 3 4 2 5" xfId="5641"/>
    <cellStyle name="40 % - Markeringsfarve4 3 4 2 6" xfId="10628"/>
    <cellStyle name="40 % - Markeringsfarve4 3 4 3" xfId="917"/>
    <cellStyle name="40 % - Markeringsfarve4 3 4 3 2" xfId="1751"/>
    <cellStyle name="40 % - Markeringsfarve4 3 4 3 2 2" xfId="3419"/>
    <cellStyle name="40 % - Markeringsfarve4 3 4 3 2 2 2" xfId="8408"/>
    <cellStyle name="40 % - Markeringsfarve4 3 4 3 2 3" xfId="5083"/>
    <cellStyle name="40 % - Markeringsfarve4 3 4 3 2 3 2" xfId="10069"/>
    <cellStyle name="40 % - Markeringsfarve4 3 4 3 2 4" xfId="6746"/>
    <cellStyle name="40 % - Markeringsfarve4 3 4 3 3" xfId="2588"/>
    <cellStyle name="40 % - Markeringsfarve4 3 4 3 3 2" xfId="7577"/>
    <cellStyle name="40 % - Markeringsfarve4 3 4 3 4" xfId="4252"/>
    <cellStyle name="40 % - Markeringsfarve4 3 4 3 4 2" xfId="9238"/>
    <cellStyle name="40 % - Markeringsfarve4 3 4 3 5" xfId="5915"/>
    <cellStyle name="40 % - Markeringsfarve4 3 4 3 6" xfId="10902"/>
    <cellStyle name="40 % - Markeringsfarve4 3 4 4" xfId="1198"/>
    <cellStyle name="40 % - Markeringsfarve4 3 4 4 2" xfId="2866"/>
    <cellStyle name="40 % - Markeringsfarve4 3 4 4 2 2" xfId="7855"/>
    <cellStyle name="40 % - Markeringsfarve4 3 4 4 3" xfId="4530"/>
    <cellStyle name="40 % - Markeringsfarve4 3 4 4 3 2" xfId="9516"/>
    <cellStyle name="40 % - Markeringsfarve4 3 4 4 4" xfId="6193"/>
    <cellStyle name="40 % - Markeringsfarve4 3 4 5" xfId="2036"/>
    <cellStyle name="40 % - Markeringsfarve4 3 4 5 2" xfId="7025"/>
    <cellStyle name="40 % - Markeringsfarve4 3 4 6" xfId="3701"/>
    <cellStyle name="40 % - Markeringsfarve4 3 4 6 2" xfId="8687"/>
    <cellStyle name="40 % - Markeringsfarve4 3 4 7" xfId="5364"/>
    <cellStyle name="40 % - Markeringsfarve4 3 4 8" xfId="10348"/>
    <cellStyle name="40 % - Markeringsfarve4 3 5" xfId="326"/>
    <cellStyle name="40 % - Markeringsfarve4 3 5 2" xfId="698"/>
    <cellStyle name="40 % - Markeringsfarve4 3 5 2 2" xfId="1533"/>
    <cellStyle name="40 % - Markeringsfarve4 3 5 2 2 2" xfId="3201"/>
    <cellStyle name="40 % - Markeringsfarve4 3 5 2 2 2 2" xfId="8190"/>
    <cellStyle name="40 % - Markeringsfarve4 3 5 2 2 3" xfId="4865"/>
    <cellStyle name="40 % - Markeringsfarve4 3 5 2 2 3 2" xfId="9851"/>
    <cellStyle name="40 % - Markeringsfarve4 3 5 2 2 4" xfId="6528"/>
    <cellStyle name="40 % - Markeringsfarve4 3 5 2 3" xfId="2370"/>
    <cellStyle name="40 % - Markeringsfarve4 3 5 2 3 2" xfId="7359"/>
    <cellStyle name="40 % - Markeringsfarve4 3 5 2 4" xfId="4034"/>
    <cellStyle name="40 % - Markeringsfarve4 3 5 2 4 2" xfId="9020"/>
    <cellStyle name="40 % - Markeringsfarve4 3 5 2 5" xfId="5697"/>
    <cellStyle name="40 % - Markeringsfarve4 3 5 2 6" xfId="10684"/>
    <cellStyle name="40 % - Markeringsfarve4 3 5 3" xfId="973"/>
    <cellStyle name="40 % - Markeringsfarve4 3 5 3 2" xfId="1807"/>
    <cellStyle name="40 % - Markeringsfarve4 3 5 3 2 2" xfId="3475"/>
    <cellStyle name="40 % - Markeringsfarve4 3 5 3 2 2 2" xfId="8464"/>
    <cellStyle name="40 % - Markeringsfarve4 3 5 3 2 3" xfId="5139"/>
    <cellStyle name="40 % - Markeringsfarve4 3 5 3 2 3 2" xfId="10125"/>
    <cellStyle name="40 % - Markeringsfarve4 3 5 3 2 4" xfId="6802"/>
    <cellStyle name="40 % - Markeringsfarve4 3 5 3 3" xfId="2644"/>
    <cellStyle name="40 % - Markeringsfarve4 3 5 3 3 2" xfId="7633"/>
    <cellStyle name="40 % - Markeringsfarve4 3 5 3 4" xfId="4308"/>
    <cellStyle name="40 % - Markeringsfarve4 3 5 3 4 2" xfId="9294"/>
    <cellStyle name="40 % - Markeringsfarve4 3 5 3 5" xfId="5971"/>
    <cellStyle name="40 % - Markeringsfarve4 3 5 3 6" xfId="10958"/>
    <cellStyle name="40 % - Markeringsfarve4 3 5 4" xfId="1254"/>
    <cellStyle name="40 % - Markeringsfarve4 3 5 4 2" xfId="2922"/>
    <cellStyle name="40 % - Markeringsfarve4 3 5 4 2 2" xfId="7911"/>
    <cellStyle name="40 % - Markeringsfarve4 3 5 4 3" xfId="4586"/>
    <cellStyle name="40 % - Markeringsfarve4 3 5 4 3 2" xfId="9572"/>
    <cellStyle name="40 % - Markeringsfarve4 3 5 4 4" xfId="6249"/>
    <cellStyle name="40 % - Markeringsfarve4 3 5 5" xfId="2092"/>
    <cellStyle name="40 % - Markeringsfarve4 3 5 5 2" xfId="7081"/>
    <cellStyle name="40 % - Markeringsfarve4 3 5 6" xfId="3757"/>
    <cellStyle name="40 % - Markeringsfarve4 3 5 6 2" xfId="8743"/>
    <cellStyle name="40 % - Markeringsfarve4 3 5 7" xfId="5420"/>
    <cellStyle name="40 % - Markeringsfarve4 3 5 8" xfId="10404"/>
    <cellStyle name="40 % - Markeringsfarve4 3 6" xfId="479"/>
    <cellStyle name="40 % - Markeringsfarve4 3 6 2" xfId="1314"/>
    <cellStyle name="40 % - Markeringsfarve4 3 6 2 2" xfId="2982"/>
    <cellStyle name="40 % - Markeringsfarve4 3 6 2 2 2" xfId="7971"/>
    <cellStyle name="40 % - Markeringsfarve4 3 6 2 3" xfId="4646"/>
    <cellStyle name="40 % - Markeringsfarve4 3 6 2 3 2" xfId="9632"/>
    <cellStyle name="40 % - Markeringsfarve4 3 6 2 4" xfId="6309"/>
    <cellStyle name="40 % - Markeringsfarve4 3 6 3" xfId="2153"/>
    <cellStyle name="40 % - Markeringsfarve4 3 6 3 2" xfId="7142"/>
    <cellStyle name="40 % - Markeringsfarve4 3 6 4" xfId="3817"/>
    <cellStyle name="40 % - Markeringsfarve4 3 6 4 2" xfId="8803"/>
    <cellStyle name="40 % - Markeringsfarve4 3 6 5" xfId="5480"/>
    <cellStyle name="40 % - Markeringsfarve4 3 6 6" xfId="10465"/>
    <cellStyle name="40 % - Markeringsfarve4 3 7" xfId="754"/>
    <cellStyle name="40 % - Markeringsfarve4 3 7 2" xfId="1588"/>
    <cellStyle name="40 % - Markeringsfarve4 3 7 2 2" xfId="3256"/>
    <cellStyle name="40 % - Markeringsfarve4 3 7 2 2 2" xfId="8245"/>
    <cellStyle name="40 % - Markeringsfarve4 3 7 2 3" xfId="4920"/>
    <cellStyle name="40 % - Markeringsfarve4 3 7 2 3 2" xfId="9906"/>
    <cellStyle name="40 % - Markeringsfarve4 3 7 2 4" xfId="6583"/>
    <cellStyle name="40 % - Markeringsfarve4 3 7 3" xfId="2425"/>
    <cellStyle name="40 % - Markeringsfarve4 3 7 3 2" xfId="7414"/>
    <cellStyle name="40 % - Markeringsfarve4 3 7 4" xfId="4089"/>
    <cellStyle name="40 % - Markeringsfarve4 3 7 4 2" xfId="9075"/>
    <cellStyle name="40 % - Markeringsfarve4 3 7 5" xfId="5752"/>
    <cellStyle name="40 % - Markeringsfarve4 3 7 6" xfId="10739"/>
    <cellStyle name="40 % - Markeringsfarve4 3 8" xfId="1035"/>
    <cellStyle name="40 % - Markeringsfarve4 3 8 2" xfId="2703"/>
    <cellStyle name="40 % - Markeringsfarve4 3 8 2 2" xfId="7692"/>
    <cellStyle name="40 % - Markeringsfarve4 3 8 3" xfId="4367"/>
    <cellStyle name="40 % - Markeringsfarve4 3 8 3 2" xfId="9353"/>
    <cellStyle name="40 % - Markeringsfarve4 3 8 4" xfId="6030"/>
    <cellStyle name="40 % - Markeringsfarve4 3 9" xfId="1871"/>
    <cellStyle name="40 % - Markeringsfarve4 3 9 2" xfId="6863"/>
    <cellStyle name="40 % - Markeringsfarve4 4" xfId="123"/>
    <cellStyle name="40 % - Markeringsfarve4 4 2" xfId="496"/>
    <cellStyle name="40 % - Markeringsfarve4 4 2 2" xfId="1331"/>
    <cellStyle name="40 % - Markeringsfarve4 4 2 2 2" xfId="2999"/>
    <cellStyle name="40 % - Markeringsfarve4 4 2 2 2 2" xfId="7988"/>
    <cellStyle name="40 % - Markeringsfarve4 4 2 2 3" xfId="4663"/>
    <cellStyle name="40 % - Markeringsfarve4 4 2 2 3 2" xfId="9649"/>
    <cellStyle name="40 % - Markeringsfarve4 4 2 2 4" xfId="6326"/>
    <cellStyle name="40 % - Markeringsfarve4 4 2 3" xfId="2170"/>
    <cellStyle name="40 % - Markeringsfarve4 4 2 3 2" xfId="7159"/>
    <cellStyle name="40 % - Markeringsfarve4 4 2 4" xfId="3834"/>
    <cellStyle name="40 % - Markeringsfarve4 4 2 4 2" xfId="8820"/>
    <cellStyle name="40 % - Markeringsfarve4 4 2 5" xfId="5497"/>
    <cellStyle name="40 % - Markeringsfarve4 4 2 6" xfId="10482"/>
    <cellStyle name="40 % - Markeringsfarve4 4 3" xfId="771"/>
    <cellStyle name="40 % - Markeringsfarve4 4 3 2" xfId="1605"/>
    <cellStyle name="40 % - Markeringsfarve4 4 3 2 2" xfId="3273"/>
    <cellStyle name="40 % - Markeringsfarve4 4 3 2 2 2" xfId="8262"/>
    <cellStyle name="40 % - Markeringsfarve4 4 3 2 3" xfId="4937"/>
    <cellStyle name="40 % - Markeringsfarve4 4 3 2 3 2" xfId="9923"/>
    <cellStyle name="40 % - Markeringsfarve4 4 3 2 4" xfId="6600"/>
    <cellStyle name="40 % - Markeringsfarve4 4 3 3" xfId="2442"/>
    <cellStyle name="40 % - Markeringsfarve4 4 3 3 2" xfId="7431"/>
    <cellStyle name="40 % - Markeringsfarve4 4 3 4" xfId="4106"/>
    <cellStyle name="40 % - Markeringsfarve4 4 3 4 2" xfId="9092"/>
    <cellStyle name="40 % - Markeringsfarve4 4 3 5" xfId="5769"/>
    <cellStyle name="40 % - Markeringsfarve4 4 3 6" xfId="10756"/>
    <cellStyle name="40 % - Markeringsfarve4 4 4" xfId="1052"/>
    <cellStyle name="40 % - Markeringsfarve4 4 4 2" xfId="2720"/>
    <cellStyle name="40 % - Markeringsfarve4 4 4 2 2" xfId="7709"/>
    <cellStyle name="40 % - Markeringsfarve4 4 4 3" xfId="4384"/>
    <cellStyle name="40 % - Markeringsfarve4 4 4 3 2" xfId="9370"/>
    <cellStyle name="40 % - Markeringsfarve4 4 4 4" xfId="6047"/>
    <cellStyle name="40 % - Markeringsfarve4 4 5" xfId="1890"/>
    <cellStyle name="40 % - Markeringsfarve4 4 5 2" xfId="6879"/>
    <cellStyle name="40 % - Markeringsfarve4 4 6" xfId="3555"/>
    <cellStyle name="40 % - Markeringsfarve4 4 6 2" xfId="8541"/>
    <cellStyle name="40 % - Markeringsfarve4 4 7" xfId="5218"/>
    <cellStyle name="40 % - Markeringsfarve4 4 8" xfId="10202"/>
    <cellStyle name="40 % - Markeringsfarve4 5" xfId="176"/>
    <cellStyle name="40 % - Markeringsfarve4 5 2" xfId="549"/>
    <cellStyle name="40 % - Markeringsfarve4 5 2 2" xfId="1384"/>
    <cellStyle name="40 % - Markeringsfarve4 5 2 2 2" xfId="3052"/>
    <cellStyle name="40 % - Markeringsfarve4 5 2 2 2 2" xfId="8041"/>
    <cellStyle name="40 % - Markeringsfarve4 5 2 2 3" xfId="4716"/>
    <cellStyle name="40 % - Markeringsfarve4 5 2 2 3 2" xfId="9702"/>
    <cellStyle name="40 % - Markeringsfarve4 5 2 2 4" xfId="6379"/>
    <cellStyle name="40 % - Markeringsfarve4 5 2 3" xfId="2221"/>
    <cellStyle name="40 % - Markeringsfarve4 5 2 3 2" xfId="7210"/>
    <cellStyle name="40 % - Markeringsfarve4 5 2 4" xfId="3885"/>
    <cellStyle name="40 % - Markeringsfarve4 5 2 4 2" xfId="8871"/>
    <cellStyle name="40 % - Markeringsfarve4 5 2 5" xfId="5548"/>
    <cellStyle name="40 % - Markeringsfarve4 5 2 6" xfId="10535"/>
    <cellStyle name="40 % - Markeringsfarve4 5 3" xfId="824"/>
    <cellStyle name="40 % - Markeringsfarve4 5 3 2" xfId="1658"/>
    <cellStyle name="40 % - Markeringsfarve4 5 3 2 2" xfId="3326"/>
    <cellStyle name="40 % - Markeringsfarve4 5 3 2 2 2" xfId="8315"/>
    <cellStyle name="40 % - Markeringsfarve4 5 3 2 3" xfId="4990"/>
    <cellStyle name="40 % - Markeringsfarve4 5 3 2 3 2" xfId="9976"/>
    <cellStyle name="40 % - Markeringsfarve4 5 3 2 4" xfId="6653"/>
    <cellStyle name="40 % - Markeringsfarve4 5 3 3" xfId="2495"/>
    <cellStyle name="40 % - Markeringsfarve4 5 3 3 2" xfId="7484"/>
    <cellStyle name="40 % - Markeringsfarve4 5 3 4" xfId="4159"/>
    <cellStyle name="40 % - Markeringsfarve4 5 3 4 2" xfId="9145"/>
    <cellStyle name="40 % - Markeringsfarve4 5 3 5" xfId="5822"/>
    <cellStyle name="40 % - Markeringsfarve4 5 3 6" xfId="10809"/>
    <cellStyle name="40 % - Markeringsfarve4 5 4" xfId="1105"/>
    <cellStyle name="40 % - Markeringsfarve4 5 4 2" xfId="2773"/>
    <cellStyle name="40 % - Markeringsfarve4 5 4 2 2" xfId="7762"/>
    <cellStyle name="40 % - Markeringsfarve4 5 4 3" xfId="4437"/>
    <cellStyle name="40 % - Markeringsfarve4 5 4 3 2" xfId="9423"/>
    <cellStyle name="40 % - Markeringsfarve4 5 4 4" xfId="6100"/>
    <cellStyle name="40 % - Markeringsfarve4 5 5" xfId="1943"/>
    <cellStyle name="40 % - Markeringsfarve4 5 5 2" xfId="6932"/>
    <cellStyle name="40 % - Markeringsfarve4 5 6" xfId="3608"/>
    <cellStyle name="40 % - Markeringsfarve4 5 6 2" xfId="8594"/>
    <cellStyle name="40 % - Markeringsfarve4 5 7" xfId="5271"/>
    <cellStyle name="40 % - Markeringsfarve4 5 8" xfId="10255"/>
    <cellStyle name="40 % - Markeringsfarve4 6" xfId="232"/>
    <cellStyle name="40 % - Markeringsfarve4 6 2" xfId="604"/>
    <cellStyle name="40 % - Markeringsfarve4 6 2 2" xfId="1439"/>
    <cellStyle name="40 % - Markeringsfarve4 6 2 2 2" xfId="3107"/>
    <cellStyle name="40 % - Markeringsfarve4 6 2 2 2 2" xfId="8096"/>
    <cellStyle name="40 % - Markeringsfarve4 6 2 2 3" xfId="4771"/>
    <cellStyle name="40 % - Markeringsfarve4 6 2 2 3 2" xfId="9757"/>
    <cellStyle name="40 % - Markeringsfarve4 6 2 2 4" xfId="6434"/>
    <cellStyle name="40 % - Markeringsfarve4 6 2 3" xfId="2276"/>
    <cellStyle name="40 % - Markeringsfarve4 6 2 3 2" xfId="7265"/>
    <cellStyle name="40 % - Markeringsfarve4 6 2 4" xfId="3940"/>
    <cellStyle name="40 % - Markeringsfarve4 6 2 4 2" xfId="8926"/>
    <cellStyle name="40 % - Markeringsfarve4 6 2 5" xfId="5603"/>
    <cellStyle name="40 % - Markeringsfarve4 6 2 6" xfId="10590"/>
    <cellStyle name="40 % - Markeringsfarve4 6 3" xfId="879"/>
    <cellStyle name="40 % - Markeringsfarve4 6 3 2" xfId="1713"/>
    <cellStyle name="40 % - Markeringsfarve4 6 3 2 2" xfId="3381"/>
    <cellStyle name="40 % - Markeringsfarve4 6 3 2 2 2" xfId="8370"/>
    <cellStyle name="40 % - Markeringsfarve4 6 3 2 3" xfId="5045"/>
    <cellStyle name="40 % - Markeringsfarve4 6 3 2 3 2" xfId="10031"/>
    <cellStyle name="40 % - Markeringsfarve4 6 3 2 4" xfId="6708"/>
    <cellStyle name="40 % - Markeringsfarve4 6 3 3" xfId="2550"/>
    <cellStyle name="40 % - Markeringsfarve4 6 3 3 2" xfId="7539"/>
    <cellStyle name="40 % - Markeringsfarve4 6 3 4" xfId="4214"/>
    <cellStyle name="40 % - Markeringsfarve4 6 3 4 2" xfId="9200"/>
    <cellStyle name="40 % - Markeringsfarve4 6 3 5" xfId="5877"/>
    <cellStyle name="40 % - Markeringsfarve4 6 3 6" xfId="10864"/>
    <cellStyle name="40 % - Markeringsfarve4 6 4" xfId="1160"/>
    <cellStyle name="40 % - Markeringsfarve4 6 4 2" xfId="2828"/>
    <cellStyle name="40 % - Markeringsfarve4 6 4 2 2" xfId="7817"/>
    <cellStyle name="40 % - Markeringsfarve4 6 4 3" xfId="4492"/>
    <cellStyle name="40 % - Markeringsfarve4 6 4 3 2" xfId="9478"/>
    <cellStyle name="40 % - Markeringsfarve4 6 4 4" xfId="6155"/>
    <cellStyle name="40 % - Markeringsfarve4 6 5" xfId="1998"/>
    <cellStyle name="40 % - Markeringsfarve4 6 5 2" xfId="6987"/>
    <cellStyle name="40 % - Markeringsfarve4 6 6" xfId="3663"/>
    <cellStyle name="40 % - Markeringsfarve4 6 6 2" xfId="8649"/>
    <cellStyle name="40 % - Markeringsfarve4 6 7" xfId="5326"/>
    <cellStyle name="40 % - Markeringsfarve4 6 8" xfId="10310"/>
    <cellStyle name="40 % - Markeringsfarve4 7" xfId="287"/>
    <cellStyle name="40 % - Markeringsfarve4 7 2" xfId="659"/>
    <cellStyle name="40 % - Markeringsfarve4 7 2 2" xfId="1494"/>
    <cellStyle name="40 % - Markeringsfarve4 7 2 2 2" xfId="3162"/>
    <cellStyle name="40 % - Markeringsfarve4 7 2 2 2 2" xfId="8151"/>
    <cellStyle name="40 % - Markeringsfarve4 7 2 2 3" xfId="4826"/>
    <cellStyle name="40 % - Markeringsfarve4 7 2 2 3 2" xfId="9812"/>
    <cellStyle name="40 % - Markeringsfarve4 7 2 2 4" xfId="6489"/>
    <cellStyle name="40 % - Markeringsfarve4 7 2 3" xfId="2331"/>
    <cellStyle name="40 % - Markeringsfarve4 7 2 3 2" xfId="7320"/>
    <cellStyle name="40 % - Markeringsfarve4 7 2 4" xfId="3995"/>
    <cellStyle name="40 % - Markeringsfarve4 7 2 4 2" xfId="8981"/>
    <cellStyle name="40 % - Markeringsfarve4 7 2 5" xfId="5658"/>
    <cellStyle name="40 % - Markeringsfarve4 7 2 6" xfId="10645"/>
    <cellStyle name="40 % - Markeringsfarve4 7 3" xfId="934"/>
    <cellStyle name="40 % - Markeringsfarve4 7 3 2" xfId="1768"/>
    <cellStyle name="40 % - Markeringsfarve4 7 3 2 2" xfId="3436"/>
    <cellStyle name="40 % - Markeringsfarve4 7 3 2 2 2" xfId="8425"/>
    <cellStyle name="40 % - Markeringsfarve4 7 3 2 3" xfId="5100"/>
    <cellStyle name="40 % - Markeringsfarve4 7 3 2 3 2" xfId="10086"/>
    <cellStyle name="40 % - Markeringsfarve4 7 3 2 4" xfId="6763"/>
    <cellStyle name="40 % - Markeringsfarve4 7 3 3" xfId="2605"/>
    <cellStyle name="40 % - Markeringsfarve4 7 3 3 2" xfId="7594"/>
    <cellStyle name="40 % - Markeringsfarve4 7 3 4" xfId="4269"/>
    <cellStyle name="40 % - Markeringsfarve4 7 3 4 2" xfId="9255"/>
    <cellStyle name="40 % - Markeringsfarve4 7 3 5" xfId="5932"/>
    <cellStyle name="40 % - Markeringsfarve4 7 3 6" xfId="10919"/>
    <cellStyle name="40 % - Markeringsfarve4 7 4" xfId="1215"/>
    <cellStyle name="40 % - Markeringsfarve4 7 4 2" xfId="2883"/>
    <cellStyle name="40 % - Markeringsfarve4 7 4 2 2" xfId="7872"/>
    <cellStyle name="40 % - Markeringsfarve4 7 4 3" xfId="4547"/>
    <cellStyle name="40 % - Markeringsfarve4 7 4 3 2" xfId="9533"/>
    <cellStyle name="40 % - Markeringsfarve4 7 4 4" xfId="6210"/>
    <cellStyle name="40 % - Markeringsfarve4 7 5" xfId="2053"/>
    <cellStyle name="40 % - Markeringsfarve4 7 5 2" xfId="7042"/>
    <cellStyle name="40 % - Markeringsfarve4 7 6" xfId="3718"/>
    <cellStyle name="40 % - Markeringsfarve4 7 6 2" xfId="8704"/>
    <cellStyle name="40 % - Markeringsfarve4 7 7" xfId="5381"/>
    <cellStyle name="40 % - Markeringsfarve4 7 8" xfId="10365"/>
    <cellStyle name="40 % - Markeringsfarve4 8" xfId="441"/>
    <cellStyle name="40 % - Markeringsfarve4 8 2" xfId="1276"/>
    <cellStyle name="40 % - Markeringsfarve4 8 2 2" xfId="2944"/>
    <cellStyle name="40 % - Markeringsfarve4 8 2 2 2" xfId="7933"/>
    <cellStyle name="40 % - Markeringsfarve4 8 2 3" xfId="4608"/>
    <cellStyle name="40 % - Markeringsfarve4 8 2 3 2" xfId="9594"/>
    <cellStyle name="40 % - Markeringsfarve4 8 2 4" xfId="6271"/>
    <cellStyle name="40 % - Markeringsfarve4 8 3" xfId="2115"/>
    <cellStyle name="40 % - Markeringsfarve4 8 3 2" xfId="7104"/>
    <cellStyle name="40 % - Markeringsfarve4 8 4" xfId="3779"/>
    <cellStyle name="40 % - Markeringsfarve4 8 4 2" xfId="8765"/>
    <cellStyle name="40 % - Markeringsfarve4 8 5" xfId="5442"/>
    <cellStyle name="40 % - Markeringsfarve4 8 6" xfId="10425"/>
    <cellStyle name="40 % - Markeringsfarve4 9" xfId="716"/>
    <cellStyle name="40 % - Markeringsfarve4 9 2" xfId="1550"/>
    <cellStyle name="40 % - Markeringsfarve4 9 2 2" xfId="3218"/>
    <cellStyle name="40 % - Markeringsfarve4 9 2 2 2" xfId="8207"/>
    <cellStyle name="40 % - Markeringsfarve4 9 2 3" xfId="4882"/>
    <cellStyle name="40 % - Markeringsfarve4 9 2 3 2" xfId="9868"/>
    <cellStyle name="40 % - Markeringsfarve4 9 2 4" xfId="6545"/>
    <cellStyle name="40 % - Markeringsfarve4 9 3" xfId="2387"/>
    <cellStyle name="40 % - Markeringsfarve4 9 3 2" xfId="7376"/>
    <cellStyle name="40 % - Markeringsfarve4 9 4" xfId="4051"/>
    <cellStyle name="40 % - Markeringsfarve4 9 4 2" xfId="9037"/>
    <cellStyle name="40 % - Markeringsfarve4 9 5" xfId="5714"/>
    <cellStyle name="40 % - Markeringsfarve4 9 6" xfId="10701"/>
    <cellStyle name="40 % - Markeringsfarve5" xfId="37" builtinId="47" customBuiltin="1"/>
    <cellStyle name="40 % - Markeringsfarve5 10" xfId="999"/>
    <cellStyle name="40 % - Markeringsfarve5 10 2" xfId="2667"/>
    <cellStyle name="40 % - Markeringsfarve5 10 2 2" xfId="7656"/>
    <cellStyle name="40 % - Markeringsfarve5 10 3" xfId="4331"/>
    <cellStyle name="40 % - Markeringsfarve5 10 3 2" xfId="9317"/>
    <cellStyle name="40 % - Markeringsfarve5 10 4" xfId="5994"/>
    <cellStyle name="40 % - Markeringsfarve5 11" xfId="1834"/>
    <cellStyle name="40 % - Markeringsfarve5 11 2" xfId="6826"/>
    <cellStyle name="40 % - Markeringsfarve5 12" xfId="3502"/>
    <cellStyle name="40 % - Markeringsfarve5 12 2" xfId="8488"/>
    <cellStyle name="40 % - Markeringsfarve5 13" xfId="5165"/>
    <cellStyle name="40 % - Markeringsfarve5 14" xfId="10149"/>
    <cellStyle name="40 % - Markeringsfarve5 2" xfId="75"/>
    <cellStyle name="40 % - Markeringsfarve5 2 10" xfId="3522"/>
    <cellStyle name="40 % - Markeringsfarve5 2 10 2" xfId="8508"/>
    <cellStyle name="40 % - Markeringsfarve5 2 11" xfId="5185"/>
    <cellStyle name="40 % - Markeringsfarve5 2 12" xfId="10168"/>
    <cellStyle name="40 % - Markeringsfarve5 2 2" xfId="143"/>
    <cellStyle name="40 % - Markeringsfarve5 2 2 2" xfId="516"/>
    <cellStyle name="40 % - Markeringsfarve5 2 2 2 2" xfId="1351"/>
    <cellStyle name="40 % - Markeringsfarve5 2 2 2 2 2" xfId="3019"/>
    <cellStyle name="40 % - Markeringsfarve5 2 2 2 2 2 2" xfId="8008"/>
    <cellStyle name="40 % - Markeringsfarve5 2 2 2 2 3" xfId="4683"/>
    <cellStyle name="40 % - Markeringsfarve5 2 2 2 2 3 2" xfId="9669"/>
    <cellStyle name="40 % - Markeringsfarve5 2 2 2 2 4" xfId="6346"/>
    <cellStyle name="40 % - Markeringsfarve5 2 2 2 3" xfId="2188"/>
    <cellStyle name="40 % - Markeringsfarve5 2 2 2 3 2" xfId="7177"/>
    <cellStyle name="40 % - Markeringsfarve5 2 2 2 4" xfId="3852"/>
    <cellStyle name="40 % - Markeringsfarve5 2 2 2 4 2" xfId="8838"/>
    <cellStyle name="40 % - Markeringsfarve5 2 2 2 5" xfId="5515"/>
    <cellStyle name="40 % - Markeringsfarve5 2 2 2 6" xfId="10502"/>
    <cellStyle name="40 % - Markeringsfarve5 2 2 3" xfId="791"/>
    <cellStyle name="40 % - Markeringsfarve5 2 2 3 2" xfId="1625"/>
    <cellStyle name="40 % - Markeringsfarve5 2 2 3 2 2" xfId="3293"/>
    <cellStyle name="40 % - Markeringsfarve5 2 2 3 2 2 2" xfId="8282"/>
    <cellStyle name="40 % - Markeringsfarve5 2 2 3 2 3" xfId="4957"/>
    <cellStyle name="40 % - Markeringsfarve5 2 2 3 2 3 2" xfId="9943"/>
    <cellStyle name="40 % - Markeringsfarve5 2 2 3 2 4" xfId="6620"/>
    <cellStyle name="40 % - Markeringsfarve5 2 2 3 3" xfId="2462"/>
    <cellStyle name="40 % - Markeringsfarve5 2 2 3 3 2" xfId="7451"/>
    <cellStyle name="40 % - Markeringsfarve5 2 2 3 4" xfId="4126"/>
    <cellStyle name="40 % - Markeringsfarve5 2 2 3 4 2" xfId="9112"/>
    <cellStyle name="40 % - Markeringsfarve5 2 2 3 5" xfId="5789"/>
    <cellStyle name="40 % - Markeringsfarve5 2 2 3 6" xfId="10776"/>
    <cellStyle name="40 % - Markeringsfarve5 2 2 4" xfId="1072"/>
    <cellStyle name="40 % - Markeringsfarve5 2 2 4 2" xfId="2740"/>
    <cellStyle name="40 % - Markeringsfarve5 2 2 4 2 2" xfId="7729"/>
    <cellStyle name="40 % - Markeringsfarve5 2 2 4 3" xfId="4404"/>
    <cellStyle name="40 % - Markeringsfarve5 2 2 4 3 2" xfId="9390"/>
    <cellStyle name="40 % - Markeringsfarve5 2 2 4 4" xfId="6067"/>
    <cellStyle name="40 % - Markeringsfarve5 2 2 5" xfId="1910"/>
    <cellStyle name="40 % - Markeringsfarve5 2 2 5 2" xfId="6899"/>
    <cellStyle name="40 % - Markeringsfarve5 2 2 6" xfId="3575"/>
    <cellStyle name="40 % - Markeringsfarve5 2 2 6 2" xfId="8561"/>
    <cellStyle name="40 % - Markeringsfarve5 2 2 7" xfId="5238"/>
    <cellStyle name="40 % - Markeringsfarve5 2 2 8" xfId="10222"/>
    <cellStyle name="40 % - Markeringsfarve5 2 3" xfId="198"/>
    <cellStyle name="40 % - Markeringsfarve5 2 3 2" xfId="570"/>
    <cellStyle name="40 % - Markeringsfarve5 2 3 2 2" xfId="1405"/>
    <cellStyle name="40 % - Markeringsfarve5 2 3 2 2 2" xfId="3073"/>
    <cellStyle name="40 % - Markeringsfarve5 2 3 2 2 2 2" xfId="8062"/>
    <cellStyle name="40 % - Markeringsfarve5 2 3 2 2 3" xfId="4737"/>
    <cellStyle name="40 % - Markeringsfarve5 2 3 2 2 3 2" xfId="9723"/>
    <cellStyle name="40 % - Markeringsfarve5 2 3 2 2 4" xfId="6400"/>
    <cellStyle name="40 % - Markeringsfarve5 2 3 2 3" xfId="2242"/>
    <cellStyle name="40 % - Markeringsfarve5 2 3 2 3 2" xfId="7231"/>
    <cellStyle name="40 % - Markeringsfarve5 2 3 2 4" xfId="3906"/>
    <cellStyle name="40 % - Markeringsfarve5 2 3 2 4 2" xfId="8892"/>
    <cellStyle name="40 % - Markeringsfarve5 2 3 2 5" xfId="5569"/>
    <cellStyle name="40 % - Markeringsfarve5 2 3 2 6" xfId="10556"/>
    <cellStyle name="40 % - Markeringsfarve5 2 3 3" xfId="845"/>
    <cellStyle name="40 % - Markeringsfarve5 2 3 3 2" xfId="1679"/>
    <cellStyle name="40 % - Markeringsfarve5 2 3 3 2 2" xfId="3347"/>
    <cellStyle name="40 % - Markeringsfarve5 2 3 3 2 2 2" xfId="8336"/>
    <cellStyle name="40 % - Markeringsfarve5 2 3 3 2 3" xfId="5011"/>
    <cellStyle name="40 % - Markeringsfarve5 2 3 3 2 3 2" xfId="9997"/>
    <cellStyle name="40 % - Markeringsfarve5 2 3 3 2 4" xfId="6674"/>
    <cellStyle name="40 % - Markeringsfarve5 2 3 3 3" xfId="2516"/>
    <cellStyle name="40 % - Markeringsfarve5 2 3 3 3 2" xfId="7505"/>
    <cellStyle name="40 % - Markeringsfarve5 2 3 3 4" xfId="4180"/>
    <cellStyle name="40 % - Markeringsfarve5 2 3 3 4 2" xfId="9166"/>
    <cellStyle name="40 % - Markeringsfarve5 2 3 3 5" xfId="5843"/>
    <cellStyle name="40 % - Markeringsfarve5 2 3 3 6" xfId="10830"/>
    <cellStyle name="40 % - Markeringsfarve5 2 3 4" xfId="1126"/>
    <cellStyle name="40 % - Markeringsfarve5 2 3 4 2" xfId="2794"/>
    <cellStyle name="40 % - Markeringsfarve5 2 3 4 2 2" xfId="7783"/>
    <cellStyle name="40 % - Markeringsfarve5 2 3 4 3" xfId="4458"/>
    <cellStyle name="40 % - Markeringsfarve5 2 3 4 3 2" xfId="9444"/>
    <cellStyle name="40 % - Markeringsfarve5 2 3 4 4" xfId="6121"/>
    <cellStyle name="40 % - Markeringsfarve5 2 3 5" xfId="1964"/>
    <cellStyle name="40 % - Markeringsfarve5 2 3 5 2" xfId="6953"/>
    <cellStyle name="40 % - Markeringsfarve5 2 3 6" xfId="3629"/>
    <cellStyle name="40 % - Markeringsfarve5 2 3 6 2" xfId="8615"/>
    <cellStyle name="40 % - Markeringsfarve5 2 3 7" xfId="5292"/>
    <cellStyle name="40 % - Markeringsfarve5 2 3 8" xfId="10276"/>
    <cellStyle name="40 % - Markeringsfarve5 2 4" xfId="253"/>
    <cellStyle name="40 % - Markeringsfarve5 2 4 2" xfId="625"/>
    <cellStyle name="40 % - Markeringsfarve5 2 4 2 2" xfId="1460"/>
    <cellStyle name="40 % - Markeringsfarve5 2 4 2 2 2" xfId="3128"/>
    <cellStyle name="40 % - Markeringsfarve5 2 4 2 2 2 2" xfId="8117"/>
    <cellStyle name="40 % - Markeringsfarve5 2 4 2 2 3" xfId="4792"/>
    <cellStyle name="40 % - Markeringsfarve5 2 4 2 2 3 2" xfId="9778"/>
    <cellStyle name="40 % - Markeringsfarve5 2 4 2 2 4" xfId="6455"/>
    <cellStyle name="40 % - Markeringsfarve5 2 4 2 3" xfId="2297"/>
    <cellStyle name="40 % - Markeringsfarve5 2 4 2 3 2" xfId="7286"/>
    <cellStyle name="40 % - Markeringsfarve5 2 4 2 4" xfId="3961"/>
    <cellStyle name="40 % - Markeringsfarve5 2 4 2 4 2" xfId="8947"/>
    <cellStyle name="40 % - Markeringsfarve5 2 4 2 5" xfId="5624"/>
    <cellStyle name="40 % - Markeringsfarve5 2 4 2 6" xfId="10611"/>
    <cellStyle name="40 % - Markeringsfarve5 2 4 3" xfId="900"/>
    <cellStyle name="40 % - Markeringsfarve5 2 4 3 2" xfId="1734"/>
    <cellStyle name="40 % - Markeringsfarve5 2 4 3 2 2" xfId="3402"/>
    <cellStyle name="40 % - Markeringsfarve5 2 4 3 2 2 2" xfId="8391"/>
    <cellStyle name="40 % - Markeringsfarve5 2 4 3 2 3" xfId="5066"/>
    <cellStyle name="40 % - Markeringsfarve5 2 4 3 2 3 2" xfId="10052"/>
    <cellStyle name="40 % - Markeringsfarve5 2 4 3 2 4" xfId="6729"/>
    <cellStyle name="40 % - Markeringsfarve5 2 4 3 3" xfId="2571"/>
    <cellStyle name="40 % - Markeringsfarve5 2 4 3 3 2" xfId="7560"/>
    <cellStyle name="40 % - Markeringsfarve5 2 4 3 4" xfId="4235"/>
    <cellStyle name="40 % - Markeringsfarve5 2 4 3 4 2" xfId="9221"/>
    <cellStyle name="40 % - Markeringsfarve5 2 4 3 5" xfId="5898"/>
    <cellStyle name="40 % - Markeringsfarve5 2 4 3 6" xfId="10885"/>
    <cellStyle name="40 % - Markeringsfarve5 2 4 4" xfId="1181"/>
    <cellStyle name="40 % - Markeringsfarve5 2 4 4 2" xfId="2849"/>
    <cellStyle name="40 % - Markeringsfarve5 2 4 4 2 2" xfId="7838"/>
    <cellStyle name="40 % - Markeringsfarve5 2 4 4 3" xfId="4513"/>
    <cellStyle name="40 % - Markeringsfarve5 2 4 4 3 2" xfId="9499"/>
    <cellStyle name="40 % - Markeringsfarve5 2 4 4 4" xfId="6176"/>
    <cellStyle name="40 % - Markeringsfarve5 2 4 5" xfId="2019"/>
    <cellStyle name="40 % - Markeringsfarve5 2 4 5 2" xfId="7008"/>
    <cellStyle name="40 % - Markeringsfarve5 2 4 6" xfId="3684"/>
    <cellStyle name="40 % - Markeringsfarve5 2 4 6 2" xfId="8670"/>
    <cellStyle name="40 % - Markeringsfarve5 2 4 7" xfId="5347"/>
    <cellStyle name="40 % - Markeringsfarve5 2 4 8" xfId="10331"/>
    <cellStyle name="40 % - Markeringsfarve5 2 5" xfId="309"/>
    <cellStyle name="40 % - Markeringsfarve5 2 5 2" xfId="681"/>
    <cellStyle name="40 % - Markeringsfarve5 2 5 2 2" xfId="1516"/>
    <cellStyle name="40 % - Markeringsfarve5 2 5 2 2 2" xfId="3184"/>
    <cellStyle name="40 % - Markeringsfarve5 2 5 2 2 2 2" xfId="8173"/>
    <cellStyle name="40 % - Markeringsfarve5 2 5 2 2 3" xfId="4848"/>
    <cellStyle name="40 % - Markeringsfarve5 2 5 2 2 3 2" xfId="9834"/>
    <cellStyle name="40 % - Markeringsfarve5 2 5 2 2 4" xfId="6511"/>
    <cellStyle name="40 % - Markeringsfarve5 2 5 2 3" xfId="2353"/>
    <cellStyle name="40 % - Markeringsfarve5 2 5 2 3 2" xfId="7342"/>
    <cellStyle name="40 % - Markeringsfarve5 2 5 2 4" xfId="4017"/>
    <cellStyle name="40 % - Markeringsfarve5 2 5 2 4 2" xfId="9003"/>
    <cellStyle name="40 % - Markeringsfarve5 2 5 2 5" xfId="5680"/>
    <cellStyle name="40 % - Markeringsfarve5 2 5 2 6" xfId="10667"/>
    <cellStyle name="40 % - Markeringsfarve5 2 5 3" xfId="956"/>
    <cellStyle name="40 % - Markeringsfarve5 2 5 3 2" xfId="1790"/>
    <cellStyle name="40 % - Markeringsfarve5 2 5 3 2 2" xfId="3458"/>
    <cellStyle name="40 % - Markeringsfarve5 2 5 3 2 2 2" xfId="8447"/>
    <cellStyle name="40 % - Markeringsfarve5 2 5 3 2 3" xfId="5122"/>
    <cellStyle name="40 % - Markeringsfarve5 2 5 3 2 3 2" xfId="10108"/>
    <cellStyle name="40 % - Markeringsfarve5 2 5 3 2 4" xfId="6785"/>
    <cellStyle name="40 % - Markeringsfarve5 2 5 3 3" xfId="2627"/>
    <cellStyle name="40 % - Markeringsfarve5 2 5 3 3 2" xfId="7616"/>
    <cellStyle name="40 % - Markeringsfarve5 2 5 3 4" xfId="4291"/>
    <cellStyle name="40 % - Markeringsfarve5 2 5 3 4 2" xfId="9277"/>
    <cellStyle name="40 % - Markeringsfarve5 2 5 3 5" xfId="5954"/>
    <cellStyle name="40 % - Markeringsfarve5 2 5 3 6" xfId="10941"/>
    <cellStyle name="40 % - Markeringsfarve5 2 5 4" xfId="1237"/>
    <cellStyle name="40 % - Markeringsfarve5 2 5 4 2" xfId="2905"/>
    <cellStyle name="40 % - Markeringsfarve5 2 5 4 2 2" xfId="7894"/>
    <cellStyle name="40 % - Markeringsfarve5 2 5 4 3" xfId="4569"/>
    <cellStyle name="40 % - Markeringsfarve5 2 5 4 3 2" xfId="9555"/>
    <cellStyle name="40 % - Markeringsfarve5 2 5 4 4" xfId="6232"/>
    <cellStyle name="40 % - Markeringsfarve5 2 5 5" xfId="2075"/>
    <cellStyle name="40 % - Markeringsfarve5 2 5 5 2" xfId="7064"/>
    <cellStyle name="40 % - Markeringsfarve5 2 5 6" xfId="3740"/>
    <cellStyle name="40 % - Markeringsfarve5 2 5 6 2" xfId="8726"/>
    <cellStyle name="40 % - Markeringsfarve5 2 5 7" xfId="5403"/>
    <cellStyle name="40 % - Markeringsfarve5 2 5 8" xfId="10387"/>
    <cellStyle name="40 % - Markeringsfarve5 2 6" xfId="462"/>
    <cellStyle name="40 % - Markeringsfarve5 2 6 2" xfId="1297"/>
    <cellStyle name="40 % - Markeringsfarve5 2 6 2 2" xfId="2965"/>
    <cellStyle name="40 % - Markeringsfarve5 2 6 2 2 2" xfId="7954"/>
    <cellStyle name="40 % - Markeringsfarve5 2 6 2 3" xfId="4629"/>
    <cellStyle name="40 % - Markeringsfarve5 2 6 2 3 2" xfId="9615"/>
    <cellStyle name="40 % - Markeringsfarve5 2 6 2 4" xfId="6292"/>
    <cellStyle name="40 % - Markeringsfarve5 2 6 3" xfId="2136"/>
    <cellStyle name="40 % - Markeringsfarve5 2 6 3 2" xfId="7125"/>
    <cellStyle name="40 % - Markeringsfarve5 2 6 4" xfId="3800"/>
    <cellStyle name="40 % - Markeringsfarve5 2 6 4 2" xfId="8786"/>
    <cellStyle name="40 % - Markeringsfarve5 2 6 5" xfId="5463"/>
    <cellStyle name="40 % - Markeringsfarve5 2 6 6" xfId="10426"/>
    <cellStyle name="40 % - Markeringsfarve5 2 7" xfId="737"/>
    <cellStyle name="40 % - Markeringsfarve5 2 7 2" xfId="1571"/>
    <cellStyle name="40 % - Markeringsfarve5 2 7 2 2" xfId="3239"/>
    <cellStyle name="40 % - Markeringsfarve5 2 7 2 2 2" xfId="8228"/>
    <cellStyle name="40 % - Markeringsfarve5 2 7 2 3" xfId="4903"/>
    <cellStyle name="40 % - Markeringsfarve5 2 7 2 3 2" xfId="9889"/>
    <cellStyle name="40 % - Markeringsfarve5 2 7 2 4" xfId="6566"/>
    <cellStyle name="40 % - Markeringsfarve5 2 7 3" xfId="2408"/>
    <cellStyle name="40 % - Markeringsfarve5 2 7 3 2" xfId="7397"/>
    <cellStyle name="40 % - Markeringsfarve5 2 7 4" xfId="4072"/>
    <cellStyle name="40 % - Markeringsfarve5 2 7 4 2" xfId="9058"/>
    <cellStyle name="40 % - Markeringsfarve5 2 7 5" xfId="5735"/>
    <cellStyle name="40 % - Markeringsfarve5 2 7 6" xfId="10722"/>
    <cellStyle name="40 % - Markeringsfarve5 2 8" xfId="1018"/>
    <cellStyle name="40 % - Markeringsfarve5 2 8 2" xfId="2686"/>
    <cellStyle name="40 % - Markeringsfarve5 2 8 2 2" xfId="7675"/>
    <cellStyle name="40 % - Markeringsfarve5 2 8 3" xfId="4350"/>
    <cellStyle name="40 % - Markeringsfarve5 2 8 3 2" xfId="9336"/>
    <cellStyle name="40 % - Markeringsfarve5 2 8 4" xfId="6013"/>
    <cellStyle name="40 % - Markeringsfarve5 2 9" xfId="1854"/>
    <cellStyle name="40 % - Markeringsfarve5 2 9 2" xfId="6846"/>
    <cellStyle name="40 % - Markeringsfarve5 3" xfId="102"/>
    <cellStyle name="40 % - Markeringsfarve5 3 10" xfId="3541"/>
    <cellStyle name="40 % - Markeringsfarve5 3 10 2" xfId="8527"/>
    <cellStyle name="40 % - Markeringsfarve5 3 11" xfId="5204"/>
    <cellStyle name="40 % - Markeringsfarve5 3 12" xfId="10187"/>
    <cellStyle name="40 % - Markeringsfarve5 3 2" xfId="162"/>
    <cellStyle name="40 % - Markeringsfarve5 3 2 2" xfId="535"/>
    <cellStyle name="40 % - Markeringsfarve5 3 2 2 2" xfId="1370"/>
    <cellStyle name="40 % - Markeringsfarve5 3 2 2 2 2" xfId="3038"/>
    <cellStyle name="40 % - Markeringsfarve5 3 2 2 2 2 2" xfId="8027"/>
    <cellStyle name="40 % - Markeringsfarve5 3 2 2 2 3" xfId="4702"/>
    <cellStyle name="40 % - Markeringsfarve5 3 2 2 2 3 2" xfId="9688"/>
    <cellStyle name="40 % - Markeringsfarve5 3 2 2 2 4" xfId="6365"/>
    <cellStyle name="40 % - Markeringsfarve5 3 2 2 3" xfId="2207"/>
    <cellStyle name="40 % - Markeringsfarve5 3 2 2 3 2" xfId="7196"/>
    <cellStyle name="40 % - Markeringsfarve5 3 2 2 4" xfId="3871"/>
    <cellStyle name="40 % - Markeringsfarve5 3 2 2 4 2" xfId="8857"/>
    <cellStyle name="40 % - Markeringsfarve5 3 2 2 5" xfId="5534"/>
    <cellStyle name="40 % - Markeringsfarve5 3 2 2 6" xfId="10521"/>
    <cellStyle name="40 % - Markeringsfarve5 3 2 3" xfId="810"/>
    <cellStyle name="40 % - Markeringsfarve5 3 2 3 2" xfId="1644"/>
    <cellStyle name="40 % - Markeringsfarve5 3 2 3 2 2" xfId="3312"/>
    <cellStyle name="40 % - Markeringsfarve5 3 2 3 2 2 2" xfId="8301"/>
    <cellStyle name="40 % - Markeringsfarve5 3 2 3 2 3" xfId="4976"/>
    <cellStyle name="40 % - Markeringsfarve5 3 2 3 2 3 2" xfId="9962"/>
    <cellStyle name="40 % - Markeringsfarve5 3 2 3 2 4" xfId="6639"/>
    <cellStyle name="40 % - Markeringsfarve5 3 2 3 3" xfId="2481"/>
    <cellStyle name="40 % - Markeringsfarve5 3 2 3 3 2" xfId="7470"/>
    <cellStyle name="40 % - Markeringsfarve5 3 2 3 4" xfId="4145"/>
    <cellStyle name="40 % - Markeringsfarve5 3 2 3 4 2" xfId="9131"/>
    <cellStyle name="40 % - Markeringsfarve5 3 2 3 5" xfId="5808"/>
    <cellStyle name="40 % - Markeringsfarve5 3 2 3 6" xfId="10795"/>
    <cellStyle name="40 % - Markeringsfarve5 3 2 4" xfId="1091"/>
    <cellStyle name="40 % - Markeringsfarve5 3 2 4 2" xfId="2759"/>
    <cellStyle name="40 % - Markeringsfarve5 3 2 4 2 2" xfId="7748"/>
    <cellStyle name="40 % - Markeringsfarve5 3 2 4 3" xfId="4423"/>
    <cellStyle name="40 % - Markeringsfarve5 3 2 4 3 2" xfId="9409"/>
    <cellStyle name="40 % - Markeringsfarve5 3 2 4 4" xfId="6086"/>
    <cellStyle name="40 % - Markeringsfarve5 3 2 5" xfId="1929"/>
    <cellStyle name="40 % - Markeringsfarve5 3 2 5 2" xfId="6918"/>
    <cellStyle name="40 % - Markeringsfarve5 3 2 6" xfId="3594"/>
    <cellStyle name="40 % - Markeringsfarve5 3 2 6 2" xfId="8580"/>
    <cellStyle name="40 % - Markeringsfarve5 3 2 7" xfId="5257"/>
    <cellStyle name="40 % - Markeringsfarve5 3 2 8" xfId="10241"/>
    <cellStyle name="40 % - Markeringsfarve5 3 3" xfId="217"/>
    <cellStyle name="40 % - Markeringsfarve5 3 3 2" xfId="589"/>
    <cellStyle name="40 % - Markeringsfarve5 3 3 2 2" xfId="1424"/>
    <cellStyle name="40 % - Markeringsfarve5 3 3 2 2 2" xfId="3092"/>
    <cellStyle name="40 % - Markeringsfarve5 3 3 2 2 2 2" xfId="8081"/>
    <cellStyle name="40 % - Markeringsfarve5 3 3 2 2 3" xfId="4756"/>
    <cellStyle name="40 % - Markeringsfarve5 3 3 2 2 3 2" xfId="9742"/>
    <cellStyle name="40 % - Markeringsfarve5 3 3 2 2 4" xfId="6419"/>
    <cellStyle name="40 % - Markeringsfarve5 3 3 2 3" xfId="2261"/>
    <cellStyle name="40 % - Markeringsfarve5 3 3 2 3 2" xfId="7250"/>
    <cellStyle name="40 % - Markeringsfarve5 3 3 2 4" xfId="3925"/>
    <cellStyle name="40 % - Markeringsfarve5 3 3 2 4 2" xfId="8911"/>
    <cellStyle name="40 % - Markeringsfarve5 3 3 2 5" xfId="5588"/>
    <cellStyle name="40 % - Markeringsfarve5 3 3 2 6" xfId="10575"/>
    <cellStyle name="40 % - Markeringsfarve5 3 3 3" xfId="864"/>
    <cellStyle name="40 % - Markeringsfarve5 3 3 3 2" xfId="1698"/>
    <cellStyle name="40 % - Markeringsfarve5 3 3 3 2 2" xfId="3366"/>
    <cellStyle name="40 % - Markeringsfarve5 3 3 3 2 2 2" xfId="8355"/>
    <cellStyle name="40 % - Markeringsfarve5 3 3 3 2 3" xfId="5030"/>
    <cellStyle name="40 % - Markeringsfarve5 3 3 3 2 3 2" xfId="10016"/>
    <cellStyle name="40 % - Markeringsfarve5 3 3 3 2 4" xfId="6693"/>
    <cellStyle name="40 % - Markeringsfarve5 3 3 3 3" xfId="2535"/>
    <cellStyle name="40 % - Markeringsfarve5 3 3 3 3 2" xfId="7524"/>
    <cellStyle name="40 % - Markeringsfarve5 3 3 3 4" xfId="4199"/>
    <cellStyle name="40 % - Markeringsfarve5 3 3 3 4 2" xfId="9185"/>
    <cellStyle name="40 % - Markeringsfarve5 3 3 3 5" xfId="5862"/>
    <cellStyle name="40 % - Markeringsfarve5 3 3 3 6" xfId="10849"/>
    <cellStyle name="40 % - Markeringsfarve5 3 3 4" xfId="1145"/>
    <cellStyle name="40 % - Markeringsfarve5 3 3 4 2" xfId="2813"/>
    <cellStyle name="40 % - Markeringsfarve5 3 3 4 2 2" xfId="7802"/>
    <cellStyle name="40 % - Markeringsfarve5 3 3 4 3" xfId="4477"/>
    <cellStyle name="40 % - Markeringsfarve5 3 3 4 3 2" xfId="9463"/>
    <cellStyle name="40 % - Markeringsfarve5 3 3 4 4" xfId="6140"/>
    <cellStyle name="40 % - Markeringsfarve5 3 3 5" xfId="1983"/>
    <cellStyle name="40 % - Markeringsfarve5 3 3 5 2" xfId="6972"/>
    <cellStyle name="40 % - Markeringsfarve5 3 3 6" xfId="3648"/>
    <cellStyle name="40 % - Markeringsfarve5 3 3 6 2" xfId="8634"/>
    <cellStyle name="40 % - Markeringsfarve5 3 3 7" xfId="5311"/>
    <cellStyle name="40 % - Markeringsfarve5 3 3 8" xfId="10295"/>
    <cellStyle name="40 % - Markeringsfarve5 3 4" xfId="272"/>
    <cellStyle name="40 % - Markeringsfarve5 3 4 2" xfId="644"/>
    <cellStyle name="40 % - Markeringsfarve5 3 4 2 2" xfId="1479"/>
    <cellStyle name="40 % - Markeringsfarve5 3 4 2 2 2" xfId="3147"/>
    <cellStyle name="40 % - Markeringsfarve5 3 4 2 2 2 2" xfId="8136"/>
    <cellStyle name="40 % - Markeringsfarve5 3 4 2 2 3" xfId="4811"/>
    <cellStyle name="40 % - Markeringsfarve5 3 4 2 2 3 2" xfId="9797"/>
    <cellStyle name="40 % - Markeringsfarve5 3 4 2 2 4" xfId="6474"/>
    <cellStyle name="40 % - Markeringsfarve5 3 4 2 3" xfId="2316"/>
    <cellStyle name="40 % - Markeringsfarve5 3 4 2 3 2" xfId="7305"/>
    <cellStyle name="40 % - Markeringsfarve5 3 4 2 4" xfId="3980"/>
    <cellStyle name="40 % - Markeringsfarve5 3 4 2 4 2" xfId="8966"/>
    <cellStyle name="40 % - Markeringsfarve5 3 4 2 5" xfId="5643"/>
    <cellStyle name="40 % - Markeringsfarve5 3 4 2 6" xfId="10630"/>
    <cellStyle name="40 % - Markeringsfarve5 3 4 3" xfId="919"/>
    <cellStyle name="40 % - Markeringsfarve5 3 4 3 2" xfId="1753"/>
    <cellStyle name="40 % - Markeringsfarve5 3 4 3 2 2" xfId="3421"/>
    <cellStyle name="40 % - Markeringsfarve5 3 4 3 2 2 2" xfId="8410"/>
    <cellStyle name="40 % - Markeringsfarve5 3 4 3 2 3" xfId="5085"/>
    <cellStyle name="40 % - Markeringsfarve5 3 4 3 2 3 2" xfId="10071"/>
    <cellStyle name="40 % - Markeringsfarve5 3 4 3 2 4" xfId="6748"/>
    <cellStyle name="40 % - Markeringsfarve5 3 4 3 3" xfId="2590"/>
    <cellStyle name="40 % - Markeringsfarve5 3 4 3 3 2" xfId="7579"/>
    <cellStyle name="40 % - Markeringsfarve5 3 4 3 4" xfId="4254"/>
    <cellStyle name="40 % - Markeringsfarve5 3 4 3 4 2" xfId="9240"/>
    <cellStyle name="40 % - Markeringsfarve5 3 4 3 5" xfId="5917"/>
    <cellStyle name="40 % - Markeringsfarve5 3 4 3 6" xfId="10904"/>
    <cellStyle name="40 % - Markeringsfarve5 3 4 4" xfId="1200"/>
    <cellStyle name="40 % - Markeringsfarve5 3 4 4 2" xfId="2868"/>
    <cellStyle name="40 % - Markeringsfarve5 3 4 4 2 2" xfId="7857"/>
    <cellStyle name="40 % - Markeringsfarve5 3 4 4 3" xfId="4532"/>
    <cellStyle name="40 % - Markeringsfarve5 3 4 4 3 2" xfId="9518"/>
    <cellStyle name="40 % - Markeringsfarve5 3 4 4 4" xfId="6195"/>
    <cellStyle name="40 % - Markeringsfarve5 3 4 5" xfId="2038"/>
    <cellStyle name="40 % - Markeringsfarve5 3 4 5 2" xfId="7027"/>
    <cellStyle name="40 % - Markeringsfarve5 3 4 6" xfId="3703"/>
    <cellStyle name="40 % - Markeringsfarve5 3 4 6 2" xfId="8689"/>
    <cellStyle name="40 % - Markeringsfarve5 3 4 7" xfId="5366"/>
    <cellStyle name="40 % - Markeringsfarve5 3 4 8" xfId="10350"/>
    <cellStyle name="40 % - Markeringsfarve5 3 5" xfId="328"/>
    <cellStyle name="40 % - Markeringsfarve5 3 5 2" xfId="700"/>
    <cellStyle name="40 % - Markeringsfarve5 3 5 2 2" xfId="1535"/>
    <cellStyle name="40 % - Markeringsfarve5 3 5 2 2 2" xfId="3203"/>
    <cellStyle name="40 % - Markeringsfarve5 3 5 2 2 2 2" xfId="8192"/>
    <cellStyle name="40 % - Markeringsfarve5 3 5 2 2 3" xfId="4867"/>
    <cellStyle name="40 % - Markeringsfarve5 3 5 2 2 3 2" xfId="9853"/>
    <cellStyle name="40 % - Markeringsfarve5 3 5 2 2 4" xfId="6530"/>
    <cellStyle name="40 % - Markeringsfarve5 3 5 2 3" xfId="2372"/>
    <cellStyle name="40 % - Markeringsfarve5 3 5 2 3 2" xfId="7361"/>
    <cellStyle name="40 % - Markeringsfarve5 3 5 2 4" xfId="4036"/>
    <cellStyle name="40 % - Markeringsfarve5 3 5 2 4 2" xfId="9022"/>
    <cellStyle name="40 % - Markeringsfarve5 3 5 2 5" xfId="5699"/>
    <cellStyle name="40 % - Markeringsfarve5 3 5 2 6" xfId="10686"/>
    <cellStyle name="40 % - Markeringsfarve5 3 5 3" xfId="975"/>
    <cellStyle name="40 % - Markeringsfarve5 3 5 3 2" xfId="1809"/>
    <cellStyle name="40 % - Markeringsfarve5 3 5 3 2 2" xfId="3477"/>
    <cellStyle name="40 % - Markeringsfarve5 3 5 3 2 2 2" xfId="8466"/>
    <cellStyle name="40 % - Markeringsfarve5 3 5 3 2 3" xfId="5141"/>
    <cellStyle name="40 % - Markeringsfarve5 3 5 3 2 3 2" xfId="10127"/>
    <cellStyle name="40 % - Markeringsfarve5 3 5 3 2 4" xfId="6804"/>
    <cellStyle name="40 % - Markeringsfarve5 3 5 3 3" xfId="2646"/>
    <cellStyle name="40 % - Markeringsfarve5 3 5 3 3 2" xfId="7635"/>
    <cellStyle name="40 % - Markeringsfarve5 3 5 3 4" xfId="4310"/>
    <cellStyle name="40 % - Markeringsfarve5 3 5 3 4 2" xfId="9296"/>
    <cellStyle name="40 % - Markeringsfarve5 3 5 3 5" xfId="5973"/>
    <cellStyle name="40 % - Markeringsfarve5 3 5 3 6" xfId="10960"/>
    <cellStyle name="40 % - Markeringsfarve5 3 5 4" xfId="1256"/>
    <cellStyle name="40 % - Markeringsfarve5 3 5 4 2" xfId="2924"/>
    <cellStyle name="40 % - Markeringsfarve5 3 5 4 2 2" xfId="7913"/>
    <cellStyle name="40 % - Markeringsfarve5 3 5 4 3" xfId="4588"/>
    <cellStyle name="40 % - Markeringsfarve5 3 5 4 3 2" xfId="9574"/>
    <cellStyle name="40 % - Markeringsfarve5 3 5 4 4" xfId="6251"/>
    <cellStyle name="40 % - Markeringsfarve5 3 5 5" xfId="2094"/>
    <cellStyle name="40 % - Markeringsfarve5 3 5 5 2" xfId="7083"/>
    <cellStyle name="40 % - Markeringsfarve5 3 5 6" xfId="3759"/>
    <cellStyle name="40 % - Markeringsfarve5 3 5 6 2" xfId="8745"/>
    <cellStyle name="40 % - Markeringsfarve5 3 5 7" xfId="5422"/>
    <cellStyle name="40 % - Markeringsfarve5 3 5 8" xfId="10406"/>
    <cellStyle name="40 % - Markeringsfarve5 3 6" xfId="481"/>
    <cellStyle name="40 % - Markeringsfarve5 3 6 2" xfId="1316"/>
    <cellStyle name="40 % - Markeringsfarve5 3 6 2 2" xfId="2984"/>
    <cellStyle name="40 % - Markeringsfarve5 3 6 2 2 2" xfId="7973"/>
    <cellStyle name="40 % - Markeringsfarve5 3 6 2 3" xfId="4648"/>
    <cellStyle name="40 % - Markeringsfarve5 3 6 2 3 2" xfId="9634"/>
    <cellStyle name="40 % - Markeringsfarve5 3 6 2 4" xfId="6311"/>
    <cellStyle name="40 % - Markeringsfarve5 3 6 3" xfId="2155"/>
    <cellStyle name="40 % - Markeringsfarve5 3 6 3 2" xfId="7144"/>
    <cellStyle name="40 % - Markeringsfarve5 3 6 4" xfId="3819"/>
    <cellStyle name="40 % - Markeringsfarve5 3 6 4 2" xfId="8805"/>
    <cellStyle name="40 % - Markeringsfarve5 3 6 5" xfId="5482"/>
    <cellStyle name="40 % - Markeringsfarve5 3 6 6" xfId="10467"/>
    <cellStyle name="40 % - Markeringsfarve5 3 7" xfId="756"/>
    <cellStyle name="40 % - Markeringsfarve5 3 7 2" xfId="1590"/>
    <cellStyle name="40 % - Markeringsfarve5 3 7 2 2" xfId="3258"/>
    <cellStyle name="40 % - Markeringsfarve5 3 7 2 2 2" xfId="8247"/>
    <cellStyle name="40 % - Markeringsfarve5 3 7 2 3" xfId="4922"/>
    <cellStyle name="40 % - Markeringsfarve5 3 7 2 3 2" xfId="9908"/>
    <cellStyle name="40 % - Markeringsfarve5 3 7 2 4" xfId="6585"/>
    <cellStyle name="40 % - Markeringsfarve5 3 7 3" xfId="2427"/>
    <cellStyle name="40 % - Markeringsfarve5 3 7 3 2" xfId="7416"/>
    <cellStyle name="40 % - Markeringsfarve5 3 7 4" xfId="4091"/>
    <cellStyle name="40 % - Markeringsfarve5 3 7 4 2" xfId="9077"/>
    <cellStyle name="40 % - Markeringsfarve5 3 7 5" xfId="5754"/>
    <cellStyle name="40 % - Markeringsfarve5 3 7 6" xfId="10741"/>
    <cellStyle name="40 % - Markeringsfarve5 3 8" xfId="1037"/>
    <cellStyle name="40 % - Markeringsfarve5 3 8 2" xfId="2705"/>
    <cellStyle name="40 % - Markeringsfarve5 3 8 2 2" xfId="7694"/>
    <cellStyle name="40 % - Markeringsfarve5 3 8 3" xfId="4369"/>
    <cellStyle name="40 % - Markeringsfarve5 3 8 3 2" xfId="9355"/>
    <cellStyle name="40 % - Markeringsfarve5 3 8 4" xfId="6032"/>
    <cellStyle name="40 % - Markeringsfarve5 3 9" xfId="1873"/>
    <cellStyle name="40 % - Markeringsfarve5 3 9 2" xfId="6865"/>
    <cellStyle name="40 % - Markeringsfarve5 4" xfId="125"/>
    <cellStyle name="40 % - Markeringsfarve5 4 2" xfId="498"/>
    <cellStyle name="40 % - Markeringsfarve5 4 2 2" xfId="1333"/>
    <cellStyle name="40 % - Markeringsfarve5 4 2 2 2" xfId="3001"/>
    <cellStyle name="40 % - Markeringsfarve5 4 2 2 2 2" xfId="7990"/>
    <cellStyle name="40 % - Markeringsfarve5 4 2 2 3" xfId="4665"/>
    <cellStyle name="40 % - Markeringsfarve5 4 2 2 3 2" xfId="9651"/>
    <cellStyle name="40 % - Markeringsfarve5 4 2 2 4" xfId="6328"/>
    <cellStyle name="40 % - Markeringsfarve5 4 2 3" xfId="2172"/>
    <cellStyle name="40 % - Markeringsfarve5 4 2 3 2" xfId="7161"/>
    <cellStyle name="40 % - Markeringsfarve5 4 2 4" xfId="3836"/>
    <cellStyle name="40 % - Markeringsfarve5 4 2 4 2" xfId="8822"/>
    <cellStyle name="40 % - Markeringsfarve5 4 2 5" xfId="5499"/>
    <cellStyle name="40 % - Markeringsfarve5 4 2 6" xfId="10484"/>
    <cellStyle name="40 % - Markeringsfarve5 4 3" xfId="773"/>
    <cellStyle name="40 % - Markeringsfarve5 4 3 2" xfId="1607"/>
    <cellStyle name="40 % - Markeringsfarve5 4 3 2 2" xfId="3275"/>
    <cellStyle name="40 % - Markeringsfarve5 4 3 2 2 2" xfId="8264"/>
    <cellStyle name="40 % - Markeringsfarve5 4 3 2 3" xfId="4939"/>
    <cellStyle name="40 % - Markeringsfarve5 4 3 2 3 2" xfId="9925"/>
    <cellStyle name="40 % - Markeringsfarve5 4 3 2 4" xfId="6602"/>
    <cellStyle name="40 % - Markeringsfarve5 4 3 3" xfId="2444"/>
    <cellStyle name="40 % - Markeringsfarve5 4 3 3 2" xfId="7433"/>
    <cellStyle name="40 % - Markeringsfarve5 4 3 4" xfId="4108"/>
    <cellStyle name="40 % - Markeringsfarve5 4 3 4 2" xfId="9094"/>
    <cellStyle name="40 % - Markeringsfarve5 4 3 5" xfId="5771"/>
    <cellStyle name="40 % - Markeringsfarve5 4 3 6" xfId="10758"/>
    <cellStyle name="40 % - Markeringsfarve5 4 4" xfId="1054"/>
    <cellStyle name="40 % - Markeringsfarve5 4 4 2" xfId="2722"/>
    <cellStyle name="40 % - Markeringsfarve5 4 4 2 2" xfId="7711"/>
    <cellStyle name="40 % - Markeringsfarve5 4 4 3" xfId="4386"/>
    <cellStyle name="40 % - Markeringsfarve5 4 4 3 2" xfId="9372"/>
    <cellStyle name="40 % - Markeringsfarve5 4 4 4" xfId="6049"/>
    <cellStyle name="40 % - Markeringsfarve5 4 5" xfId="1892"/>
    <cellStyle name="40 % - Markeringsfarve5 4 5 2" xfId="6881"/>
    <cellStyle name="40 % - Markeringsfarve5 4 6" xfId="3557"/>
    <cellStyle name="40 % - Markeringsfarve5 4 6 2" xfId="8543"/>
    <cellStyle name="40 % - Markeringsfarve5 4 7" xfId="5220"/>
    <cellStyle name="40 % - Markeringsfarve5 4 8" xfId="10204"/>
    <cellStyle name="40 % - Markeringsfarve5 5" xfId="178"/>
    <cellStyle name="40 % - Markeringsfarve5 5 2" xfId="551"/>
    <cellStyle name="40 % - Markeringsfarve5 5 2 2" xfId="1386"/>
    <cellStyle name="40 % - Markeringsfarve5 5 2 2 2" xfId="3054"/>
    <cellStyle name="40 % - Markeringsfarve5 5 2 2 2 2" xfId="8043"/>
    <cellStyle name="40 % - Markeringsfarve5 5 2 2 3" xfId="4718"/>
    <cellStyle name="40 % - Markeringsfarve5 5 2 2 3 2" xfId="9704"/>
    <cellStyle name="40 % - Markeringsfarve5 5 2 2 4" xfId="6381"/>
    <cellStyle name="40 % - Markeringsfarve5 5 2 3" xfId="2223"/>
    <cellStyle name="40 % - Markeringsfarve5 5 2 3 2" xfId="7212"/>
    <cellStyle name="40 % - Markeringsfarve5 5 2 4" xfId="3887"/>
    <cellStyle name="40 % - Markeringsfarve5 5 2 4 2" xfId="8873"/>
    <cellStyle name="40 % - Markeringsfarve5 5 2 5" xfId="5550"/>
    <cellStyle name="40 % - Markeringsfarve5 5 2 6" xfId="10537"/>
    <cellStyle name="40 % - Markeringsfarve5 5 3" xfId="826"/>
    <cellStyle name="40 % - Markeringsfarve5 5 3 2" xfId="1660"/>
    <cellStyle name="40 % - Markeringsfarve5 5 3 2 2" xfId="3328"/>
    <cellStyle name="40 % - Markeringsfarve5 5 3 2 2 2" xfId="8317"/>
    <cellStyle name="40 % - Markeringsfarve5 5 3 2 3" xfId="4992"/>
    <cellStyle name="40 % - Markeringsfarve5 5 3 2 3 2" xfId="9978"/>
    <cellStyle name="40 % - Markeringsfarve5 5 3 2 4" xfId="6655"/>
    <cellStyle name="40 % - Markeringsfarve5 5 3 3" xfId="2497"/>
    <cellStyle name="40 % - Markeringsfarve5 5 3 3 2" xfId="7486"/>
    <cellStyle name="40 % - Markeringsfarve5 5 3 4" xfId="4161"/>
    <cellStyle name="40 % - Markeringsfarve5 5 3 4 2" xfId="9147"/>
    <cellStyle name="40 % - Markeringsfarve5 5 3 5" xfId="5824"/>
    <cellStyle name="40 % - Markeringsfarve5 5 3 6" xfId="10811"/>
    <cellStyle name="40 % - Markeringsfarve5 5 4" xfId="1107"/>
    <cellStyle name="40 % - Markeringsfarve5 5 4 2" xfId="2775"/>
    <cellStyle name="40 % - Markeringsfarve5 5 4 2 2" xfId="7764"/>
    <cellStyle name="40 % - Markeringsfarve5 5 4 3" xfId="4439"/>
    <cellStyle name="40 % - Markeringsfarve5 5 4 3 2" xfId="9425"/>
    <cellStyle name="40 % - Markeringsfarve5 5 4 4" xfId="6102"/>
    <cellStyle name="40 % - Markeringsfarve5 5 5" xfId="1945"/>
    <cellStyle name="40 % - Markeringsfarve5 5 5 2" xfId="6934"/>
    <cellStyle name="40 % - Markeringsfarve5 5 6" xfId="3610"/>
    <cellStyle name="40 % - Markeringsfarve5 5 6 2" xfId="8596"/>
    <cellStyle name="40 % - Markeringsfarve5 5 7" xfId="5273"/>
    <cellStyle name="40 % - Markeringsfarve5 5 8" xfId="10257"/>
    <cellStyle name="40 % - Markeringsfarve5 6" xfId="234"/>
    <cellStyle name="40 % - Markeringsfarve5 6 2" xfId="606"/>
    <cellStyle name="40 % - Markeringsfarve5 6 2 2" xfId="1441"/>
    <cellStyle name="40 % - Markeringsfarve5 6 2 2 2" xfId="3109"/>
    <cellStyle name="40 % - Markeringsfarve5 6 2 2 2 2" xfId="8098"/>
    <cellStyle name="40 % - Markeringsfarve5 6 2 2 3" xfId="4773"/>
    <cellStyle name="40 % - Markeringsfarve5 6 2 2 3 2" xfId="9759"/>
    <cellStyle name="40 % - Markeringsfarve5 6 2 2 4" xfId="6436"/>
    <cellStyle name="40 % - Markeringsfarve5 6 2 3" xfId="2278"/>
    <cellStyle name="40 % - Markeringsfarve5 6 2 3 2" xfId="7267"/>
    <cellStyle name="40 % - Markeringsfarve5 6 2 4" xfId="3942"/>
    <cellStyle name="40 % - Markeringsfarve5 6 2 4 2" xfId="8928"/>
    <cellStyle name="40 % - Markeringsfarve5 6 2 5" xfId="5605"/>
    <cellStyle name="40 % - Markeringsfarve5 6 2 6" xfId="10592"/>
    <cellStyle name="40 % - Markeringsfarve5 6 3" xfId="881"/>
    <cellStyle name="40 % - Markeringsfarve5 6 3 2" xfId="1715"/>
    <cellStyle name="40 % - Markeringsfarve5 6 3 2 2" xfId="3383"/>
    <cellStyle name="40 % - Markeringsfarve5 6 3 2 2 2" xfId="8372"/>
    <cellStyle name="40 % - Markeringsfarve5 6 3 2 3" xfId="5047"/>
    <cellStyle name="40 % - Markeringsfarve5 6 3 2 3 2" xfId="10033"/>
    <cellStyle name="40 % - Markeringsfarve5 6 3 2 4" xfId="6710"/>
    <cellStyle name="40 % - Markeringsfarve5 6 3 3" xfId="2552"/>
    <cellStyle name="40 % - Markeringsfarve5 6 3 3 2" xfId="7541"/>
    <cellStyle name="40 % - Markeringsfarve5 6 3 4" xfId="4216"/>
    <cellStyle name="40 % - Markeringsfarve5 6 3 4 2" xfId="9202"/>
    <cellStyle name="40 % - Markeringsfarve5 6 3 5" xfId="5879"/>
    <cellStyle name="40 % - Markeringsfarve5 6 3 6" xfId="10866"/>
    <cellStyle name="40 % - Markeringsfarve5 6 4" xfId="1162"/>
    <cellStyle name="40 % - Markeringsfarve5 6 4 2" xfId="2830"/>
    <cellStyle name="40 % - Markeringsfarve5 6 4 2 2" xfId="7819"/>
    <cellStyle name="40 % - Markeringsfarve5 6 4 3" xfId="4494"/>
    <cellStyle name="40 % - Markeringsfarve5 6 4 3 2" xfId="9480"/>
    <cellStyle name="40 % - Markeringsfarve5 6 4 4" xfId="6157"/>
    <cellStyle name="40 % - Markeringsfarve5 6 5" xfId="2000"/>
    <cellStyle name="40 % - Markeringsfarve5 6 5 2" xfId="6989"/>
    <cellStyle name="40 % - Markeringsfarve5 6 6" xfId="3665"/>
    <cellStyle name="40 % - Markeringsfarve5 6 6 2" xfId="8651"/>
    <cellStyle name="40 % - Markeringsfarve5 6 7" xfId="5328"/>
    <cellStyle name="40 % - Markeringsfarve5 6 8" xfId="10312"/>
    <cellStyle name="40 % - Markeringsfarve5 7" xfId="289"/>
    <cellStyle name="40 % - Markeringsfarve5 7 2" xfId="661"/>
    <cellStyle name="40 % - Markeringsfarve5 7 2 2" xfId="1496"/>
    <cellStyle name="40 % - Markeringsfarve5 7 2 2 2" xfId="3164"/>
    <cellStyle name="40 % - Markeringsfarve5 7 2 2 2 2" xfId="8153"/>
    <cellStyle name="40 % - Markeringsfarve5 7 2 2 3" xfId="4828"/>
    <cellStyle name="40 % - Markeringsfarve5 7 2 2 3 2" xfId="9814"/>
    <cellStyle name="40 % - Markeringsfarve5 7 2 2 4" xfId="6491"/>
    <cellStyle name="40 % - Markeringsfarve5 7 2 3" xfId="2333"/>
    <cellStyle name="40 % - Markeringsfarve5 7 2 3 2" xfId="7322"/>
    <cellStyle name="40 % - Markeringsfarve5 7 2 4" xfId="3997"/>
    <cellStyle name="40 % - Markeringsfarve5 7 2 4 2" xfId="8983"/>
    <cellStyle name="40 % - Markeringsfarve5 7 2 5" xfId="5660"/>
    <cellStyle name="40 % - Markeringsfarve5 7 2 6" xfId="10647"/>
    <cellStyle name="40 % - Markeringsfarve5 7 3" xfId="936"/>
    <cellStyle name="40 % - Markeringsfarve5 7 3 2" xfId="1770"/>
    <cellStyle name="40 % - Markeringsfarve5 7 3 2 2" xfId="3438"/>
    <cellStyle name="40 % - Markeringsfarve5 7 3 2 2 2" xfId="8427"/>
    <cellStyle name="40 % - Markeringsfarve5 7 3 2 3" xfId="5102"/>
    <cellStyle name="40 % - Markeringsfarve5 7 3 2 3 2" xfId="10088"/>
    <cellStyle name="40 % - Markeringsfarve5 7 3 2 4" xfId="6765"/>
    <cellStyle name="40 % - Markeringsfarve5 7 3 3" xfId="2607"/>
    <cellStyle name="40 % - Markeringsfarve5 7 3 3 2" xfId="7596"/>
    <cellStyle name="40 % - Markeringsfarve5 7 3 4" xfId="4271"/>
    <cellStyle name="40 % - Markeringsfarve5 7 3 4 2" xfId="9257"/>
    <cellStyle name="40 % - Markeringsfarve5 7 3 5" xfId="5934"/>
    <cellStyle name="40 % - Markeringsfarve5 7 3 6" xfId="10921"/>
    <cellStyle name="40 % - Markeringsfarve5 7 4" xfId="1217"/>
    <cellStyle name="40 % - Markeringsfarve5 7 4 2" xfId="2885"/>
    <cellStyle name="40 % - Markeringsfarve5 7 4 2 2" xfId="7874"/>
    <cellStyle name="40 % - Markeringsfarve5 7 4 3" xfId="4549"/>
    <cellStyle name="40 % - Markeringsfarve5 7 4 3 2" xfId="9535"/>
    <cellStyle name="40 % - Markeringsfarve5 7 4 4" xfId="6212"/>
    <cellStyle name="40 % - Markeringsfarve5 7 5" xfId="2055"/>
    <cellStyle name="40 % - Markeringsfarve5 7 5 2" xfId="7044"/>
    <cellStyle name="40 % - Markeringsfarve5 7 6" xfId="3720"/>
    <cellStyle name="40 % - Markeringsfarve5 7 6 2" xfId="8706"/>
    <cellStyle name="40 % - Markeringsfarve5 7 7" xfId="5383"/>
    <cellStyle name="40 % - Markeringsfarve5 7 8" xfId="10367"/>
    <cellStyle name="40 % - Markeringsfarve5 8" xfId="443"/>
    <cellStyle name="40 % - Markeringsfarve5 8 2" xfId="1278"/>
    <cellStyle name="40 % - Markeringsfarve5 8 2 2" xfId="2946"/>
    <cellStyle name="40 % - Markeringsfarve5 8 2 2 2" xfId="7935"/>
    <cellStyle name="40 % - Markeringsfarve5 8 2 3" xfId="4610"/>
    <cellStyle name="40 % - Markeringsfarve5 8 2 3 2" xfId="9596"/>
    <cellStyle name="40 % - Markeringsfarve5 8 2 4" xfId="6273"/>
    <cellStyle name="40 % - Markeringsfarve5 8 3" xfId="2117"/>
    <cellStyle name="40 % - Markeringsfarve5 8 3 2" xfId="7106"/>
    <cellStyle name="40 % - Markeringsfarve5 8 4" xfId="3781"/>
    <cellStyle name="40 % - Markeringsfarve5 8 4 2" xfId="8767"/>
    <cellStyle name="40 % - Markeringsfarve5 8 5" xfId="5444"/>
    <cellStyle name="40 % - Markeringsfarve5 8 6" xfId="10419"/>
    <cellStyle name="40 % - Markeringsfarve5 9" xfId="718"/>
    <cellStyle name="40 % - Markeringsfarve5 9 2" xfId="1552"/>
    <cellStyle name="40 % - Markeringsfarve5 9 2 2" xfId="3220"/>
    <cellStyle name="40 % - Markeringsfarve5 9 2 2 2" xfId="8209"/>
    <cellStyle name="40 % - Markeringsfarve5 9 2 3" xfId="4884"/>
    <cellStyle name="40 % - Markeringsfarve5 9 2 3 2" xfId="9870"/>
    <cellStyle name="40 % - Markeringsfarve5 9 2 4" xfId="6547"/>
    <cellStyle name="40 % - Markeringsfarve5 9 3" xfId="2389"/>
    <cellStyle name="40 % - Markeringsfarve5 9 3 2" xfId="7378"/>
    <cellStyle name="40 % - Markeringsfarve5 9 4" xfId="4053"/>
    <cellStyle name="40 % - Markeringsfarve5 9 4 2" xfId="9039"/>
    <cellStyle name="40 % - Markeringsfarve5 9 5" xfId="5716"/>
    <cellStyle name="40 % - Markeringsfarve5 9 6" xfId="10703"/>
    <cellStyle name="40 % - Markeringsfarve6" xfId="41" builtinId="51" customBuiltin="1"/>
    <cellStyle name="40 % - Markeringsfarve6 10" xfId="1001"/>
    <cellStyle name="40 % - Markeringsfarve6 10 2" xfId="2669"/>
    <cellStyle name="40 % - Markeringsfarve6 10 2 2" xfId="7658"/>
    <cellStyle name="40 % - Markeringsfarve6 10 3" xfId="4333"/>
    <cellStyle name="40 % - Markeringsfarve6 10 3 2" xfId="9319"/>
    <cellStyle name="40 % - Markeringsfarve6 10 4" xfId="5996"/>
    <cellStyle name="40 % - Markeringsfarve6 11" xfId="1836"/>
    <cellStyle name="40 % - Markeringsfarve6 11 2" xfId="6828"/>
    <cellStyle name="40 % - Markeringsfarve6 12" xfId="3504"/>
    <cellStyle name="40 % - Markeringsfarve6 12 2" xfId="8490"/>
    <cellStyle name="40 % - Markeringsfarve6 13" xfId="5167"/>
    <cellStyle name="40 % - Markeringsfarve6 14" xfId="10151"/>
    <cellStyle name="40 % - Markeringsfarve6 2" xfId="77"/>
    <cellStyle name="40 % - Markeringsfarve6 2 10" xfId="3524"/>
    <cellStyle name="40 % - Markeringsfarve6 2 10 2" xfId="8510"/>
    <cellStyle name="40 % - Markeringsfarve6 2 11" xfId="5187"/>
    <cellStyle name="40 % - Markeringsfarve6 2 12" xfId="10170"/>
    <cellStyle name="40 % - Markeringsfarve6 2 2" xfId="145"/>
    <cellStyle name="40 % - Markeringsfarve6 2 2 2" xfId="518"/>
    <cellStyle name="40 % - Markeringsfarve6 2 2 2 2" xfId="1353"/>
    <cellStyle name="40 % - Markeringsfarve6 2 2 2 2 2" xfId="3021"/>
    <cellStyle name="40 % - Markeringsfarve6 2 2 2 2 2 2" xfId="8010"/>
    <cellStyle name="40 % - Markeringsfarve6 2 2 2 2 3" xfId="4685"/>
    <cellStyle name="40 % - Markeringsfarve6 2 2 2 2 3 2" xfId="9671"/>
    <cellStyle name="40 % - Markeringsfarve6 2 2 2 2 4" xfId="6348"/>
    <cellStyle name="40 % - Markeringsfarve6 2 2 2 3" xfId="2190"/>
    <cellStyle name="40 % - Markeringsfarve6 2 2 2 3 2" xfId="7179"/>
    <cellStyle name="40 % - Markeringsfarve6 2 2 2 4" xfId="3854"/>
    <cellStyle name="40 % - Markeringsfarve6 2 2 2 4 2" xfId="8840"/>
    <cellStyle name="40 % - Markeringsfarve6 2 2 2 5" xfId="5517"/>
    <cellStyle name="40 % - Markeringsfarve6 2 2 2 6" xfId="10504"/>
    <cellStyle name="40 % - Markeringsfarve6 2 2 3" xfId="793"/>
    <cellStyle name="40 % - Markeringsfarve6 2 2 3 2" xfId="1627"/>
    <cellStyle name="40 % - Markeringsfarve6 2 2 3 2 2" xfId="3295"/>
    <cellStyle name="40 % - Markeringsfarve6 2 2 3 2 2 2" xfId="8284"/>
    <cellStyle name="40 % - Markeringsfarve6 2 2 3 2 3" xfId="4959"/>
    <cellStyle name="40 % - Markeringsfarve6 2 2 3 2 3 2" xfId="9945"/>
    <cellStyle name="40 % - Markeringsfarve6 2 2 3 2 4" xfId="6622"/>
    <cellStyle name="40 % - Markeringsfarve6 2 2 3 3" xfId="2464"/>
    <cellStyle name="40 % - Markeringsfarve6 2 2 3 3 2" xfId="7453"/>
    <cellStyle name="40 % - Markeringsfarve6 2 2 3 4" xfId="4128"/>
    <cellStyle name="40 % - Markeringsfarve6 2 2 3 4 2" xfId="9114"/>
    <cellStyle name="40 % - Markeringsfarve6 2 2 3 5" xfId="5791"/>
    <cellStyle name="40 % - Markeringsfarve6 2 2 3 6" xfId="10778"/>
    <cellStyle name="40 % - Markeringsfarve6 2 2 4" xfId="1074"/>
    <cellStyle name="40 % - Markeringsfarve6 2 2 4 2" xfId="2742"/>
    <cellStyle name="40 % - Markeringsfarve6 2 2 4 2 2" xfId="7731"/>
    <cellStyle name="40 % - Markeringsfarve6 2 2 4 3" xfId="4406"/>
    <cellStyle name="40 % - Markeringsfarve6 2 2 4 3 2" xfId="9392"/>
    <cellStyle name="40 % - Markeringsfarve6 2 2 4 4" xfId="6069"/>
    <cellStyle name="40 % - Markeringsfarve6 2 2 5" xfId="1912"/>
    <cellStyle name="40 % - Markeringsfarve6 2 2 5 2" xfId="6901"/>
    <cellStyle name="40 % - Markeringsfarve6 2 2 6" xfId="3577"/>
    <cellStyle name="40 % - Markeringsfarve6 2 2 6 2" xfId="8563"/>
    <cellStyle name="40 % - Markeringsfarve6 2 2 7" xfId="5240"/>
    <cellStyle name="40 % - Markeringsfarve6 2 2 8" xfId="10224"/>
    <cellStyle name="40 % - Markeringsfarve6 2 3" xfId="200"/>
    <cellStyle name="40 % - Markeringsfarve6 2 3 2" xfId="572"/>
    <cellStyle name="40 % - Markeringsfarve6 2 3 2 2" xfId="1407"/>
    <cellStyle name="40 % - Markeringsfarve6 2 3 2 2 2" xfId="3075"/>
    <cellStyle name="40 % - Markeringsfarve6 2 3 2 2 2 2" xfId="8064"/>
    <cellStyle name="40 % - Markeringsfarve6 2 3 2 2 3" xfId="4739"/>
    <cellStyle name="40 % - Markeringsfarve6 2 3 2 2 3 2" xfId="9725"/>
    <cellStyle name="40 % - Markeringsfarve6 2 3 2 2 4" xfId="6402"/>
    <cellStyle name="40 % - Markeringsfarve6 2 3 2 3" xfId="2244"/>
    <cellStyle name="40 % - Markeringsfarve6 2 3 2 3 2" xfId="7233"/>
    <cellStyle name="40 % - Markeringsfarve6 2 3 2 4" xfId="3908"/>
    <cellStyle name="40 % - Markeringsfarve6 2 3 2 4 2" xfId="8894"/>
    <cellStyle name="40 % - Markeringsfarve6 2 3 2 5" xfId="5571"/>
    <cellStyle name="40 % - Markeringsfarve6 2 3 2 6" xfId="10558"/>
    <cellStyle name="40 % - Markeringsfarve6 2 3 3" xfId="847"/>
    <cellStyle name="40 % - Markeringsfarve6 2 3 3 2" xfId="1681"/>
    <cellStyle name="40 % - Markeringsfarve6 2 3 3 2 2" xfId="3349"/>
    <cellStyle name="40 % - Markeringsfarve6 2 3 3 2 2 2" xfId="8338"/>
    <cellStyle name="40 % - Markeringsfarve6 2 3 3 2 3" xfId="5013"/>
    <cellStyle name="40 % - Markeringsfarve6 2 3 3 2 3 2" xfId="9999"/>
    <cellStyle name="40 % - Markeringsfarve6 2 3 3 2 4" xfId="6676"/>
    <cellStyle name="40 % - Markeringsfarve6 2 3 3 3" xfId="2518"/>
    <cellStyle name="40 % - Markeringsfarve6 2 3 3 3 2" xfId="7507"/>
    <cellStyle name="40 % - Markeringsfarve6 2 3 3 4" xfId="4182"/>
    <cellStyle name="40 % - Markeringsfarve6 2 3 3 4 2" xfId="9168"/>
    <cellStyle name="40 % - Markeringsfarve6 2 3 3 5" xfId="5845"/>
    <cellStyle name="40 % - Markeringsfarve6 2 3 3 6" xfId="10832"/>
    <cellStyle name="40 % - Markeringsfarve6 2 3 4" xfId="1128"/>
    <cellStyle name="40 % - Markeringsfarve6 2 3 4 2" xfId="2796"/>
    <cellStyle name="40 % - Markeringsfarve6 2 3 4 2 2" xfId="7785"/>
    <cellStyle name="40 % - Markeringsfarve6 2 3 4 3" xfId="4460"/>
    <cellStyle name="40 % - Markeringsfarve6 2 3 4 3 2" xfId="9446"/>
    <cellStyle name="40 % - Markeringsfarve6 2 3 4 4" xfId="6123"/>
    <cellStyle name="40 % - Markeringsfarve6 2 3 5" xfId="1966"/>
    <cellStyle name="40 % - Markeringsfarve6 2 3 5 2" xfId="6955"/>
    <cellStyle name="40 % - Markeringsfarve6 2 3 6" xfId="3631"/>
    <cellStyle name="40 % - Markeringsfarve6 2 3 6 2" xfId="8617"/>
    <cellStyle name="40 % - Markeringsfarve6 2 3 7" xfId="5294"/>
    <cellStyle name="40 % - Markeringsfarve6 2 3 8" xfId="10278"/>
    <cellStyle name="40 % - Markeringsfarve6 2 4" xfId="255"/>
    <cellStyle name="40 % - Markeringsfarve6 2 4 2" xfId="627"/>
    <cellStyle name="40 % - Markeringsfarve6 2 4 2 2" xfId="1462"/>
    <cellStyle name="40 % - Markeringsfarve6 2 4 2 2 2" xfId="3130"/>
    <cellStyle name="40 % - Markeringsfarve6 2 4 2 2 2 2" xfId="8119"/>
    <cellStyle name="40 % - Markeringsfarve6 2 4 2 2 3" xfId="4794"/>
    <cellStyle name="40 % - Markeringsfarve6 2 4 2 2 3 2" xfId="9780"/>
    <cellStyle name="40 % - Markeringsfarve6 2 4 2 2 4" xfId="6457"/>
    <cellStyle name="40 % - Markeringsfarve6 2 4 2 3" xfId="2299"/>
    <cellStyle name="40 % - Markeringsfarve6 2 4 2 3 2" xfId="7288"/>
    <cellStyle name="40 % - Markeringsfarve6 2 4 2 4" xfId="3963"/>
    <cellStyle name="40 % - Markeringsfarve6 2 4 2 4 2" xfId="8949"/>
    <cellStyle name="40 % - Markeringsfarve6 2 4 2 5" xfId="5626"/>
    <cellStyle name="40 % - Markeringsfarve6 2 4 2 6" xfId="10613"/>
    <cellStyle name="40 % - Markeringsfarve6 2 4 3" xfId="902"/>
    <cellStyle name="40 % - Markeringsfarve6 2 4 3 2" xfId="1736"/>
    <cellStyle name="40 % - Markeringsfarve6 2 4 3 2 2" xfId="3404"/>
    <cellStyle name="40 % - Markeringsfarve6 2 4 3 2 2 2" xfId="8393"/>
    <cellStyle name="40 % - Markeringsfarve6 2 4 3 2 3" xfId="5068"/>
    <cellStyle name="40 % - Markeringsfarve6 2 4 3 2 3 2" xfId="10054"/>
    <cellStyle name="40 % - Markeringsfarve6 2 4 3 2 4" xfId="6731"/>
    <cellStyle name="40 % - Markeringsfarve6 2 4 3 3" xfId="2573"/>
    <cellStyle name="40 % - Markeringsfarve6 2 4 3 3 2" xfId="7562"/>
    <cellStyle name="40 % - Markeringsfarve6 2 4 3 4" xfId="4237"/>
    <cellStyle name="40 % - Markeringsfarve6 2 4 3 4 2" xfId="9223"/>
    <cellStyle name="40 % - Markeringsfarve6 2 4 3 5" xfId="5900"/>
    <cellStyle name="40 % - Markeringsfarve6 2 4 3 6" xfId="10887"/>
    <cellStyle name="40 % - Markeringsfarve6 2 4 4" xfId="1183"/>
    <cellStyle name="40 % - Markeringsfarve6 2 4 4 2" xfId="2851"/>
    <cellStyle name="40 % - Markeringsfarve6 2 4 4 2 2" xfId="7840"/>
    <cellStyle name="40 % - Markeringsfarve6 2 4 4 3" xfId="4515"/>
    <cellStyle name="40 % - Markeringsfarve6 2 4 4 3 2" xfId="9501"/>
    <cellStyle name="40 % - Markeringsfarve6 2 4 4 4" xfId="6178"/>
    <cellStyle name="40 % - Markeringsfarve6 2 4 5" xfId="2021"/>
    <cellStyle name="40 % - Markeringsfarve6 2 4 5 2" xfId="7010"/>
    <cellStyle name="40 % - Markeringsfarve6 2 4 6" xfId="3686"/>
    <cellStyle name="40 % - Markeringsfarve6 2 4 6 2" xfId="8672"/>
    <cellStyle name="40 % - Markeringsfarve6 2 4 7" xfId="5349"/>
    <cellStyle name="40 % - Markeringsfarve6 2 4 8" xfId="10333"/>
    <cellStyle name="40 % - Markeringsfarve6 2 5" xfId="311"/>
    <cellStyle name="40 % - Markeringsfarve6 2 5 2" xfId="683"/>
    <cellStyle name="40 % - Markeringsfarve6 2 5 2 2" xfId="1518"/>
    <cellStyle name="40 % - Markeringsfarve6 2 5 2 2 2" xfId="3186"/>
    <cellStyle name="40 % - Markeringsfarve6 2 5 2 2 2 2" xfId="8175"/>
    <cellStyle name="40 % - Markeringsfarve6 2 5 2 2 3" xfId="4850"/>
    <cellStyle name="40 % - Markeringsfarve6 2 5 2 2 3 2" xfId="9836"/>
    <cellStyle name="40 % - Markeringsfarve6 2 5 2 2 4" xfId="6513"/>
    <cellStyle name="40 % - Markeringsfarve6 2 5 2 3" xfId="2355"/>
    <cellStyle name="40 % - Markeringsfarve6 2 5 2 3 2" xfId="7344"/>
    <cellStyle name="40 % - Markeringsfarve6 2 5 2 4" xfId="4019"/>
    <cellStyle name="40 % - Markeringsfarve6 2 5 2 4 2" xfId="9005"/>
    <cellStyle name="40 % - Markeringsfarve6 2 5 2 5" xfId="5682"/>
    <cellStyle name="40 % - Markeringsfarve6 2 5 2 6" xfId="10669"/>
    <cellStyle name="40 % - Markeringsfarve6 2 5 3" xfId="958"/>
    <cellStyle name="40 % - Markeringsfarve6 2 5 3 2" xfId="1792"/>
    <cellStyle name="40 % - Markeringsfarve6 2 5 3 2 2" xfId="3460"/>
    <cellStyle name="40 % - Markeringsfarve6 2 5 3 2 2 2" xfId="8449"/>
    <cellStyle name="40 % - Markeringsfarve6 2 5 3 2 3" xfId="5124"/>
    <cellStyle name="40 % - Markeringsfarve6 2 5 3 2 3 2" xfId="10110"/>
    <cellStyle name="40 % - Markeringsfarve6 2 5 3 2 4" xfId="6787"/>
    <cellStyle name="40 % - Markeringsfarve6 2 5 3 3" xfId="2629"/>
    <cellStyle name="40 % - Markeringsfarve6 2 5 3 3 2" xfId="7618"/>
    <cellStyle name="40 % - Markeringsfarve6 2 5 3 4" xfId="4293"/>
    <cellStyle name="40 % - Markeringsfarve6 2 5 3 4 2" xfId="9279"/>
    <cellStyle name="40 % - Markeringsfarve6 2 5 3 5" xfId="5956"/>
    <cellStyle name="40 % - Markeringsfarve6 2 5 3 6" xfId="10943"/>
    <cellStyle name="40 % - Markeringsfarve6 2 5 4" xfId="1239"/>
    <cellStyle name="40 % - Markeringsfarve6 2 5 4 2" xfId="2907"/>
    <cellStyle name="40 % - Markeringsfarve6 2 5 4 2 2" xfId="7896"/>
    <cellStyle name="40 % - Markeringsfarve6 2 5 4 3" xfId="4571"/>
    <cellStyle name="40 % - Markeringsfarve6 2 5 4 3 2" xfId="9557"/>
    <cellStyle name="40 % - Markeringsfarve6 2 5 4 4" xfId="6234"/>
    <cellStyle name="40 % - Markeringsfarve6 2 5 5" xfId="2077"/>
    <cellStyle name="40 % - Markeringsfarve6 2 5 5 2" xfId="7066"/>
    <cellStyle name="40 % - Markeringsfarve6 2 5 6" xfId="3742"/>
    <cellStyle name="40 % - Markeringsfarve6 2 5 6 2" xfId="8728"/>
    <cellStyle name="40 % - Markeringsfarve6 2 5 7" xfId="5405"/>
    <cellStyle name="40 % - Markeringsfarve6 2 5 8" xfId="10389"/>
    <cellStyle name="40 % - Markeringsfarve6 2 6" xfId="464"/>
    <cellStyle name="40 % - Markeringsfarve6 2 6 2" xfId="1299"/>
    <cellStyle name="40 % - Markeringsfarve6 2 6 2 2" xfId="2967"/>
    <cellStyle name="40 % - Markeringsfarve6 2 6 2 2 2" xfId="7956"/>
    <cellStyle name="40 % - Markeringsfarve6 2 6 2 3" xfId="4631"/>
    <cellStyle name="40 % - Markeringsfarve6 2 6 2 3 2" xfId="9617"/>
    <cellStyle name="40 % - Markeringsfarve6 2 6 2 4" xfId="6294"/>
    <cellStyle name="40 % - Markeringsfarve6 2 6 3" xfId="2138"/>
    <cellStyle name="40 % - Markeringsfarve6 2 6 3 2" xfId="7127"/>
    <cellStyle name="40 % - Markeringsfarve6 2 6 4" xfId="3802"/>
    <cellStyle name="40 % - Markeringsfarve6 2 6 4 2" xfId="8788"/>
    <cellStyle name="40 % - Markeringsfarve6 2 6 5" xfId="5465"/>
    <cellStyle name="40 % - Markeringsfarve6 2 6 6" xfId="10446"/>
    <cellStyle name="40 % - Markeringsfarve6 2 7" xfId="739"/>
    <cellStyle name="40 % - Markeringsfarve6 2 7 2" xfId="1573"/>
    <cellStyle name="40 % - Markeringsfarve6 2 7 2 2" xfId="3241"/>
    <cellStyle name="40 % - Markeringsfarve6 2 7 2 2 2" xfId="8230"/>
    <cellStyle name="40 % - Markeringsfarve6 2 7 2 3" xfId="4905"/>
    <cellStyle name="40 % - Markeringsfarve6 2 7 2 3 2" xfId="9891"/>
    <cellStyle name="40 % - Markeringsfarve6 2 7 2 4" xfId="6568"/>
    <cellStyle name="40 % - Markeringsfarve6 2 7 3" xfId="2410"/>
    <cellStyle name="40 % - Markeringsfarve6 2 7 3 2" xfId="7399"/>
    <cellStyle name="40 % - Markeringsfarve6 2 7 4" xfId="4074"/>
    <cellStyle name="40 % - Markeringsfarve6 2 7 4 2" xfId="9060"/>
    <cellStyle name="40 % - Markeringsfarve6 2 7 5" xfId="5737"/>
    <cellStyle name="40 % - Markeringsfarve6 2 7 6" xfId="10724"/>
    <cellStyle name="40 % - Markeringsfarve6 2 8" xfId="1020"/>
    <cellStyle name="40 % - Markeringsfarve6 2 8 2" xfId="2688"/>
    <cellStyle name="40 % - Markeringsfarve6 2 8 2 2" xfId="7677"/>
    <cellStyle name="40 % - Markeringsfarve6 2 8 3" xfId="4352"/>
    <cellStyle name="40 % - Markeringsfarve6 2 8 3 2" xfId="9338"/>
    <cellStyle name="40 % - Markeringsfarve6 2 8 4" xfId="6015"/>
    <cellStyle name="40 % - Markeringsfarve6 2 9" xfId="1856"/>
    <cellStyle name="40 % - Markeringsfarve6 2 9 2" xfId="6848"/>
    <cellStyle name="40 % - Markeringsfarve6 3" xfId="104"/>
    <cellStyle name="40 % - Markeringsfarve6 3 10" xfId="3543"/>
    <cellStyle name="40 % - Markeringsfarve6 3 10 2" xfId="8529"/>
    <cellStyle name="40 % - Markeringsfarve6 3 11" xfId="5206"/>
    <cellStyle name="40 % - Markeringsfarve6 3 12" xfId="10189"/>
    <cellStyle name="40 % - Markeringsfarve6 3 2" xfId="164"/>
    <cellStyle name="40 % - Markeringsfarve6 3 2 2" xfId="537"/>
    <cellStyle name="40 % - Markeringsfarve6 3 2 2 2" xfId="1372"/>
    <cellStyle name="40 % - Markeringsfarve6 3 2 2 2 2" xfId="3040"/>
    <cellStyle name="40 % - Markeringsfarve6 3 2 2 2 2 2" xfId="8029"/>
    <cellStyle name="40 % - Markeringsfarve6 3 2 2 2 3" xfId="4704"/>
    <cellStyle name="40 % - Markeringsfarve6 3 2 2 2 3 2" xfId="9690"/>
    <cellStyle name="40 % - Markeringsfarve6 3 2 2 2 4" xfId="6367"/>
    <cellStyle name="40 % - Markeringsfarve6 3 2 2 3" xfId="2209"/>
    <cellStyle name="40 % - Markeringsfarve6 3 2 2 3 2" xfId="7198"/>
    <cellStyle name="40 % - Markeringsfarve6 3 2 2 4" xfId="3873"/>
    <cellStyle name="40 % - Markeringsfarve6 3 2 2 4 2" xfId="8859"/>
    <cellStyle name="40 % - Markeringsfarve6 3 2 2 5" xfId="5536"/>
    <cellStyle name="40 % - Markeringsfarve6 3 2 2 6" xfId="10523"/>
    <cellStyle name="40 % - Markeringsfarve6 3 2 3" xfId="812"/>
    <cellStyle name="40 % - Markeringsfarve6 3 2 3 2" xfId="1646"/>
    <cellStyle name="40 % - Markeringsfarve6 3 2 3 2 2" xfId="3314"/>
    <cellStyle name="40 % - Markeringsfarve6 3 2 3 2 2 2" xfId="8303"/>
    <cellStyle name="40 % - Markeringsfarve6 3 2 3 2 3" xfId="4978"/>
    <cellStyle name="40 % - Markeringsfarve6 3 2 3 2 3 2" xfId="9964"/>
    <cellStyle name="40 % - Markeringsfarve6 3 2 3 2 4" xfId="6641"/>
    <cellStyle name="40 % - Markeringsfarve6 3 2 3 3" xfId="2483"/>
    <cellStyle name="40 % - Markeringsfarve6 3 2 3 3 2" xfId="7472"/>
    <cellStyle name="40 % - Markeringsfarve6 3 2 3 4" xfId="4147"/>
    <cellStyle name="40 % - Markeringsfarve6 3 2 3 4 2" xfId="9133"/>
    <cellStyle name="40 % - Markeringsfarve6 3 2 3 5" xfId="5810"/>
    <cellStyle name="40 % - Markeringsfarve6 3 2 3 6" xfId="10797"/>
    <cellStyle name="40 % - Markeringsfarve6 3 2 4" xfId="1093"/>
    <cellStyle name="40 % - Markeringsfarve6 3 2 4 2" xfId="2761"/>
    <cellStyle name="40 % - Markeringsfarve6 3 2 4 2 2" xfId="7750"/>
    <cellStyle name="40 % - Markeringsfarve6 3 2 4 3" xfId="4425"/>
    <cellStyle name="40 % - Markeringsfarve6 3 2 4 3 2" xfId="9411"/>
    <cellStyle name="40 % - Markeringsfarve6 3 2 4 4" xfId="6088"/>
    <cellStyle name="40 % - Markeringsfarve6 3 2 5" xfId="1931"/>
    <cellStyle name="40 % - Markeringsfarve6 3 2 5 2" xfId="6920"/>
    <cellStyle name="40 % - Markeringsfarve6 3 2 6" xfId="3596"/>
    <cellStyle name="40 % - Markeringsfarve6 3 2 6 2" xfId="8582"/>
    <cellStyle name="40 % - Markeringsfarve6 3 2 7" xfId="5259"/>
    <cellStyle name="40 % - Markeringsfarve6 3 2 8" xfId="10243"/>
    <cellStyle name="40 % - Markeringsfarve6 3 3" xfId="219"/>
    <cellStyle name="40 % - Markeringsfarve6 3 3 2" xfId="591"/>
    <cellStyle name="40 % - Markeringsfarve6 3 3 2 2" xfId="1426"/>
    <cellStyle name="40 % - Markeringsfarve6 3 3 2 2 2" xfId="3094"/>
    <cellStyle name="40 % - Markeringsfarve6 3 3 2 2 2 2" xfId="8083"/>
    <cellStyle name="40 % - Markeringsfarve6 3 3 2 2 3" xfId="4758"/>
    <cellStyle name="40 % - Markeringsfarve6 3 3 2 2 3 2" xfId="9744"/>
    <cellStyle name="40 % - Markeringsfarve6 3 3 2 2 4" xfId="6421"/>
    <cellStyle name="40 % - Markeringsfarve6 3 3 2 3" xfId="2263"/>
    <cellStyle name="40 % - Markeringsfarve6 3 3 2 3 2" xfId="7252"/>
    <cellStyle name="40 % - Markeringsfarve6 3 3 2 4" xfId="3927"/>
    <cellStyle name="40 % - Markeringsfarve6 3 3 2 4 2" xfId="8913"/>
    <cellStyle name="40 % - Markeringsfarve6 3 3 2 5" xfId="5590"/>
    <cellStyle name="40 % - Markeringsfarve6 3 3 2 6" xfId="10577"/>
    <cellStyle name="40 % - Markeringsfarve6 3 3 3" xfId="866"/>
    <cellStyle name="40 % - Markeringsfarve6 3 3 3 2" xfId="1700"/>
    <cellStyle name="40 % - Markeringsfarve6 3 3 3 2 2" xfId="3368"/>
    <cellStyle name="40 % - Markeringsfarve6 3 3 3 2 2 2" xfId="8357"/>
    <cellStyle name="40 % - Markeringsfarve6 3 3 3 2 3" xfId="5032"/>
    <cellStyle name="40 % - Markeringsfarve6 3 3 3 2 3 2" xfId="10018"/>
    <cellStyle name="40 % - Markeringsfarve6 3 3 3 2 4" xfId="6695"/>
    <cellStyle name="40 % - Markeringsfarve6 3 3 3 3" xfId="2537"/>
    <cellStyle name="40 % - Markeringsfarve6 3 3 3 3 2" xfId="7526"/>
    <cellStyle name="40 % - Markeringsfarve6 3 3 3 4" xfId="4201"/>
    <cellStyle name="40 % - Markeringsfarve6 3 3 3 4 2" xfId="9187"/>
    <cellStyle name="40 % - Markeringsfarve6 3 3 3 5" xfId="5864"/>
    <cellStyle name="40 % - Markeringsfarve6 3 3 3 6" xfId="10851"/>
    <cellStyle name="40 % - Markeringsfarve6 3 3 4" xfId="1147"/>
    <cellStyle name="40 % - Markeringsfarve6 3 3 4 2" xfId="2815"/>
    <cellStyle name="40 % - Markeringsfarve6 3 3 4 2 2" xfId="7804"/>
    <cellStyle name="40 % - Markeringsfarve6 3 3 4 3" xfId="4479"/>
    <cellStyle name="40 % - Markeringsfarve6 3 3 4 3 2" xfId="9465"/>
    <cellStyle name="40 % - Markeringsfarve6 3 3 4 4" xfId="6142"/>
    <cellStyle name="40 % - Markeringsfarve6 3 3 5" xfId="1985"/>
    <cellStyle name="40 % - Markeringsfarve6 3 3 5 2" xfId="6974"/>
    <cellStyle name="40 % - Markeringsfarve6 3 3 6" xfId="3650"/>
    <cellStyle name="40 % - Markeringsfarve6 3 3 6 2" xfId="8636"/>
    <cellStyle name="40 % - Markeringsfarve6 3 3 7" xfId="5313"/>
    <cellStyle name="40 % - Markeringsfarve6 3 3 8" xfId="10297"/>
    <cellStyle name="40 % - Markeringsfarve6 3 4" xfId="274"/>
    <cellStyle name="40 % - Markeringsfarve6 3 4 2" xfId="646"/>
    <cellStyle name="40 % - Markeringsfarve6 3 4 2 2" xfId="1481"/>
    <cellStyle name="40 % - Markeringsfarve6 3 4 2 2 2" xfId="3149"/>
    <cellStyle name="40 % - Markeringsfarve6 3 4 2 2 2 2" xfId="8138"/>
    <cellStyle name="40 % - Markeringsfarve6 3 4 2 2 3" xfId="4813"/>
    <cellStyle name="40 % - Markeringsfarve6 3 4 2 2 3 2" xfId="9799"/>
    <cellStyle name="40 % - Markeringsfarve6 3 4 2 2 4" xfId="6476"/>
    <cellStyle name="40 % - Markeringsfarve6 3 4 2 3" xfId="2318"/>
    <cellStyle name="40 % - Markeringsfarve6 3 4 2 3 2" xfId="7307"/>
    <cellStyle name="40 % - Markeringsfarve6 3 4 2 4" xfId="3982"/>
    <cellStyle name="40 % - Markeringsfarve6 3 4 2 4 2" xfId="8968"/>
    <cellStyle name="40 % - Markeringsfarve6 3 4 2 5" xfId="5645"/>
    <cellStyle name="40 % - Markeringsfarve6 3 4 2 6" xfId="10632"/>
    <cellStyle name="40 % - Markeringsfarve6 3 4 3" xfId="921"/>
    <cellStyle name="40 % - Markeringsfarve6 3 4 3 2" xfId="1755"/>
    <cellStyle name="40 % - Markeringsfarve6 3 4 3 2 2" xfId="3423"/>
    <cellStyle name="40 % - Markeringsfarve6 3 4 3 2 2 2" xfId="8412"/>
    <cellStyle name="40 % - Markeringsfarve6 3 4 3 2 3" xfId="5087"/>
    <cellStyle name="40 % - Markeringsfarve6 3 4 3 2 3 2" xfId="10073"/>
    <cellStyle name="40 % - Markeringsfarve6 3 4 3 2 4" xfId="6750"/>
    <cellStyle name="40 % - Markeringsfarve6 3 4 3 3" xfId="2592"/>
    <cellStyle name="40 % - Markeringsfarve6 3 4 3 3 2" xfId="7581"/>
    <cellStyle name="40 % - Markeringsfarve6 3 4 3 4" xfId="4256"/>
    <cellStyle name="40 % - Markeringsfarve6 3 4 3 4 2" xfId="9242"/>
    <cellStyle name="40 % - Markeringsfarve6 3 4 3 5" xfId="5919"/>
    <cellStyle name="40 % - Markeringsfarve6 3 4 3 6" xfId="10906"/>
    <cellStyle name="40 % - Markeringsfarve6 3 4 4" xfId="1202"/>
    <cellStyle name="40 % - Markeringsfarve6 3 4 4 2" xfId="2870"/>
    <cellStyle name="40 % - Markeringsfarve6 3 4 4 2 2" xfId="7859"/>
    <cellStyle name="40 % - Markeringsfarve6 3 4 4 3" xfId="4534"/>
    <cellStyle name="40 % - Markeringsfarve6 3 4 4 3 2" xfId="9520"/>
    <cellStyle name="40 % - Markeringsfarve6 3 4 4 4" xfId="6197"/>
    <cellStyle name="40 % - Markeringsfarve6 3 4 5" xfId="2040"/>
    <cellStyle name="40 % - Markeringsfarve6 3 4 5 2" xfId="7029"/>
    <cellStyle name="40 % - Markeringsfarve6 3 4 6" xfId="3705"/>
    <cellStyle name="40 % - Markeringsfarve6 3 4 6 2" xfId="8691"/>
    <cellStyle name="40 % - Markeringsfarve6 3 4 7" xfId="5368"/>
    <cellStyle name="40 % - Markeringsfarve6 3 4 8" xfId="10352"/>
    <cellStyle name="40 % - Markeringsfarve6 3 5" xfId="330"/>
    <cellStyle name="40 % - Markeringsfarve6 3 5 2" xfId="702"/>
    <cellStyle name="40 % - Markeringsfarve6 3 5 2 2" xfId="1537"/>
    <cellStyle name="40 % - Markeringsfarve6 3 5 2 2 2" xfId="3205"/>
    <cellStyle name="40 % - Markeringsfarve6 3 5 2 2 2 2" xfId="8194"/>
    <cellStyle name="40 % - Markeringsfarve6 3 5 2 2 3" xfId="4869"/>
    <cellStyle name="40 % - Markeringsfarve6 3 5 2 2 3 2" xfId="9855"/>
    <cellStyle name="40 % - Markeringsfarve6 3 5 2 2 4" xfId="6532"/>
    <cellStyle name="40 % - Markeringsfarve6 3 5 2 3" xfId="2374"/>
    <cellStyle name="40 % - Markeringsfarve6 3 5 2 3 2" xfId="7363"/>
    <cellStyle name="40 % - Markeringsfarve6 3 5 2 4" xfId="4038"/>
    <cellStyle name="40 % - Markeringsfarve6 3 5 2 4 2" xfId="9024"/>
    <cellStyle name="40 % - Markeringsfarve6 3 5 2 5" xfId="5701"/>
    <cellStyle name="40 % - Markeringsfarve6 3 5 2 6" xfId="10688"/>
    <cellStyle name="40 % - Markeringsfarve6 3 5 3" xfId="977"/>
    <cellStyle name="40 % - Markeringsfarve6 3 5 3 2" xfId="1811"/>
    <cellStyle name="40 % - Markeringsfarve6 3 5 3 2 2" xfId="3479"/>
    <cellStyle name="40 % - Markeringsfarve6 3 5 3 2 2 2" xfId="8468"/>
    <cellStyle name="40 % - Markeringsfarve6 3 5 3 2 3" xfId="5143"/>
    <cellStyle name="40 % - Markeringsfarve6 3 5 3 2 3 2" xfId="10129"/>
    <cellStyle name="40 % - Markeringsfarve6 3 5 3 2 4" xfId="6806"/>
    <cellStyle name="40 % - Markeringsfarve6 3 5 3 3" xfId="2648"/>
    <cellStyle name="40 % - Markeringsfarve6 3 5 3 3 2" xfId="7637"/>
    <cellStyle name="40 % - Markeringsfarve6 3 5 3 4" xfId="4312"/>
    <cellStyle name="40 % - Markeringsfarve6 3 5 3 4 2" xfId="9298"/>
    <cellStyle name="40 % - Markeringsfarve6 3 5 3 5" xfId="5975"/>
    <cellStyle name="40 % - Markeringsfarve6 3 5 3 6" xfId="10962"/>
    <cellStyle name="40 % - Markeringsfarve6 3 5 4" xfId="1258"/>
    <cellStyle name="40 % - Markeringsfarve6 3 5 4 2" xfId="2926"/>
    <cellStyle name="40 % - Markeringsfarve6 3 5 4 2 2" xfId="7915"/>
    <cellStyle name="40 % - Markeringsfarve6 3 5 4 3" xfId="4590"/>
    <cellStyle name="40 % - Markeringsfarve6 3 5 4 3 2" xfId="9576"/>
    <cellStyle name="40 % - Markeringsfarve6 3 5 4 4" xfId="6253"/>
    <cellStyle name="40 % - Markeringsfarve6 3 5 5" xfId="2096"/>
    <cellStyle name="40 % - Markeringsfarve6 3 5 5 2" xfId="7085"/>
    <cellStyle name="40 % - Markeringsfarve6 3 5 6" xfId="3761"/>
    <cellStyle name="40 % - Markeringsfarve6 3 5 6 2" xfId="8747"/>
    <cellStyle name="40 % - Markeringsfarve6 3 5 7" xfId="5424"/>
    <cellStyle name="40 % - Markeringsfarve6 3 5 8" xfId="10408"/>
    <cellStyle name="40 % - Markeringsfarve6 3 6" xfId="483"/>
    <cellStyle name="40 % - Markeringsfarve6 3 6 2" xfId="1318"/>
    <cellStyle name="40 % - Markeringsfarve6 3 6 2 2" xfId="2986"/>
    <cellStyle name="40 % - Markeringsfarve6 3 6 2 2 2" xfId="7975"/>
    <cellStyle name="40 % - Markeringsfarve6 3 6 2 3" xfId="4650"/>
    <cellStyle name="40 % - Markeringsfarve6 3 6 2 3 2" xfId="9636"/>
    <cellStyle name="40 % - Markeringsfarve6 3 6 2 4" xfId="6313"/>
    <cellStyle name="40 % - Markeringsfarve6 3 6 3" xfId="2157"/>
    <cellStyle name="40 % - Markeringsfarve6 3 6 3 2" xfId="7146"/>
    <cellStyle name="40 % - Markeringsfarve6 3 6 4" xfId="3821"/>
    <cellStyle name="40 % - Markeringsfarve6 3 6 4 2" xfId="8807"/>
    <cellStyle name="40 % - Markeringsfarve6 3 6 5" xfId="5484"/>
    <cellStyle name="40 % - Markeringsfarve6 3 6 6" xfId="10469"/>
    <cellStyle name="40 % - Markeringsfarve6 3 7" xfId="758"/>
    <cellStyle name="40 % - Markeringsfarve6 3 7 2" xfId="1592"/>
    <cellStyle name="40 % - Markeringsfarve6 3 7 2 2" xfId="3260"/>
    <cellStyle name="40 % - Markeringsfarve6 3 7 2 2 2" xfId="8249"/>
    <cellStyle name="40 % - Markeringsfarve6 3 7 2 3" xfId="4924"/>
    <cellStyle name="40 % - Markeringsfarve6 3 7 2 3 2" xfId="9910"/>
    <cellStyle name="40 % - Markeringsfarve6 3 7 2 4" xfId="6587"/>
    <cellStyle name="40 % - Markeringsfarve6 3 7 3" xfId="2429"/>
    <cellStyle name="40 % - Markeringsfarve6 3 7 3 2" xfId="7418"/>
    <cellStyle name="40 % - Markeringsfarve6 3 7 4" xfId="4093"/>
    <cellStyle name="40 % - Markeringsfarve6 3 7 4 2" xfId="9079"/>
    <cellStyle name="40 % - Markeringsfarve6 3 7 5" xfId="5756"/>
    <cellStyle name="40 % - Markeringsfarve6 3 7 6" xfId="10743"/>
    <cellStyle name="40 % - Markeringsfarve6 3 8" xfId="1039"/>
    <cellStyle name="40 % - Markeringsfarve6 3 8 2" xfId="2707"/>
    <cellStyle name="40 % - Markeringsfarve6 3 8 2 2" xfId="7696"/>
    <cellStyle name="40 % - Markeringsfarve6 3 8 3" xfId="4371"/>
    <cellStyle name="40 % - Markeringsfarve6 3 8 3 2" xfId="9357"/>
    <cellStyle name="40 % - Markeringsfarve6 3 8 4" xfId="6034"/>
    <cellStyle name="40 % - Markeringsfarve6 3 9" xfId="1875"/>
    <cellStyle name="40 % - Markeringsfarve6 3 9 2" xfId="6867"/>
    <cellStyle name="40 % - Markeringsfarve6 4" xfId="127"/>
    <cellStyle name="40 % - Markeringsfarve6 4 2" xfId="500"/>
    <cellStyle name="40 % - Markeringsfarve6 4 2 2" xfId="1335"/>
    <cellStyle name="40 % - Markeringsfarve6 4 2 2 2" xfId="3003"/>
    <cellStyle name="40 % - Markeringsfarve6 4 2 2 2 2" xfId="7992"/>
    <cellStyle name="40 % - Markeringsfarve6 4 2 2 3" xfId="4667"/>
    <cellStyle name="40 % - Markeringsfarve6 4 2 2 3 2" xfId="9653"/>
    <cellStyle name="40 % - Markeringsfarve6 4 2 2 4" xfId="6330"/>
    <cellStyle name="40 % - Markeringsfarve6 4 2 3" xfId="2174"/>
    <cellStyle name="40 % - Markeringsfarve6 4 2 3 2" xfId="7163"/>
    <cellStyle name="40 % - Markeringsfarve6 4 2 4" xfId="3838"/>
    <cellStyle name="40 % - Markeringsfarve6 4 2 4 2" xfId="8824"/>
    <cellStyle name="40 % - Markeringsfarve6 4 2 5" xfId="5501"/>
    <cellStyle name="40 % - Markeringsfarve6 4 2 6" xfId="10486"/>
    <cellStyle name="40 % - Markeringsfarve6 4 3" xfId="775"/>
    <cellStyle name="40 % - Markeringsfarve6 4 3 2" xfId="1609"/>
    <cellStyle name="40 % - Markeringsfarve6 4 3 2 2" xfId="3277"/>
    <cellStyle name="40 % - Markeringsfarve6 4 3 2 2 2" xfId="8266"/>
    <cellStyle name="40 % - Markeringsfarve6 4 3 2 3" xfId="4941"/>
    <cellStyle name="40 % - Markeringsfarve6 4 3 2 3 2" xfId="9927"/>
    <cellStyle name="40 % - Markeringsfarve6 4 3 2 4" xfId="6604"/>
    <cellStyle name="40 % - Markeringsfarve6 4 3 3" xfId="2446"/>
    <cellStyle name="40 % - Markeringsfarve6 4 3 3 2" xfId="7435"/>
    <cellStyle name="40 % - Markeringsfarve6 4 3 4" xfId="4110"/>
    <cellStyle name="40 % - Markeringsfarve6 4 3 4 2" xfId="9096"/>
    <cellStyle name="40 % - Markeringsfarve6 4 3 5" xfId="5773"/>
    <cellStyle name="40 % - Markeringsfarve6 4 3 6" xfId="10760"/>
    <cellStyle name="40 % - Markeringsfarve6 4 4" xfId="1056"/>
    <cellStyle name="40 % - Markeringsfarve6 4 4 2" xfId="2724"/>
    <cellStyle name="40 % - Markeringsfarve6 4 4 2 2" xfId="7713"/>
    <cellStyle name="40 % - Markeringsfarve6 4 4 3" xfId="4388"/>
    <cellStyle name="40 % - Markeringsfarve6 4 4 3 2" xfId="9374"/>
    <cellStyle name="40 % - Markeringsfarve6 4 4 4" xfId="6051"/>
    <cellStyle name="40 % - Markeringsfarve6 4 5" xfId="1894"/>
    <cellStyle name="40 % - Markeringsfarve6 4 5 2" xfId="6883"/>
    <cellStyle name="40 % - Markeringsfarve6 4 6" xfId="3559"/>
    <cellStyle name="40 % - Markeringsfarve6 4 6 2" xfId="8545"/>
    <cellStyle name="40 % - Markeringsfarve6 4 7" xfId="5222"/>
    <cellStyle name="40 % - Markeringsfarve6 4 8" xfId="10206"/>
    <cellStyle name="40 % - Markeringsfarve6 5" xfId="180"/>
    <cellStyle name="40 % - Markeringsfarve6 5 2" xfId="553"/>
    <cellStyle name="40 % - Markeringsfarve6 5 2 2" xfId="1388"/>
    <cellStyle name="40 % - Markeringsfarve6 5 2 2 2" xfId="3056"/>
    <cellStyle name="40 % - Markeringsfarve6 5 2 2 2 2" xfId="8045"/>
    <cellStyle name="40 % - Markeringsfarve6 5 2 2 3" xfId="4720"/>
    <cellStyle name="40 % - Markeringsfarve6 5 2 2 3 2" xfId="9706"/>
    <cellStyle name="40 % - Markeringsfarve6 5 2 2 4" xfId="6383"/>
    <cellStyle name="40 % - Markeringsfarve6 5 2 3" xfId="2225"/>
    <cellStyle name="40 % - Markeringsfarve6 5 2 3 2" xfId="7214"/>
    <cellStyle name="40 % - Markeringsfarve6 5 2 4" xfId="3889"/>
    <cellStyle name="40 % - Markeringsfarve6 5 2 4 2" xfId="8875"/>
    <cellStyle name="40 % - Markeringsfarve6 5 2 5" xfId="5552"/>
    <cellStyle name="40 % - Markeringsfarve6 5 2 6" xfId="10539"/>
    <cellStyle name="40 % - Markeringsfarve6 5 3" xfId="828"/>
    <cellStyle name="40 % - Markeringsfarve6 5 3 2" xfId="1662"/>
    <cellStyle name="40 % - Markeringsfarve6 5 3 2 2" xfId="3330"/>
    <cellStyle name="40 % - Markeringsfarve6 5 3 2 2 2" xfId="8319"/>
    <cellStyle name="40 % - Markeringsfarve6 5 3 2 3" xfId="4994"/>
    <cellStyle name="40 % - Markeringsfarve6 5 3 2 3 2" xfId="9980"/>
    <cellStyle name="40 % - Markeringsfarve6 5 3 2 4" xfId="6657"/>
    <cellStyle name="40 % - Markeringsfarve6 5 3 3" xfId="2499"/>
    <cellStyle name="40 % - Markeringsfarve6 5 3 3 2" xfId="7488"/>
    <cellStyle name="40 % - Markeringsfarve6 5 3 4" xfId="4163"/>
    <cellStyle name="40 % - Markeringsfarve6 5 3 4 2" xfId="9149"/>
    <cellStyle name="40 % - Markeringsfarve6 5 3 5" xfId="5826"/>
    <cellStyle name="40 % - Markeringsfarve6 5 3 6" xfId="10813"/>
    <cellStyle name="40 % - Markeringsfarve6 5 4" xfId="1109"/>
    <cellStyle name="40 % - Markeringsfarve6 5 4 2" xfId="2777"/>
    <cellStyle name="40 % - Markeringsfarve6 5 4 2 2" xfId="7766"/>
    <cellStyle name="40 % - Markeringsfarve6 5 4 3" xfId="4441"/>
    <cellStyle name="40 % - Markeringsfarve6 5 4 3 2" xfId="9427"/>
    <cellStyle name="40 % - Markeringsfarve6 5 4 4" xfId="6104"/>
    <cellStyle name="40 % - Markeringsfarve6 5 5" xfId="1947"/>
    <cellStyle name="40 % - Markeringsfarve6 5 5 2" xfId="6936"/>
    <cellStyle name="40 % - Markeringsfarve6 5 6" xfId="3612"/>
    <cellStyle name="40 % - Markeringsfarve6 5 6 2" xfId="8598"/>
    <cellStyle name="40 % - Markeringsfarve6 5 7" xfId="5275"/>
    <cellStyle name="40 % - Markeringsfarve6 5 8" xfId="10259"/>
    <cellStyle name="40 % - Markeringsfarve6 6" xfId="236"/>
    <cellStyle name="40 % - Markeringsfarve6 6 2" xfId="608"/>
    <cellStyle name="40 % - Markeringsfarve6 6 2 2" xfId="1443"/>
    <cellStyle name="40 % - Markeringsfarve6 6 2 2 2" xfId="3111"/>
    <cellStyle name="40 % - Markeringsfarve6 6 2 2 2 2" xfId="8100"/>
    <cellStyle name="40 % - Markeringsfarve6 6 2 2 3" xfId="4775"/>
    <cellStyle name="40 % - Markeringsfarve6 6 2 2 3 2" xfId="9761"/>
    <cellStyle name="40 % - Markeringsfarve6 6 2 2 4" xfId="6438"/>
    <cellStyle name="40 % - Markeringsfarve6 6 2 3" xfId="2280"/>
    <cellStyle name="40 % - Markeringsfarve6 6 2 3 2" xfId="7269"/>
    <cellStyle name="40 % - Markeringsfarve6 6 2 4" xfId="3944"/>
    <cellStyle name="40 % - Markeringsfarve6 6 2 4 2" xfId="8930"/>
    <cellStyle name="40 % - Markeringsfarve6 6 2 5" xfId="5607"/>
    <cellStyle name="40 % - Markeringsfarve6 6 2 6" xfId="10594"/>
    <cellStyle name="40 % - Markeringsfarve6 6 3" xfId="883"/>
    <cellStyle name="40 % - Markeringsfarve6 6 3 2" xfId="1717"/>
    <cellStyle name="40 % - Markeringsfarve6 6 3 2 2" xfId="3385"/>
    <cellStyle name="40 % - Markeringsfarve6 6 3 2 2 2" xfId="8374"/>
    <cellStyle name="40 % - Markeringsfarve6 6 3 2 3" xfId="5049"/>
    <cellStyle name="40 % - Markeringsfarve6 6 3 2 3 2" xfId="10035"/>
    <cellStyle name="40 % - Markeringsfarve6 6 3 2 4" xfId="6712"/>
    <cellStyle name="40 % - Markeringsfarve6 6 3 3" xfId="2554"/>
    <cellStyle name="40 % - Markeringsfarve6 6 3 3 2" xfId="7543"/>
    <cellStyle name="40 % - Markeringsfarve6 6 3 4" xfId="4218"/>
    <cellStyle name="40 % - Markeringsfarve6 6 3 4 2" xfId="9204"/>
    <cellStyle name="40 % - Markeringsfarve6 6 3 5" xfId="5881"/>
    <cellStyle name="40 % - Markeringsfarve6 6 3 6" xfId="10868"/>
    <cellStyle name="40 % - Markeringsfarve6 6 4" xfId="1164"/>
    <cellStyle name="40 % - Markeringsfarve6 6 4 2" xfId="2832"/>
    <cellStyle name="40 % - Markeringsfarve6 6 4 2 2" xfId="7821"/>
    <cellStyle name="40 % - Markeringsfarve6 6 4 3" xfId="4496"/>
    <cellStyle name="40 % - Markeringsfarve6 6 4 3 2" xfId="9482"/>
    <cellStyle name="40 % - Markeringsfarve6 6 4 4" xfId="6159"/>
    <cellStyle name="40 % - Markeringsfarve6 6 5" xfId="2002"/>
    <cellStyle name="40 % - Markeringsfarve6 6 5 2" xfId="6991"/>
    <cellStyle name="40 % - Markeringsfarve6 6 6" xfId="3667"/>
    <cellStyle name="40 % - Markeringsfarve6 6 6 2" xfId="8653"/>
    <cellStyle name="40 % - Markeringsfarve6 6 7" xfId="5330"/>
    <cellStyle name="40 % - Markeringsfarve6 6 8" xfId="10314"/>
    <cellStyle name="40 % - Markeringsfarve6 7" xfId="291"/>
    <cellStyle name="40 % - Markeringsfarve6 7 2" xfId="663"/>
    <cellStyle name="40 % - Markeringsfarve6 7 2 2" xfId="1498"/>
    <cellStyle name="40 % - Markeringsfarve6 7 2 2 2" xfId="3166"/>
    <cellStyle name="40 % - Markeringsfarve6 7 2 2 2 2" xfId="8155"/>
    <cellStyle name="40 % - Markeringsfarve6 7 2 2 3" xfId="4830"/>
    <cellStyle name="40 % - Markeringsfarve6 7 2 2 3 2" xfId="9816"/>
    <cellStyle name="40 % - Markeringsfarve6 7 2 2 4" xfId="6493"/>
    <cellStyle name="40 % - Markeringsfarve6 7 2 3" xfId="2335"/>
    <cellStyle name="40 % - Markeringsfarve6 7 2 3 2" xfId="7324"/>
    <cellStyle name="40 % - Markeringsfarve6 7 2 4" xfId="3999"/>
    <cellStyle name="40 % - Markeringsfarve6 7 2 4 2" xfId="8985"/>
    <cellStyle name="40 % - Markeringsfarve6 7 2 5" xfId="5662"/>
    <cellStyle name="40 % - Markeringsfarve6 7 2 6" xfId="10649"/>
    <cellStyle name="40 % - Markeringsfarve6 7 3" xfId="938"/>
    <cellStyle name="40 % - Markeringsfarve6 7 3 2" xfId="1772"/>
    <cellStyle name="40 % - Markeringsfarve6 7 3 2 2" xfId="3440"/>
    <cellStyle name="40 % - Markeringsfarve6 7 3 2 2 2" xfId="8429"/>
    <cellStyle name="40 % - Markeringsfarve6 7 3 2 3" xfId="5104"/>
    <cellStyle name="40 % - Markeringsfarve6 7 3 2 3 2" xfId="10090"/>
    <cellStyle name="40 % - Markeringsfarve6 7 3 2 4" xfId="6767"/>
    <cellStyle name="40 % - Markeringsfarve6 7 3 3" xfId="2609"/>
    <cellStyle name="40 % - Markeringsfarve6 7 3 3 2" xfId="7598"/>
    <cellStyle name="40 % - Markeringsfarve6 7 3 4" xfId="4273"/>
    <cellStyle name="40 % - Markeringsfarve6 7 3 4 2" xfId="9259"/>
    <cellStyle name="40 % - Markeringsfarve6 7 3 5" xfId="5936"/>
    <cellStyle name="40 % - Markeringsfarve6 7 3 6" xfId="10923"/>
    <cellStyle name="40 % - Markeringsfarve6 7 4" xfId="1219"/>
    <cellStyle name="40 % - Markeringsfarve6 7 4 2" xfId="2887"/>
    <cellStyle name="40 % - Markeringsfarve6 7 4 2 2" xfId="7876"/>
    <cellStyle name="40 % - Markeringsfarve6 7 4 3" xfId="4551"/>
    <cellStyle name="40 % - Markeringsfarve6 7 4 3 2" xfId="9537"/>
    <cellStyle name="40 % - Markeringsfarve6 7 4 4" xfId="6214"/>
    <cellStyle name="40 % - Markeringsfarve6 7 5" xfId="2057"/>
    <cellStyle name="40 % - Markeringsfarve6 7 5 2" xfId="7046"/>
    <cellStyle name="40 % - Markeringsfarve6 7 6" xfId="3722"/>
    <cellStyle name="40 % - Markeringsfarve6 7 6 2" xfId="8708"/>
    <cellStyle name="40 % - Markeringsfarve6 7 7" xfId="5385"/>
    <cellStyle name="40 % - Markeringsfarve6 7 8" xfId="10369"/>
    <cellStyle name="40 % - Markeringsfarve6 8" xfId="445"/>
    <cellStyle name="40 % - Markeringsfarve6 8 2" xfId="1280"/>
    <cellStyle name="40 % - Markeringsfarve6 8 2 2" xfId="2948"/>
    <cellStyle name="40 % - Markeringsfarve6 8 2 2 2" xfId="7937"/>
    <cellStyle name="40 % - Markeringsfarve6 8 2 3" xfId="4612"/>
    <cellStyle name="40 % - Markeringsfarve6 8 2 3 2" xfId="9598"/>
    <cellStyle name="40 % - Markeringsfarve6 8 2 4" xfId="6275"/>
    <cellStyle name="40 % - Markeringsfarve6 8 3" xfId="2119"/>
    <cellStyle name="40 % - Markeringsfarve6 8 3 2" xfId="7108"/>
    <cellStyle name="40 % - Markeringsfarve6 8 4" xfId="3783"/>
    <cellStyle name="40 % - Markeringsfarve6 8 4 2" xfId="8769"/>
    <cellStyle name="40 % - Markeringsfarve6 8 5" xfId="5446"/>
    <cellStyle name="40 % - Markeringsfarve6 8 6" xfId="10445"/>
    <cellStyle name="40 % - Markeringsfarve6 9" xfId="720"/>
    <cellStyle name="40 % - Markeringsfarve6 9 2" xfId="1554"/>
    <cellStyle name="40 % - Markeringsfarve6 9 2 2" xfId="3222"/>
    <cellStyle name="40 % - Markeringsfarve6 9 2 2 2" xfId="8211"/>
    <cellStyle name="40 % - Markeringsfarve6 9 2 3" xfId="4886"/>
    <cellStyle name="40 % - Markeringsfarve6 9 2 3 2" xfId="9872"/>
    <cellStyle name="40 % - Markeringsfarve6 9 2 4" xfId="6549"/>
    <cellStyle name="40 % - Markeringsfarve6 9 3" xfId="2391"/>
    <cellStyle name="40 % - Markeringsfarve6 9 3 2" xfId="7380"/>
    <cellStyle name="40 % - Markeringsfarve6 9 4" xfId="4055"/>
    <cellStyle name="40 % - Markeringsfarve6 9 4 2" xfId="9041"/>
    <cellStyle name="40 % - Markeringsfarve6 9 5" xfId="5718"/>
    <cellStyle name="40 % - Markeringsfarve6 9 6" xfId="10705"/>
    <cellStyle name="40% - Accent1" xfId="351"/>
    <cellStyle name="40% - Accent2" xfId="352"/>
    <cellStyle name="40% - Accent3" xfId="353"/>
    <cellStyle name="40% - Accent4" xfId="354"/>
    <cellStyle name="40% - Accent5" xfId="355"/>
    <cellStyle name="40% - Accent6" xfId="356"/>
    <cellStyle name="60 % - Markeringsfarve1" xfId="22" builtinId="32" customBuiltin="1"/>
    <cellStyle name="60 % - Markeringsfarve2" xfId="26" builtinId="36" customBuiltin="1"/>
    <cellStyle name="60 % - Markeringsfarve3" xfId="30" builtinId="40" customBuiltin="1"/>
    <cellStyle name="60 % - Markeringsfarve3 2" xfId="58"/>
    <cellStyle name="60 % - Markeringsfarve4" xfId="34" builtinId="44" customBuiltin="1"/>
    <cellStyle name="60 % - Markeringsfarve4 2" xfId="59"/>
    <cellStyle name="60 % - Markeringsfarve5" xfId="38" builtinId="48" customBuiltin="1"/>
    <cellStyle name="60 % - Markeringsfarve6" xfId="42" builtinId="52" customBuiltin="1"/>
    <cellStyle name="60 % - Markeringsfarve6 2" xfId="60"/>
    <cellStyle name="60% - Accent1" xfId="357"/>
    <cellStyle name="60% - Accent2" xfId="358"/>
    <cellStyle name="60% - Accent3" xfId="359"/>
    <cellStyle name="60% - Accent4" xfId="360"/>
    <cellStyle name="60% - Accent5" xfId="361"/>
    <cellStyle name="60% - Accent6" xfId="362"/>
    <cellStyle name="Accent1" xfId="363"/>
    <cellStyle name="Accent2" xfId="364"/>
    <cellStyle name="Accent3" xfId="365"/>
    <cellStyle name="Accent4" xfId="366"/>
    <cellStyle name="Accent5" xfId="367"/>
    <cellStyle name="Accent6" xfId="368"/>
    <cellStyle name="Advarselstekst" xfId="15" builtinId="11" customBuiltin="1"/>
    <cellStyle name="Bad" xfId="369"/>
    <cellStyle name="Beløb" xfId="333"/>
    <cellStyle name="Beløb (negative)" xfId="334"/>
    <cellStyle name="Beløb 1000" xfId="335"/>
    <cellStyle name="Beløb 1000 (negative)" xfId="336"/>
    <cellStyle name="Bemærk!" xfId="16" builtinId="10" customBuiltin="1"/>
    <cellStyle name="Bemærk! 10" xfId="989"/>
    <cellStyle name="Bemærk! 10 2" xfId="2657"/>
    <cellStyle name="Bemærk! 10 2 2" xfId="7646"/>
    <cellStyle name="Bemærk! 10 3" xfId="4321"/>
    <cellStyle name="Bemærk! 10 3 2" xfId="9307"/>
    <cellStyle name="Bemærk! 10 4" xfId="5984"/>
    <cellStyle name="Bemærk! 11" xfId="1824"/>
    <cellStyle name="Bemærk! 11 2" xfId="6816"/>
    <cellStyle name="Bemærk! 12" xfId="3492"/>
    <cellStyle name="Bemærk! 12 2" xfId="8478"/>
    <cellStyle name="Bemærk! 13" xfId="5155"/>
    <cellStyle name="Bemærk! 14" xfId="10139"/>
    <cellStyle name="Bemærk! 2" xfId="61"/>
    <cellStyle name="Bemærk! 2 10" xfId="1843"/>
    <cellStyle name="Bemærk! 2 10 2" xfId="6835"/>
    <cellStyle name="Bemærk! 2 11" xfId="3511"/>
    <cellStyle name="Bemærk! 2 11 2" xfId="8497"/>
    <cellStyle name="Bemærk! 2 12" xfId="5174"/>
    <cellStyle name="Bemærk! 2 13" xfId="10158"/>
    <cellStyle name="Bemærk! 2 2" xfId="83"/>
    <cellStyle name="Bemærk! 2 2 10" xfId="3530"/>
    <cellStyle name="Bemærk! 2 2 10 2" xfId="8516"/>
    <cellStyle name="Bemærk! 2 2 11" xfId="5193"/>
    <cellStyle name="Bemærk! 2 2 12" xfId="10176"/>
    <cellStyle name="Bemærk! 2 2 2" xfId="151"/>
    <cellStyle name="Bemærk! 2 2 2 2" xfId="524"/>
    <cellStyle name="Bemærk! 2 2 2 2 2" xfId="1359"/>
    <cellStyle name="Bemærk! 2 2 2 2 2 2" xfId="3027"/>
    <cellStyle name="Bemærk! 2 2 2 2 2 2 2" xfId="8016"/>
    <cellStyle name="Bemærk! 2 2 2 2 2 3" xfId="4691"/>
    <cellStyle name="Bemærk! 2 2 2 2 2 3 2" xfId="9677"/>
    <cellStyle name="Bemærk! 2 2 2 2 2 4" xfId="6354"/>
    <cellStyle name="Bemærk! 2 2 2 2 3" xfId="2196"/>
    <cellStyle name="Bemærk! 2 2 2 2 3 2" xfId="7185"/>
    <cellStyle name="Bemærk! 2 2 2 2 4" xfId="3860"/>
    <cellStyle name="Bemærk! 2 2 2 2 4 2" xfId="8846"/>
    <cellStyle name="Bemærk! 2 2 2 2 5" xfId="5523"/>
    <cellStyle name="Bemærk! 2 2 2 2 6" xfId="10510"/>
    <cellStyle name="Bemærk! 2 2 2 3" xfId="799"/>
    <cellStyle name="Bemærk! 2 2 2 3 2" xfId="1633"/>
    <cellStyle name="Bemærk! 2 2 2 3 2 2" xfId="3301"/>
    <cellStyle name="Bemærk! 2 2 2 3 2 2 2" xfId="8290"/>
    <cellStyle name="Bemærk! 2 2 2 3 2 3" xfId="4965"/>
    <cellStyle name="Bemærk! 2 2 2 3 2 3 2" xfId="9951"/>
    <cellStyle name="Bemærk! 2 2 2 3 2 4" xfId="6628"/>
    <cellStyle name="Bemærk! 2 2 2 3 3" xfId="2470"/>
    <cellStyle name="Bemærk! 2 2 2 3 3 2" xfId="7459"/>
    <cellStyle name="Bemærk! 2 2 2 3 4" xfId="4134"/>
    <cellStyle name="Bemærk! 2 2 2 3 4 2" xfId="9120"/>
    <cellStyle name="Bemærk! 2 2 2 3 5" xfId="5797"/>
    <cellStyle name="Bemærk! 2 2 2 3 6" xfId="10784"/>
    <cellStyle name="Bemærk! 2 2 2 4" xfId="1080"/>
    <cellStyle name="Bemærk! 2 2 2 4 2" xfId="2748"/>
    <cellStyle name="Bemærk! 2 2 2 4 2 2" xfId="7737"/>
    <cellStyle name="Bemærk! 2 2 2 4 3" xfId="4412"/>
    <cellStyle name="Bemærk! 2 2 2 4 3 2" xfId="9398"/>
    <cellStyle name="Bemærk! 2 2 2 4 4" xfId="6075"/>
    <cellStyle name="Bemærk! 2 2 2 5" xfId="1918"/>
    <cellStyle name="Bemærk! 2 2 2 5 2" xfId="6907"/>
    <cellStyle name="Bemærk! 2 2 2 6" xfId="3583"/>
    <cellStyle name="Bemærk! 2 2 2 6 2" xfId="8569"/>
    <cellStyle name="Bemærk! 2 2 2 7" xfId="5246"/>
    <cellStyle name="Bemærk! 2 2 2 8" xfId="10230"/>
    <cellStyle name="Bemærk! 2 2 3" xfId="206"/>
    <cellStyle name="Bemærk! 2 2 3 2" xfId="578"/>
    <cellStyle name="Bemærk! 2 2 3 2 2" xfId="1413"/>
    <cellStyle name="Bemærk! 2 2 3 2 2 2" xfId="3081"/>
    <cellStyle name="Bemærk! 2 2 3 2 2 2 2" xfId="8070"/>
    <cellStyle name="Bemærk! 2 2 3 2 2 3" xfId="4745"/>
    <cellStyle name="Bemærk! 2 2 3 2 2 3 2" xfId="9731"/>
    <cellStyle name="Bemærk! 2 2 3 2 2 4" xfId="6408"/>
    <cellStyle name="Bemærk! 2 2 3 2 3" xfId="2250"/>
    <cellStyle name="Bemærk! 2 2 3 2 3 2" xfId="7239"/>
    <cellStyle name="Bemærk! 2 2 3 2 4" xfId="3914"/>
    <cellStyle name="Bemærk! 2 2 3 2 4 2" xfId="8900"/>
    <cellStyle name="Bemærk! 2 2 3 2 5" xfId="5577"/>
    <cellStyle name="Bemærk! 2 2 3 2 6" xfId="10564"/>
    <cellStyle name="Bemærk! 2 2 3 3" xfId="853"/>
    <cellStyle name="Bemærk! 2 2 3 3 2" xfId="1687"/>
    <cellStyle name="Bemærk! 2 2 3 3 2 2" xfId="3355"/>
    <cellStyle name="Bemærk! 2 2 3 3 2 2 2" xfId="8344"/>
    <cellStyle name="Bemærk! 2 2 3 3 2 3" xfId="5019"/>
    <cellStyle name="Bemærk! 2 2 3 3 2 3 2" xfId="10005"/>
    <cellStyle name="Bemærk! 2 2 3 3 2 4" xfId="6682"/>
    <cellStyle name="Bemærk! 2 2 3 3 3" xfId="2524"/>
    <cellStyle name="Bemærk! 2 2 3 3 3 2" xfId="7513"/>
    <cellStyle name="Bemærk! 2 2 3 3 4" xfId="4188"/>
    <cellStyle name="Bemærk! 2 2 3 3 4 2" xfId="9174"/>
    <cellStyle name="Bemærk! 2 2 3 3 5" xfId="5851"/>
    <cellStyle name="Bemærk! 2 2 3 3 6" xfId="10838"/>
    <cellStyle name="Bemærk! 2 2 3 4" xfId="1134"/>
    <cellStyle name="Bemærk! 2 2 3 4 2" xfId="2802"/>
    <cellStyle name="Bemærk! 2 2 3 4 2 2" xfId="7791"/>
    <cellStyle name="Bemærk! 2 2 3 4 3" xfId="4466"/>
    <cellStyle name="Bemærk! 2 2 3 4 3 2" xfId="9452"/>
    <cellStyle name="Bemærk! 2 2 3 4 4" xfId="6129"/>
    <cellStyle name="Bemærk! 2 2 3 5" xfId="1972"/>
    <cellStyle name="Bemærk! 2 2 3 5 2" xfId="6961"/>
    <cellStyle name="Bemærk! 2 2 3 6" xfId="3637"/>
    <cellStyle name="Bemærk! 2 2 3 6 2" xfId="8623"/>
    <cellStyle name="Bemærk! 2 2 3 7" xfId="5300"/>
    <cellStyle name="Bemærk! 2 2 3 8" xfId="10284"/>
    <cellStyle name="Bemærk! 2 2 4" xfId="261"/>
    <cellStyle name="Bemærk! 2 2 4 2" xfId="633"/>
    <cellStyle name="Bemærk! 2 2 4 2 2" xfId="1468"/>
    <cellStyle name="Bemærk! 2 2 4 2 2 2" xfId="3136"/>
    <cellStyle name="Bemærk! 2 2 4 2 2 2 2" xfId="8125"/>
    <cellStyle name="Bemærk! 2 2 4 2 2 3" xfId="4800"/>
    <cellStyle name="Bemærk! 2 2 4 2 2 3 2" xfId="9786"/>
    <cellStyle name="Bemærk! 2 2 4 2 2 4" xfId="6463"/>
    <cellStyle name="Bemærk! 2 2 4 2 3" xfId="2305"/>
    <cellStyle name="Bemærk! 2 2 4 2 3 2" xfId="7294"/>
    <cellStyle name="Bemærk! 2 2 4 2 4" xfId="3969"/>
    <cellStyle name="Bemærk! 2 2 4 2 4 2" xfId="8955"/>
    <cellStyle name="Bemærk! 2 2 4 2 5" xfId="5632"/>
    <cellStyle name="Bemærk! 2 2 4 2 6" xfId="10619"/>
    <cellStyle name="Bemærk! 2 2 4 3" xfId="908"/>
    <cellStyle name="Bemærk! 2 2 4 3 2" xfId="1742"/>
    <cellStyle name="Bemærk! 2 2 4 3 2 2" xfId="3410"/>
    <cellStyle name="Bemærk! 2 2 4 3 2 2 2" xfId="8399"/>
    <cellStyle name="Bemærk! 2 2 4 3 2 3" xfId="5074"/>
    <cellStyle name="Bemærk! 2 2 4 3 2 3 2" xfId="10060"/>
    <cellStyle name="Bemærk! 2 2 4 3 2 4" xfId="6737"/>
    <cellStyle name="Bemærk! 2 2 4 3 3" xfId="2579"/>
    <cellStyle name="Bemærk! 2 2 4 3 3 2" xfId="7568"/>
    <cellStyle name="Bemærk! 2 2 4 3 4" xfId="4243"/>
    <cellStyle name="Bemærk! 2 2 4 3 4 2" xfId="9229"/>
    <cellStyle name="Bemærk! 2 2 4 3 5" xfId="5906"/>
    <cellStyle name="Bemærk! 2 2 4 3 6" xfId="10893"/>
    <cellStyle name="Bemærk! 2 2 4 4" xfId="1189"/>
    <cellStyle name="Bemærk! 2 2 4 4 2" xfId="2857"/>
    <cellStyle name="Bemærk! 2 2 4 4 2 2" xfId="7846"/>
    <cellStyle name="Bemærk! 2 2 4 4 3" xfId="4521"/>
    <cellStyle name="Bemærk! 2 2 4 4 3 2" xfId="9507"/>
    <cellStyle name="Bemærk! 2 2 4 4 4" xfId="6184"/>
    <cellStyle name="Bemærk! 2 2 4 5" xfId="2027"/>
    <cellStyle name="Bemærk! 2 2 4 5 2" xfId="7016"/>
    <cellStyle name="Bemærk! 2 2 4 6" xfId="3692"/>
    <cellStyle name="Bemærk! 2 2 4 6 2" xfId="8678"/>
    <cellStyle name="Bemærk! 2 2 4 7" xfId="5355"/>
    <cellStyle name="Bemærk! 2 2 4 8" xfId="10339"/>
    <cellStyle name="Bemærk! 2 2 5" xfId="317"/>
    <cellStyle name="Bemærk! 2 2 5 2" xfId="689"/>
    <cellStyle name="Bemærk! 2 2 5 2 2" xfId="1524"/>
    <cellStyle name="Bemærk! 2 2 5 2 2 2" xfId="3192"/>
    <cellStyle name="Bemærk! 2 2 5 2 2 2 2" xfId="8181"/>
    <cellStyle name="Bemærk! 2 2 5 2 2 3" xfId="4856"/>
    <cellStyle name="Bemærk! 2 2 5 2 2 3 2" xfId="9842"/>
    <cellStyle name="Bemærk! 2 2 5 2 2 4" xfId="6519"/>
    <cellStyle name="Bemærk! 2 2 5 2 3" xfId="2361"/>
    <cellStyle name="Bemærk! 2 2 5 2 3 2" xfId="7350"/>
    <cellStyle name="Bemærk! 2 2 5 2 4" xfId="4025"/>
    <cellStyle name="Bemærk! 2 2 5 2 4 2" xfId="9011"/>
    <cellStyle name="Bemærk! 2 2 5 2 5" xfId="5688"/>
    <cellStyle name="Bemærk! 2 2 5 2 6" xfId="10675"/>
    <cellStyle name="Bemærk! 2 2 5 3" xfId="964"/>
    <cellStyle name="Bemærk! 2 2 5 3 2" xfId="1798"/>
    <cellStyle name="Bemærk! 2 2 5 3 2 2" xfId="3466"/>
    <cellStyle name="Bemærk! 2 2 5 3 2 2 2" xfId="8455"/>
    <cellStyle name="Bemærk! 2 2 5 3 2 3" xfId="5130"/>
    <cellStyle name="Bemærk! 2 2 5 3 2 3 2" xfId="10116"/>
    <cellStyle name="Bemærk! 2 2 5 3 2 4" xfId="6793"/>
    <cellStyle name="Bemærk! 2 2 5 3 3" xfId="2635"/>
    <cellStyle name="Bemærk! 2 2 5 3 3 2" xfId="7624"/>
    <cellStyle name="Bemærk! 2 2 5 3 4" xfId="4299"/>
    <cellStyle name="Bemærk! 2 2 5 3 4 2" xfId="9285"/>
    <cellStyle name="Bemærk! 2 2 5 3 5" xfId="5962"/>
    <cellStyle name="Bemærk! 2 2 5 3 6" xfId="10949"/>
    <cellStyle name="Bemærk! 2 2 5 4" xfId="1245"/>
    <cellStyle name="Bemærk! 2 2 5 4 2" xfId="2913"/>
    <cellStyle name="Bemærk! 2 2 5 4 2 2" xfId="7902"/>
    <cellStyle name="Bemærk! 2 2 5 4 3" xfId="4577"/>
    <cellStyle name="Bemærk! 2 2 5 4 3 2" xfId="9563"/>
    <cellStyle name="Bemærk! 2 2 5 4 4" xfId="6240"/>
    <cellStyle name="Bemærk! 2 2 5 5" xfId="2083"/>
    <cellStyle name="Bemærk! 2 2 5 5 2" xfId="7072"/>
    <cellStyle name="Bemærk! 2 2 5 6" xfId="3748"/>
    <cellStyle name="Bemærk! 2 2 5 6 2" xfId="8734"/>
    <cellStyle name="Bemærk! 2 2 5 7" xfId="5411"/>
    <cellStyle name="Bemærk! 2 2 5 8" xfId="10395"/>
    <cellStyle name="Bemærk! 2 2 6" xfId="470"/>
    <cellStyle name="Bemærk! 2 2 6 2" xfId="1305"/>
    <cellStyle name="Bemærk! 2 2 6 2 2" xfId="2973"/>
    <cellStyle name="Bemærk! 2 2 6 2 2 2" xfId="7962"/>
    <cellStyle name="Bemærk! 2 2 6 2 3" xfId="4637"/>
    <cellStyle name="Bemærk! 2 2 6 2 3 2" xfId="9623"/>
    <cellStyle name="Bemærk! 2 2 6 2 4" xfId="6300"/>
    <cellStyle name="Bemærk! 2 2 6 3" xfId="2144"/>
    <cellStyle name="Bemærk! 2 2 6 3 2" xfId="7133"/>
    <cellStyle name="Bemærk! 2 2 6 4" xfId="3808"/>
    <cellStyle name="Bemærk! 2 2 6 4 2" xfId="8794"/>
    <cellStyle name="Bemærk! 2 2 6 5" xfId="5471"/>
    <cellStyle name="Bemærk! 2 2 6 6" xfId="10432"/>
    <cellStyle name="Bemærk! 2 2 7" xfId="745"/>
    <cellStyle name="Bemærk! 2 2 7 2" xfId="1579"/>
    <cellStyle name="Bemærk! 2 2 7 2 2" xfId="3247"/>
    <cellStyle name="Bemærk! 2 2 7 2 2 2" xfId="8236"/>
    <cellStyle name="Bemærk! 2 2 7 2 3" xfId="4911"/>
    <cellStyle name="Bemærk! 2 2 7 2 3 2" xfId="9897"/>
    <cellStyle name="Bemærk! 2 2 7 2 4" xfId="6574"/>
    <cellStyle name="Bemærk! 2 2 7 3" xfId="2416"/>
    <cellStyle name="Bemærk! 2 2 7 3 2" xfId="7405"/>
    <cellStyle name="Bemærk! 2 2 7 4" xfId="4080"/>
    <cellStyle name="Bemærk! 2 2 7 4 2" xfId="9066"/>
    <cellStyle name="Bemærk! 2 2 7 5" xfId="5743"/>
    <cellStyle name="Bemærk! 2 2 7 6" xfId="10730"/>
    <cellStyle name="Bemærk! 2 2 8" xfId="1026"/>
    <cellStyle name="Bemærk! 2 2 8 2" xfId="2694"/>
    <cellStyle name="Bemærk! 2 2 8 2 2" xfId="7683"/>
    <cellStyle name="Bemærk! 2 2 8 3" xfId="4358"/>
    <cellStyle name="Bemærk! 2 2 8 3 2" xfId="9344"/>
    <cellStyle name="Bemærk! 2 2 8 4" xfId="6021"/>
    <cellStyle name="Bemærk! 2 2 9" xfId="1862"/>
    <cellStyle name="Bemærk! 2 2 9 2" xfId="6854"/>
    <cellStyle name="Bemærk! 2 3" xfId="134"/>
    <cellStyle name="Bemærk! 2 3 2" xfId="507"/>
    <cellStyle name="Bemærk! 2 3 2 2" xfId="1342"/>
    <cellStyle name="Bemærk! 2 3 2 2 2" xfId="3010"/>
    <cellStyle name="Bemærk! 2 3 2 2 2 2" xfId="7999"/>
    <cellStyle name="Bemærk! 2 3 2 2 3" xfId="4674"/>
    <cellStyle name="Bemærk! 2 3 2 2 3 2" xfId="9660"/>
    <cellStyle name="Bemærk! 2 3 2 2 4" xfId="6337"/>
    <cellStyle name="Bemærk! 2 3 2 3" xfId="2181"/>
    <cellStyle name="Bemærk! 2 3 2 3 2" xfId="7170"/>
    <cellStyle name="Bemærk! 2 3 2 4" xfId="3845"/>
    <cellStyle name="Bemærk! 2 3 2 4 2" xfId="8831"/>
    <cellStyle name="Bemærk! 2 3 2 5" xfId="5508"/>
    <cellStyle name="Bemærk! 2 3 2 6" xfId="10493"/>
    <cellStyle name="Bemærk! 2 3 3" xfId="782"/>
    <cellStyle name="Bemærk! 2 3 3 2" xfId="1616"/>
    <cellStyle name="Bemærk! 2 3 3 2 2" xfId="3284"/>
    <cellStyle name="Bemærk! 2 3 3 2 2 2" xfId="8273"/>
    <cellStyle name="Bemærk! 2 3 3 2 3" xfId="4948"/>
    <cellStyle name="Bemærk! 2 3 3 2 3 2" xfId="9934"/>
    <cellStyle name="Bemærk! 2 3 3 2 4" xfId="6611"/>
    <cellStyle name="Bemærk! 2 3 3 3" xfId="2453"/>
    <cellStyle name="Bemærk! 2 3 3 3 2" xfId="7442"/>
    <cellStyle name="Bemærk! 2 3 3 4" xfId="4117"/>
    <cellStyle name="Bemærk! 2 3 3 4 2" xfId="9103"/>
    <cellStyle name="Bemærk! 2 3 3 5" xfId="5780"/>
    <cellStyle name="Bemærk! 2 3 3 6" xfId="10767"/>
    <cellStyle name="Bemærk! 2 3 4" xfId="1063"/>
    <cellStyle name="Bemærk! 2 3 4 2" xfId="2731"/>
    <cellStyle name="Bemærk! 2 3 4 2 2" xfId="7720"/>
    <cellStyle name="Bemærk! 2 3 4 3" xfId="4395"/>
    <cellStyle name="Bemærk! 2 3 4 3 2" xfId="9381"/>
    <cellStyle name="Bemærk! 2 3 4 4" xfId="6058"/>
    <cellStyle name="Bemærk! 2 3 5" xfId="1901"/>
    <cellStyle name="Bemærk! 2 3 5 2" xfId="6890"/>
    <cellStyle name="Bemærk! 2 3 6" xfId="3566"/>
    <cellStyle name="Bemærk! 2 3 6 2" xfId="8552"/>
    <cellStyle name="Bemærk! 2 3 7" xfId="5229"/>
    <cellStyle name="Bemærk! 2 3 8" xfId="10213"/>
    <cellStyle name="Bemærk! 2 4" xfId="188"/>
    <cellStyle name="Bemærk! 2 4 2" xfId="560"/>
    <cellStyle name="Bemærk! 2 4 2 2" xfId="1395"/>
    <cellStyle name="Bemærk! 2 4 2 2 2" xfId="3063"/>
    <cellStyle name="Bemærk! 2 4 2 2 2 2" xfId="8052"/>
    <cellStyle name="Bemærk! 2 4 2 2 3" xfId="4727"/>
    <cellStyle name="Bemærk! 2 4 2 2 3 2" xfId="9713"/>
    <cellStyle name="Bemærk! 2 4 2 2 4" xfId="6390"/>
    <cellStyle name="Bemærk! 2 4 2 3" xfId="2232"/>
    <cellStyle name="Bemærk! 2 4 2 3 2" xfId="7221"/>
    <cellStyle name="Bemærk! 2 4 2 4" xfId="3896"/>
    <cellStyle name="Bemærk! 2 4 2 4 2" xfId="8882"/>
    <cellStyle name="Bemærk! 2 4 2 5" xfId="5559"/>
    <cellStyle name="Bemærk! 2 4 2 6" xfId="10546"/>
    <cellStyle name="Bemærk! 2 4 3" xfId="835"/>
    <cellStyle name="Bemærk! 2 4 3 2" xfId="1669"/>
    <cellStyle name="Bemærk! 2 4 3 2 2" xfId="3337"/>
    <cellStyle name="Bemærk! 2 4 3 2 2 2" xfId="8326"/>
    <cellStyle name="Bemærk! 2 4 3 2 3" xfId="5001"/>
    <cellStyle name="Bemærk! 2 4 3 2 3 2" xfId="9987"/>
    <cellStyle name="Bemærk! 2 4 3 2 4" xfId="6664"/>
    <cellStyle name="Bemærk! 2 4 3 3" xfId="2506"/>
    <cellStyle name="Bemærk! 2 4 3 3 2" xfId="7495"/>
    <cellStyle name="Bemærk! 2 4 3 4" xfId="4170"/>
    <cellStyle name="Bemærk! 2 4 3 4 2" xfId="9156"/>
    <cellStyle name="Bemærk! 2 4 3 5" xfId="5833"/>
    <cellStyle name="Bemærk! 2 4 3 6" xfId="10820"/>
    <cellStyle name="Bemærk! 2 4 4" xfId="1116"/>
    <cellStyle name="Bemærk! 2 4 4 2" xfId="2784"/>
    <cellStyle name="Bemærk! 2 4 4 2 2" xfId="7773"/>
    <cellStyle name="Bemærk! 2 4 4 3" xfId="4448"/>
    <cellStyle name="Bemærk! 2 4 4 3 2" xfId="9434"/>
    <cellStyle name="Bemærk! 2 4 4 4" xfId="6111"/>
    <cellStyle name="Bemærk! 2 4 5" xfId="1954"/>
    <cellStyle name="Bemærk! 2 4 5 2" xfId="6943"/>
    <cellStyle name="Bemærk! 2 4 6" xfId="3619"/>
    <cellStyle name="Bemærk! 2 4 6 2" xfId="8605"/>
    <cellStyle name="Bemærk! 2 4 7" xfId="5282"/>
    <cellStyle name="Bemærk! 2 4 8" xfId="10266"/>
    <cellStyle name="Bemærk! 2 5" xfId="242"/>
    <cellStyle name="Bemærk! 2 5 2" xfId="614"/>
    <cellStyle name="Bemærk! 2 5 2 2" xfId="1449"/>
    <cellStyle name="Bemærk! 2 5 2 2 2" xfId="3117"/>
    <cellStyle name="Bemærk! 2 5 2 2 2 2" xfId="8106"/>
    <cellStyle name="Bemærk! 2 5 2 2 3" xfId="4781"/>
    <cellStyle name="Bemærk! 2 5 2 2 3 2" xfId="9767"/>
    <cellStyle name="Bemærk! 2 5 2 2 4" xfId="6444"/>
    <cellStyle name="Bemærk! 2 5 2 3" xfId="2286"/>
    <cellStyle name="Bemærk! 2 5 2 3 2" xfId="7275"/>
    <cellStyle name="Bemærk! 2 5 2 4" xfId="3950"/>
    <cellStyle name="Bemærk! 2 5 2 4 2" xfId="8936"/>
    <cellStyle name="Bemærk! 2 5 2 5" xfId="5613"/>
    <cellStyle name="Bemærk! 2 5 2 6" xfId="10600"/>
    <cellStyle name="Bemærk! 2 5 3" xfId="889"/>
    <cellStyle name="Bemærk! 2 5 3 2" xfId="1723"/>
    <cellStyle name="Bemærk! 2 5 3 2 2" xfId="3391"/>
    <cellStyle name="Bemærk! 2 5 3 2 2 2" xfId="8380"/>
    <cellStyle name="Bemærk! 2 5 3 2 3" xfId="5055"/>
    <cellStyle name="Bemærk! 2 5 3 2 3 2" xfId="10041"/>
    <cellStyle name="Bemærk! 2 5 3 2 4" xfId="6718"/>
    <cellStyle name="Bemærk! 2 5 3 3" xfId="2560"/>
    <cellStyle name="Bemærk! 2 5 3 3 2" xfId="7549"/>
    <cellStyle name="Bemærk! 2 5 3 4" xfId="4224"/>
    <cellStyle name="Bemærk! 2 5 3 4 2" xfId="9210"/>
    <cellStyle name="Bemærk! 2 5 3 5" xfId="5887"/>
    <cellStyle name="Bemærk! 2 5 3 6" xfId="10874"/>
    <cellStyle name="Bemærk! 2 5 4" xfId="1170"/>
    <cellStyle name="Bemærk! 2 5 4 2" xfId="2838"/>
    <cellStyle name="Bemærk! 2 5 4 2 2" xfId="7827"/>
    <cellStyle name="Bemærk! 2 5 4 3" xfId="4502"/>
    <cellStyle name="Bemærk! 2 5 4 3 2" xfId="9488"/>
    <cellStyle name="Bemærk! 2 5 4 4" xfId="6165"/>
    <cellStyle name="Bemærk! 2 5 5" xfId="2008"/>
    <cellStyle name="Bemærk! 2 5 5 2" xfId="6997"/>
    <cellStyle name="Bemærk! 2 5 6" xfId="3673"/>
    <cellStyle name="Bemærk! 2 5 6 2" xfId="8659"/>
    <cellStyle name="Bemærk! 2 5 7" xfId="5336"/>
    <cellStyle name="Bemærk! 2 5 8" xfId="10320"/>
    <cellStyle name="Bemærk! 2 6" xfId="298"/>
    <cellStyle name="Bemærk! 2 6 2" xfId="670"/>
    <cellStyle name="Bemærk! 2 6 2 2" xfId="1505"/>
    <cellStyle name="Bemærk! 2 6 2 2 2" xfId="3173"/>
    <cellStyle name="Bemærk! 2 6 2 2 2 2" xfId="8162"/>
    <cellStyle name="Bemærk! 2 6 2 2 3" xfId="4837"/>
    <cellStyle name="Bemærk! 2 6 2 2 3 2" xfId="9823"/>
    <cellStyle name="Bemærk! 2 6 2 2 4" xfId="6500"/>
    <cellStyle name="Bemærk! 2 6 2 3" xfId="2342"/>
    <cellStyle name="Bemærk! 2 6 2 3 2" xfId="7331"/>
    <cellStyle name="Bemærk! 2 6 2 4" xfId="4006"/>
    <cellStyle name="Bemærk! 2 6 2 4 2" xfId="8992"/>
    <cellStyle name="Bemærk! 2 6 2 5" xfId="5669"/>
    <cellStyle name="Bemærk! 2 6 2 6" xfId="10656"/>
    <cellStyle name="Bemærk! 2 6 3" xfId="945"/>
    <cellStyle name="Bemærk! 2 6 3 2" xfId="1779"/>
    <cellStyle name="Bemærk! 2 6 3 2 2" xfId="3447"/>
    <cellStyle name="Bemærk! 2 6 3 2 2 2" xfId="8436"/>
    <cellStyle name="Bemærk! 2 6 3 2 3" xfId="5111"/>
    <cellStyle name="Bemærk! 2 6 3 2 3 2" xfId="10097"/>
    <cellStyle name="Bemærk! 2 6 3 2 4" xfId="6774"/>
    <cellStyle name="Bemærk! 2 6 3 3" xfId="2616"/>
    <cellStyle name="Bemærk! 2 6 3 3 2" xfId="7605"/>
    <cellStyle name="Bemærk! 2 6 3 4" xfId="4280"/>
    <cellStyle name="Bemærk! 2 6 3 4 2" xfId="9266"/>
    <cellStyle name="Bemærk! 2 6 3 5" xfId="5943"/>
    <cellStyle name="Bemærk! 2 6 3 6" xfId="10930"/>
    <cellStyle name="Bemærk! 2 6 4" xfId="1226"/>
    <cellStyle name="Bemærk! 2 6 4 2" xfId="2894"/>
    <cellStyle name="Bemærk! 2 6 4 2 2" xfId="7883"/>
    <cellStyle name="Bemærk! 2 6 4 3" xfId="4558"/>
    <cellStyle name="Bemærk! 2 6 4 3 2" xfId="9544"/>
    <cellStyle name="Bemærk! 2 6 4 4" xfId="6221"/>
    <cellStyle name="Bemærk! 2 6 5" xfId="2064"/>
    <cellStyle name="Bemærk! 2 6 5 2" xfId="7053"/>
    <cellStyle name="Bemærk! 2 6 6" xfId="3729"/>
    <cellStyle name="Bemærk! 2 6 6 2" xfId="8715"/>
    <cellStyle name="Bemærk! 2 6 7" xfId="5392"/>
    <cellStyle name="Bemærk! 2 6 8" xfId="10376"/>
    <cellStyle name="Bemærk! 2 7" xfId="452"/>
    <cellStyle name="Bemærk! 2 7 2" xfId="1287"/>
    <cellStyle name="Bemærk! 2 7 2 2" xfId="2955"/>
    <cellStyle name="Bemærk! 2 7 2 2 2" xfId="7944"/>
    <cellStyle name="Bemærk! 2 7 2 3" xfId="4619"/>
    <cellStyle name="Bemærk! 2 7 2 3 2" xfId="9605"/>
    <cellStyle name="Bemærk! 2 7 2 4" xfId="6282"/>
    <cellStyle name="Bemærk! 2 7 3" xfId="2126"/>
    <cellStyle name="Bemærk! 2 7 3 2" xfId="7115"/>
    <cellStyle name="Bemærk! 2 7 4" xfId="3790"/>
    <cellStyle name="Bemærk! 2 7 4 2" xfId="8776"/>
    <cellStyle name="Bemærk! 2 7 5" xfId="5453"/>
    <cellStyle name="Bemærk! 2 7 6" xfId="10458"/>
    <cellStyle name="Bemærk! 2 8" xfId="727"/>
    <cellStyle name="Bemærk! 2 8 2" xfId="1561"/>
    <cellStyle name="Bemærk! 2 8 2 2" xfId="3229"/>
    <cellStyle name="Bemærk! 2 8 2 2 2" xfId="8218"/>
    <cellStyle name="Bemærk! 2 8 2 3" xfId="4893"/>
    <cellStyle name="Bemærk! 2 8 2 3 2" xfId="9879"/>
    <cellStyle name="Bemærk! 2 8 2 4" xfId="6556"/>
    <cellStyle name="Bemærk! 2 8 3" xfId="2398"/>
    <cellStyle name="Bemærk! 2 8 3 2" xfId="7387"/>
    <cellStyle name="Bemærk! 2 8 4" xfId="4062"/>
    <cellStyle name="Bemærk! 2 8 4 2" xfId="9048"/>
    <cellStyle name="Bemærk! 2 8 5" xfId="5725"/>
    <cellStyle name="Bemærk! 2 8 6" xfId="10712"/>
    <cellStyle name="Bemærk! 2 9" xfId="1008"/>
    <cellStyle name="Bemærk! 2 9 2" xfId="2676"/>
    <cellStyle name="Bemærk! 2 9 2 2" xfId="7665"/>
    <cellStyle name="Bemærk! 2 9 3" xfId="4340"/>
    <cellStyle name="Bemærk! 2 9 3 2" xfId="9326"/>
    <cellStyle name="Bemærk! 2 9 4" xfId="6003"/>
    <cellStyle name="Bemærk! 3" xfId="97"/>
    <cellStyle name="Bemærk! 3 10" xfId="3536"/>
    <cellStyle name="Bemærk! 3 10 2" xfId="8522"/>
    <cellStyle name="Bemærk! 3 11" xfId="5199"/>
    <cellStyle name="Bemærk! 3 12" xfId="10182"/>
    <cellStyle name="Bemærk! 3 2" xfId="157"/>
    <cellStyle name="Bemærk! 3 2 2" xfId="530"/>
    <cellStyle name="Bemærk! 3 2 2 2" xfId="1365"/>
    <cellStyle name="Bemærk! 3 2 2 2 2" xfId="3033"/>
    <cellStyle name="Bemærk! 3 2 2 2 2 2" xfId="8022"/>
    <cellStyle name="Bemærk! 3 2 2 2 3" xfId="4697"/>
    <cellStyle name="Bemærk! 3 2 2 2 3 2" xfId="9683"/>
    <cellStyle name="Bemærk! 3 2 2 2 4" xfId="6360"/>
    <cellStyle name="Bemærk! 3 2 2 3" xfId="2202"/>
    <cellStyle name="Bemærk! 3 2 2 3 2" xfId="7191"/>
    <cellStyle name="Bemærk! 3 2 2 4" xfId="3866"/>
    <cellStyle name="Bemærk! 3 2 2 4 2" xfId="8852"/>
    <cellStyle name="Bemærk! 3 2 2 5" xfId="5529"/>
    <cellStyle name="Bemærk! 3 2 2 6" xfId="10516"/>
    <cellStyle name="Bemærk! 3 2 3" xfId="805"/>
    <cellStyle name="Bemærk! 3 2 3 2" xfId="1639"/>
    <cellStyle name="Bemærk! 3 2 3 2 2" xfId="3307"/>
    <cellStyle name="Bemærk! 3 2 3 2 2 2" xfId="8296"/>
    <cellStyle name="Bemærk! 3 2 3 2 3" xfId="4971"/>
    <cellStyle name="Bemærk! 3 2 3 2 3 2" xfId="9957"/>
    <cellStyle name="Bemærk! 3 2 3 2 4" xfId="6634"/>
    <cellStyle name="Bemærk! 3 2 3 3" xfId="2476"/>
    <cellStyle name="Bemærk! 3 2 3 3 2" xfId="7465"/>
    <cellStyle name="Bemærk! 3 2 3 4" xfId="4140"/>
    <cellStyle name="Bemærk! 3 2 3 4 2" xfId="9126"/>
    <cellStyle name="Bemærk! 3 2 3 5" xfId="5803"/>
    <cellStyle name="Bemærk! 3 2 3 6" xfId="10790"/>
    <cellStyle name="Bemærk! 3 2 4" xfId="1086"/>
    <cellStyle name="Bemærk! 3 2 4 2" xfId="2754"/>
    <cellStyle name="Bemærk! 3 2 4 2 2" xfId="7743"/>
    <cellStyle name="Bemærk! 3 2 4 3" xfId="4418"/>
    <cellStyle name="Bemærk! 3 2 4 3 2" xfId="9404"/>
    <cellStyle name="Bemærk! 3 2 4 4" xfId="6081"/>
    <cellStyle name="Bemærk! 3 2 5" xfId="1924"/>
    <cellStyle name="Bemærk! 3 2 5 2" xfId="6913"/>
    <cellStyle name="Bemærk! 3 2 6" xfId="3589"/>
    <cellStyle name="Bemærk! 3 2 6 2" xfId="8575"/>
    <cellStyle name="Bemærk! 3 2 7" xfId="5252"/>
    <cellStyle name="Bemærk! 3 2 8" xfId="10236"/>
    <cellStyle name="Bemærk! 3 3" xfId="212"/>
    <cellStyle name="Bemærk! 3 3 2" xfId="584"/>
    <cellStyle name="Bemærk! 3 3 2 2" xfId="1419"/>
    <cellStyle name="Bemærk! 3 3 2 2 2" xfId="3087"/>
    <cellStyle name="Bemærk! 3 3 2 2 2 2" xfId="8076"/>
    <cellStyle name="Bemærk! 3 3 2 2 3" xfId="4751"/>
    <cellStyle name="Bemærk! 3 3 2 2 3 2" xfId="9737"/>
    <cellStyle name="Bemærk! 3 3 2 2 4" xfId="6414"/>
    <cellStyle name="Bemærk! 3 3 2 3" xfId="2256"/>
    <cellStyle name="Bemærk! 3 3 2 3 2" xfId="7245"/>
    <cellStyle name="Bemærk! 3 3 2 4" xfId="3920"/>
    <cellStyle name="Bemærk! 3 3 2 4 2" xfId="8906"/>
    <cellStyle name="Bemærk! 3 3 2 5" xfId="5583"/>
    <cellStyle name="Bemærk! 3 3 2 6" xfId="10570"/>
    <cellStyle name="Bemærk! 3 3 3" xfId="859"/>
    <cellStyle name="Bemærk! 3 3 3 2" xfId="1693"/>
    <cellStyle name="Bemærk! 3 3 3 2 2" xfId="3361"/>
    <cellStyle name="Bemærk! 3 3 3 2 2 2" xfId="8350"/>
    <cellStyle name="Bemærk! 3 3 3 2 3" xfId="5025"/>
    <cellStyle name="Bemærk! 3 3 3 2 3 2" xfId="10011"/>
    <cellStyle name="Bemærk! 3 3 3 2 4" xfId="6688"/>
    <cellStyle name="Bemærk! 3 3 3 3" xfId="2530"/>
    <cellStyle name="Bemærk! 3 3 3 3 2" xfId="7519"/>
    <cellStyle name="Bemærk! 3 3 3 4" xfId="4194"/>
    <cellStyle name="Bemærk! 3 3 3 4 2" xfId="9180"/>
    <cellStyle name="Bemærk! 3 3 3 5" xfId="5857"/>
    <cellStyle name="Bemærk! 3 3 3 6" xfId="10844"/>
    <cellStyle name="Bemærk! 3 3 4" xfId="1140"/>
    <cellStyle name="Bemærk! 3 3 4 2" xfId="2808"/>
    <cellStyle name="Bemærk! 3 3 4 2 2" xfId="7797"/>
    <cellStyle name="Bemærk! 3 3 4 3" xfId="4472"/>
    <cellStyle name="Bemærk! 3 3 4 3 2" xfId="9458"/>
    <cellStyle name="Bemærk! 3 3 4 4" xfId="6135"/>
    <cellStyle name="Bemærk! 3 3 5" xfId="1978"/>
    <cellStyle name="Bemærk! 3 3 5 2" xfId="6967"/>
    <cellStyle name="Bemærk! 3 3 6" xfId="3643"/>
    <cellStyle name="Bemærk! 3 3 6 2" xfId="8629"/>
    <cellStyle name="Bemærk! 3 3 7" xfId="5306"/>
    <cellStyle name="Bemærk! 3 3 8" xfId="10290"/>
    <cellStyle name="Bemærk! 3 4" xfId="267"/>
    <cellStyle name="Bemærk! 3 4 2" xfId="639"/>
    <cellStyle name="Bemærk! 3 4 2 2" xfId="1474"/>
    <cellStyle name="Bemærk! 3 4 2 2 2" xfId="3142"/>
    <cellStyle name="Bemærk! 3 4 2 2 2 2" xfId="8131"/>
    <cellStyle name="Bemærk! 3 4 2 2 3" xfId="4806"/>
    <cellStyle name="Bemærk! 3 4 2 2 3 2" xfId="9792"/>
    <cellStyle name="Bemærk! 3 4 2 2 4" xfId="6469"/>
    <cellStyle name="Bemærk! 3 4 2 3" xfId="2311"/>
    <cellStyle name="Bemærk! 3 4 2 3 2" xfId="7300"/>
    <cellStyle name="Bemærk! 3 4 2 4" xfId="3975"/>
    <cellStyle name="Bemærk! 3 4 2 4 2" xfId="8961"/>
    <cellStyle name="Bemærk! 3 4 2 5" xfId="5638"/>
    <cellStyle name="Bemærk! 3 4 2 6" xfId="10625"/>
    <cellStyle name="Bemærk! 3 4 3" xfId="914"/>
    <cellStyle name="Bemærk! 3 4 3 2" xfId="1748"/>
    <cellStyle name="Bemærk! 3 4 3 2 2" xfId="3416"/>
    <cellStyle name="Bemærk! 3 4 3 2 2 2" xfId="8405"/>
    <cellStyle name="Bemærk! 3 4 3 2 3" xfId="5080"/>
    <cellStyle name="Bemærk! 3 4 3 2 3 2" xfId="10066"/>
    <cellStyle name="Bemærk! 3 4 3 2 4" xfId="6743"/>
    <cellStyle name="Bemærk! 3 4 3 3" xfId="2585"/>
    <cellStyle name="Bemærk! 3 4 3 3 2" xfId="7574"/>
    <cellStyle name="Bemærk! 3 4 3 4" xfId="4249"/>
    <cellStyle name="Bemærk! 3 4 3 4 2" xfId="9235"/>
    <cellStyle name="Bemærk! 3 4 3 5" xfId="5912"/>
    <cellStyle name="Bemærk! 3 4 3 6" xfId="10899"/>
    <cellStyle name="Bemærk! 3 4 4" xfId="1195"/>
    <cellStyle name="Bemærk! 3 4 4 2" xfId="2863"/>
    <cellStyle name="Bemærk! 3 4 4 2 2" xfId="7852"/>
    <cellStyle name="Bemærk! 3 4 4 3" xfId="4527"/>
    <cellStyle name="Bemærk! 3 4 4 3 2" xfId="9513"/>
    <cellStyle name="Bemærk! 3 4 4 4" xfId="6190"/>
    <cellStyle name="Bemærk! 3 4 5" xfId="2033"/>
    <cellStyle name="Bemærk! 3 4 5 2" xfId="7022"/>
    <cellStyle name="Bemærk! 3 4 6" xfId="3698"/>
    <cellStyle name="Bemærk! 3 4 6 2" xfId="8684"/>
    <cellStyle name="Bemærk! 3 4 7" xfId="5361"/>
    <cellStyle name="Bemærk! 3 4 8" xfId="10345"/>
    <cellStyle name="Bemærk! 3 5" xfId="323"/>
    <cellStyle name="Bemærk! 3 5 2" xfId="695"/>
    <cellStyle name="Bemærk! 3 5 2 2" xfId="1530"/>
    <cellStyle name="Bemærk! 3 5 2 2 2" xfId="3198"/>
    <cellStyle name="Bemærk! 3 5 2 2 2 2" xfId="8187"/>
    <cellStyle name="Bemærk! 3 5 2 2 3" xfId="4862"/>
    <cellStyle name="Bemærk! 3 5 2 2 3 2" xfId="9848"/>
    <cellStyle name="Bemærk! 3 5 2 2 4" xfId="6525"/>
    <cellStyle name="Bemærk! 3 5 2 3" xfId="2367"/>
    <cellStyle name="Bemærk! 3 5 2 3 2" xfId="7356"/>
    <cellStyle name="Bemærk! 3 5 2 4" xfId="4031"/>
    <cellStyle name="Bemærk! 3 5 2 4 2" xfId="9017"/>
    <cellStyle name="Bemærk! 3 5 2 5" xfId="5694"/>
    <cellStyle name="Bemærk! 3 5 2 6" xfId="10681"/>
    <cellStyle name="Bemærk! 3 5 3" xfId="970"/>
    <cellStyle name="Bemærk! 3 5 3 2" xfId="1804"/>
    <cellStyle name="Bemærk! 3 5 3 2 2" xfId="3472"/>
    <cellStyle name="Bemærk! 3 5 3 2 2 2" xfId="8461"/>
    <cellStyle name="Bemærk! 3 5 3 2 3" xfId="5136"/>
    <cellStyle name="Bemærk! 3 5 3 2 3 2" xfId="10122"/>
    <cellStyle name="Bemærk! 3 5 3 2 4" xfId="6799"/>
    <cellStyle name="Bemærk! 3 5 3 3" xfId="2641"/>
    <cellStyle name="Bemærk! 3 5 3 3 2" xfId="7630"/>
    <cellStyle name="Bemærk! 3 5 3 4" xfId="4305"/>
    <cellStyle name="Bemærk! 3 5 3 4 2" xfId="9291"/>
    <cellStyle name="Bemærk! 3 5 3 5" xfId="5968"/>
    <cellStyle name="Bemærk! 3 5 3 6" xfId="10955"/>
    <cellStyle name="Bemærk! 3 5 4" xfId="1251"/>
    <cellStyle name="Bemærk! 3 5 4 2" xfId="2919"/>
    <cellStyle name="Bemærk! 3 5 4 2 2" xfId="7908"/>
    <cellStyle name="Bemærk! 3 5 4 3" xfId="4583"/>
    <cellStyle name="Bemærk! 3 5 4 3 2" xfId="9569"/>
    <cellStyle name="Bemærk! 3 5 4 4" xfId="6246"/>
    <cellStyle name="Bemærk! 3 5 5" xfId="2089"/>
    <cellStyle name="Bemærk! 3 5 5 2" xfId="7078"/>
    <cellStyle name="Bemærk! 3 5 6" xfId="3754"/>
    <cellStyle name="Bemærk! 3 5 6 2" xfId="8740"/>
    <cellStyle name="Bemærk! 3 5 7" xfId="5417"/>
    <cellStyle name="Bemærk! 3 5 8" xfId="10401"/>
    <cellStyle name="Bemærk! 3 6" xfId="476"/>
    <cellStyle name="Bemærk! 3 6 2" xfId="1311"/>
    <cellStyle name="Bemærk! 3 6 2 2" xfId="2979"/>
    <cellStyle name="Bemærk! 3 6 2 2 2" xfId="7968"/>
    <cellStyle name="Bemærk! 3 6 2 3" xfId="4643"/>
    <cellStyle name="Bemærk! 3 6 2 3 2" xfId="9629"/>
    <cellStyle name="Bemærk! 3 6 2 4" xfId="6306"/>
    <cellStyle name="Bemærk! 3 6 3" xfId="2150"/>
    <cellStyle name="Bemærk! 3 6 3 2" xfId="7139"/>
    <cellStyle name="Bemærk! 3 6 4" xfId="3814"/>
    <cellStyle name="Bemærk! 3 6 4 2" xfId="8800"/>
    <cellStyle name="Bemærk! 3 6 5" xfId="5477"/>
    <cellStyle name="Bemærk! 3 6 6" xfId="10462"/>
    <cellStyle name="Bemærk! 3 7" xfId="751"/>
    <cellStyle name="Bemærk! 3 7 2" xfId="1585"/>
    <cellStyle name="Bemærk! 3 7 2 2" xfId="3253"/>
    <cellStyle name="Bemærk! 3 7 2 2 2" xfId="8242"/>
    <cellStyle name="Bemærk! 3 7 2 3" xfId="4917"/>
    <cellStyle name="Bemærk! 3 7 2 3 2" xfId="9903"/>
    <cellStyle name="Bemærk! 3 7 2 4" xfId="6580"/>
    <cellStyle name="Bemærk! 3 7 3" xfId="2422"/>
    <cellStyle name="Bemærk! 3 7 3 2" xfId="7411"/>
    <cellStyle name="Bemærk! 3 7 4" xfId="4086"/>
    <cellStyle name="Bemærk! 3 7 4 2" xfId="9072"/>
    <cellStyle name="Bemærk! 3 7 5" xfId="5749"/>
    <cellStyle name="Bemærk! 3 7 6" xfId="10736"/>
    <cellStyle name="Bemærk! 3 8" xfId="1032"/>
    <cellStyle name="Bemærk! 3 8 2" xfId="2700"/>
    <cellStyle name="Bemærk! 3 8 2 2" xfId="7689"/>
    <cellStyle name="Bemærk! 3 8 3" xfId="4364"/>
    <cellStyle name="Bemærk! 3 8 3 2" xfId="9350"/>
    <cellStyle name="Bemærk! 3 8 4" xfId="6027"/>
    <cellStyle name="Bemærk! 3 9" xfId="1868"/>
    <cellStyle name="Bemærk! 3 9 2" xfId="6860"/>
    <cellStyle name="Bemærk! 4" xfId="115"/>
    <cellStyle name="Bemærk! 4 2" xfId="488"/>
    <cellStyle name="Bemærk! 4 2 2" xfId="1323"/>
    <cellStyle name="Bemærk! 4 2 2 2" xfId="2991"/>
    <cellStyle name="Bemærk! 4 2 2 2 2" xfId="7980"/>
    <cellStyle name="Bemærk! 4 2 2 3" xfId="4655"/>
    <cellStyle name="Bemærk! 4 2 2 3 2" xfId="9641"/>
    <cellStyle name="Bemærk! 4 2 2 4" xfId="6318"/>
    <cellStyle name="Bemærk! 4 2 3" xfId="2162"/>
    <cellStyle name="Bemærk! 4 2 3 2" xfId="7151"/>
    <cellStyle name="Bemærk! 4 2 4" xfId="3826"/>
    <cellStyle name="Bemærk! 4 2 4 2" xfId="8812"/>
    <cellStyle name="Bemærk! 4 2 5" xfId="5489"/>
    <cellStyle name="Bemærk! 4 2 6" xfId="10474"/>
    <cellStyle name="Bemærk! 4 3" xfId="763"/>
    <cellStyle name="Bemærk! 4 3 2" xfId="1597"/>
    <cellStyle name="Bemærk! 4 3 2 2" xfId="3265"/>
    <cellStyle name="Bemærk! 4 3 2 2 2" xfId="8254"/>
    <cellStyle name="Bemærk! 4 3 2 3" xfId="4929"/>
    <cellStyle name="Bemærk! 4 3 2 3 2" xfId="9915"/>
    <cellStyle name="Bemærk! 4 3 2 4" xfId="6592"/>
    <cellStyle name="Bemærk! 4 3 3" xfId="2434"/>
    <cellStyle name="Bemærk! 4 3 3 2" xfId="7423"/>
    <cellStyle name="Bemærk! 4 3 4" xfId="4098"/>
    <cellStyle name="Bemærk! 4 3 4 2" xfId="9084"/>
    <cellStyle name="Bemærk! 4 3 5" xfId="5761"/>
    <cellStyle name="Bemærk! 4 3 6" xfId="10748"/>
    <cellStyle name="Bemærk! 4 4" xfId="1044"/>
    <cellStyle name="Bemærk! 4 4 2" xfId="2712"/>
    <cellStyle name="Bemærk! 4 4 2 2" xfId="7701"/>
    <cellStyle name="Bemærk! 4 4 3" xfId="4376"/>
    <cellStyle name="Bemærk! 4 4 3 2" xfId="9362"/>
    <cellStyle name="Bemærk! 4 4 4" xfId="6039"/>
    <cellStyle name="Bemærk! 4 5" xfId="1882"/>
    <cellStyle name="Bemærk! 4 5 2" xfId="6871"/>
    <cellStyle name="Bemærk! 4 6" xfId="3547"/>
    <cellStyle name="Bemærk! 4 6 2" xfId="8533"/>
    <cellStyle name="Bemærk! 4 7" xfId="5210"/>
    <cellStyle name="Bemærk! 4 8" xfId="10194"/>
    <cellStyle name="Bemærk! 5" xfId="168"/>
    <cellStyle name="Bemærk! 5 2" xfId="541"/>
    <cellStyle name="Bemærk! 5 2 2" xfId="1376"/>
    <cellStyle name="Bemærk! 5 2 2 2" xfId="3044"/>
    <cellStyle name="Bemærk! 5 2 2 2 2" xfId="8033"/>
    <cellStyle name="Bemærk! 5 2 2 3" xfId="4708"/>
    <cellStyle name="Bemærk! 5 2 2 3 2" xfId="9694"/>
    <cellStyle name="Bemærk! 5 2 2 4" xfId="6371"/>
    <cellStyle name="Bemærk! 5 2 3" xfId="2213"/>
    <cellStyle name="Bemærk! 5 2 3 2" xfId="7202"/>
    <cellStyle name="Bemærk! 5 2 4" xfId="3877"/>
    <cellStyle name="Bemærk! 5 2 4 2" xfId="8863"/>
    <cellStyle name="Bemærk! 5 2 5" xfId="5540"/>
    <cellStyle name="Bemærk! 5 2 6" xfId="10527"/>
    <cellStyle name="Bemærk! 5 3" xfId="816"/>
    <cellStyle name="Bemærk! 5 3 2" xfId="1650"/>
    <cellStyle name="Bemærk! 5 3 2 2" xfId="3318"/>
    <cellStyle name="Bemærk! 5 3 2 2 2" xfId="8307"/>
    <cellStyle name="Bemærk! 5 3 2 3" xfId="4982"/>
    <cellStyle name="Bemærk! 5 3 2 3 2" xfId="9968"/>
    <cellStyle name="Bemærk! 5 3 2 4" xfId="6645"/>
    <cellStyle name="Bemærk! 5 3 3" xfId="2487"/>
    <cellStyle name="Bemærk! 5 3 3 2" xfId="7476"/>
    <cellStyle name="Bemærk! 5 3 4" xfId="4151"/>
    <cellStyle name="Bemærk! 5 3 4 2" xfId="9137"/>
    <cellStyle name="Bemærk! 5 3 5" xfId="5814"/>
    <cellStyle name="Bemærk! 5 3 6" xfId="10801"/>
    <cellStyle name="Bemærk! 5 4" xfId="1097"/>
    <cellStyle name="Bemærk! 5 4 2" xfId="2765"/>
    <cellStyle name="Bemærk! 5 4 2 2" xfId="7754"/>
    <cellStyle name="Bemærk! 5 4 3" xfId="4429"/>
    <cellStyle name="Bemærk! 5 4 3 2" xfId="9415"/>
    <cellStyle name="Bemærk! 5 4 4" xfId="6092"/>
    <cellStyle name="Bemærk! 5 5" xfId="1935"/>
    <cellStyle name="Bemærk! 5 5 2" xfId="6924"/>
    <cellStyle name="Bemærk! 5 6" xfId="3600"/>
    <cellStyle name="Bemærk! 5 6 2" xfId="8586"/>
    <cellStyle name="Bemærk! 5 7" xfId="5263"/>
    <cellStyle name="Bemærk! 5 8" xfId="10247"/>
    <cellStyle name="Bemærk! 6" xfId="224"/>
    <cellStyle name="Bemærk! 6 2" xfId="596"/>
    <cellStyle name="Bemærk! 6 2 2" xfId="1431"/>
    <cellStyle name="Bemærk! 6 2 2 2" xfId="3099"/>
    <cellStyle name="Bemærk! 6 2 2 2 2" xfId="8088"/>
    <cellStyle name="Bemærk! 6 2 2 3" xfId="4763"/>
    <cellStyle name="Bemærk! 6 2 2 3 2" xfId="9749"/>
    <cellStyle name="Bemærk! 6 2 2 4" xfId="6426"/>
    <cellStyle name="Bemærk! 6 2 3" xfId="2268"/>
    <cellStyle name="Bemærk! 6 2 3 2" xfId="7257"/>
    <cellStyle name="Bemærk! 6 2 4" xfId="3932"/>
    <cellStyle name="Bemærk! 6 2 4 2" xfId="8918"/>
    <cellStyle name="Bemærk! 6 2 5" xfId="5595"/>
    <cellStyle name="Bemærk! 6 2 6" xfId="10582"/>
    <cellStyle name="Bemærk! 6 3" xfId="871"/>
    <cellStyle name="Bemærk! 6 3 2" xfId="1705"/>
    <cellStyle name="Bemærk! 6 3 2 2" xfId="3373"/>
    <cellStyle name="Bemærk! 6 3 2 2 2" xfId="8362"/>
    <cellStyle name="Bemærk! 6 3 2 3" xfId="5037"/>
    <cellStyle name="Bemærk! 6 3 2 3 2" xfId="10023"/>
    <cellStyle name="Bemærk! 6 3 2 4" xfId="6700"/>
    <cellStyle name="Bemærk! 6 3 3" xfId="2542"/>
    <cellStyle name="Bemærk! 6 3 3 2" xfId="7531"/>
    <cellStyle name="Bemærk! 6 3 4" xfId="4206"/>
    <cellStyle name="Bemærk! 6 3 4 2" xfId="9192"/>
    <cellStyle name="Bemærk! 6 3 5" xfId="5869"/>
    <cellStyle name="Bemærk! 6 3 6" xfId="10856"/>
    <cellStyle name="Bemærk! 6 4" xfId="1152"/>
    <cellStyle name="Bemærk! 6 4 2" xfId="2820"/>
    <cellStyle name="Bemærk! 6 4 2 2" xfId="7809"/>
    <cellStyle name="Bemærk! 6 4 3" xfId="4484"/>
    <cellStyle name="Bemærk! 6 4 3 2" xfId="9470"/>
    <cellStyle name="Bemærk! 6 4 4" xfId="6147"/>
    <cellStyle name="Bemærk! 6 5" xfId="1990"/>
    <cellStyle name="Bemærk! 6 5 2" xfId="6979"/>
    <cellStyle name="Bemærk! 6 6" xfId="3655"/>
    <cellStyle name="Bemærk! 6 6 2" xfId="8641"/>
    <cellStyle name="Bemærk! 6 7" xfId="5318"/>
    <cellStyle name="Bemærk! 6 8" xfId="10302"/>
    <cellStyle name="Bemærk! 7" xfId="279"/>
    <cellStyle name="Bemærk! 7 2" xfId="651"/>
    <cellStyle name="Bemærk! 7 2 2" xfId="1486"/>
    <cellStyle name="Bemærk! 7 2 2 2" xfId="3154"/>
    <cellStyle name="Bemærk! 7 2 2 2 2" xfId="8143"/>
    <cellStyle name="Bemærk! 7 2 2 3" xfId="4818"/>
    <cellStyle name="Bemærk! 7 2 2 3 2" xfId="9804"/>
    <cellStyle name="Bemærk! 7 2 2 4" xfId="6481"/>
    <cellStyle name="Bemærk! 7 2 3" xfId="2323"/>
    <cellStyle name="Bemærk! 7 2 3 2" xfId="7312"/>
    <cellStyle name="Bemærk! 7 2 4" xfId="3987"/>
    <cellStyle name="Bemærk! 7 2 4 2" xfId="8973"/>
    <cellStyle name="Bemærk! 7 2 5" xfId="5650"/>
    <cellStyle name="Bemærk! 7 2 6" xfId="10637"/>
    <cellStyle name="Bemærk! 7 3" xfId="926"/>
    <cellStyle name="Bemærk! 7 3 2" xfId="1760"/>
    <cellStyle name="Bemærk! 7 3 2 2" xfId="3428"/>
    <cellStyle name="Bemærk! 7 3 2 2 2" xfId="8417"/>
    <cellStyle name="Bemærk! 7 3 2 3" xfId="5092"/>
    <cellStyle name="Bemærk! 7 3 2 3 2" xfId="10078"/>
    <cellStyle name="Bemærk! 7 3 2 4" xfId="6755"/>
    <cellStyle name="Bemærk! 7 3 3" xfId="2597"/>
    <cellStyle name="Bemærk! 7 3 3 2" xfId="7586"/>
    <cellStyle name="Bemærk! 7 3 4" xfId="4261"/>
    <cellStyle name="Bemærk! 7 3 4 2" xfId="9247"/>
    <cellStyle name="Bemærk! 7 3 5" xfId="5924"/>
    <cellStyle name="Bemærk! 7 3 6" xfId="10911"/>
    <cellStyle name="Bemærk! 7 4" xfId="1207"/>
    <cellStyle name="Bemærk! 7 4 2" xfId="2875"/>
    <cellStyle name="Bemærk! 7 4 2 2" xfId="7864"/>
    <cellStyle name="Bemærk! 7 4 3" xfId="4539"/>
    <cellStyle name="Bemærk! 7 4 3 2" xfId="9525"/>
    <cellStyle name="Bemærk! 7 4 4" xfId="6202"/>
    <cellStyle name="Bemærk! 7 5" xfId="2045"/>
    <cellStyle name="Bemærk! 7 5 2" xfId="7034"/>
    <cellStyle name="Bemærk! 7 6" xfId="3710"/>
    <cellStyle name="Bemærk! 7 6 2" xfId="8696"/>
    <cellStyle name="Bemærk! 7 7" xfId="5373"/>
    <cellStyle name="Bemærk! 7 8" xfId="10357"/>
    <cellStyle name="Bemærk! 8" xfId="433"/>
    <cellStyle name="Bemærk! 8 2" xfId="1268"/>
    <cellStyle name="Bemærk! 8 2 2" xfId="2936"/>
    <cellStyle name="Bemærk! 8 2 2 2" xfId="7925"/>
    <cellStyle name="Bemærk! 8 2 3" xfId="4600"/>
    <cellStyle name="Bemærk! 8 2 3 2" xfId="9586"/>
    <cellStyle name="Bemærk! 8 2 4" xfId="6263"/>
    <cellStyle name="Bemærk! 8 3" xfId="2107"/>
    <cellStyle name="Bemærk! 8 3 2" xfId="7096"/>
    <cellStyle name="Bemærk! 8 4" xfId="3771"/>
    <cellStyle name="Bemærk! 8 4 2" xfId="8757"/>
    <cellStyle name="Bemærk! 8 5" xfId="5434"/>
    <cellStyle name="Bemærk! 8 6" xfId="10456"/>
    <cellStyle name="Bemærk! 9" xfId="708"/>
    <cellStyle name="Bemærk! 9 2" xfId="1542"/>
    <cellStyle name="Bemærk! 9 2 2" xfId="3210"/>
    <cellStyle name="Bemærk! 9 2 2 2" xfId="8199"/>
    <cellStyle name="Bemærk! 9 2 3" xfId="4874"/>
    <cellStyle name="Bemærk! 9 2 3 2" xfId="9860"/>
    <cellStyle name="Bemærk! 9 2 4" xfId="6537"/>
    <cellStyle name="Bemærk! 9 3" xfId="2379"/>
    <cellStyle name="Bemærk! 9 3 2" xfId="7368"/>
    <cellStyle name="Bemærk! 9 4" xfId="4043"/>
    <cellStyle name="Bemærk! 9 4 2" xfId="9029"/>
    <cellStyle name="Bemærk! 9 5" xfId="5706"/>
    <cellStyle name="Bemærk! 9 6" xfId="10693"/>
    <cellStyle name="Beregning" xfId="12" builtinId="22" customBuiltin="1"/>
    <cellStyle name="Calculation" xfId="370"/>
    <cellStyle name="Check Cell" xfId="371"/>
    <cellStyle name="Comma_Vandforsyning_standardpriser_27Okt_final" xfId="372"/>
    <cellStyle name="Decimal" xfId="337"/>
    <cellStyle name="Decimal (negative)" xfId="338"/>
    <cellStyle name="Explanatory Text" xfId="373"/>
    <cellStyle name="Forklarende tekst" xfId="17" builtinId="53" customBuiltin="1"/>
    <cellStyle name="God" xfId="7" builtinId="26" customBuiltin="1"/>
    <cellStyle name="Good" xfId="374"/>
    <cellStyle name="Heading 1" xfId="375"/>
    <cellStyle name="Heading 2" xfId="376"/>
    <cellStyle name="Heading 3" xfId="377"/>
    <cellStyle name="Heading 4" xfId="378"/>
    <cellStyle name="Input" xfId="10" builtinId="20" customBuiltin="1"/>
    <cellStyle name="Input 2" xfId="379"/>
    <cellStyle name="Komma 10" xfId="111"/>
    <cellStyle name="Komma 11" xfId="704"/>
    <cellStyle name="Komma 11 2" xfId="1539"/>
    <cellStyle name="Komma 11 2 2" xfId="3207"/>
    <cellStyle name="Komma 11 2 2 2" xfId="8196"/>
    <cellStyle name="Komma 11 2 3" xfId="4871"/>
    <cellStyle name="Komma 11 2 3 2" xfId="9857"/>
    <cellStyle name="Komma 11 2 4" xfId="6534"/>
    <cellStyle name="Komma 11 3" xfId="2376"/>
    <cellStyle name="Komma 11 3 2" xfId="7365"/>
    <cellStyle name="Komma 11 4" xfId="4040"/>
    <cellStyle name="Komma 11 4 2" xfId="9026"/>
    <cellStyle name="Komma 11 5" xfId="5703"/>
    <cellStyle name="Komma 11 6" xfId="10690"/>
    <cellStyle name="Komma 12" xfId="979"/>
    <cellStyle name="Komma 12 2" xfId="1813"/>
    <cellStyle name="Komma 12 2 2" xfId="3481"/>
    <cellStyle name="Komma 12 2 2 2" xfId="8470"/>
    <cellStyle name="Komma 12 2 3" xfId="5145"/>
    <cellStyle name="Komma 12 2 3 2" xfId="10131"/>
    <cellStyle name="Komma 12 2 4" xfId="6808"/>
    <cellStyle name="Komma 12 3" xfId="2650"/>
    <cellStyle name="Komma 12 3 2" xfId="7639"/>
    <cellStyle name="Komma 12 4" xfId="3489"/>
    <cellStyle name="Komma 12 5" xfId="4314"/>
    <cellStyle name="Komma 12 5 2" xfId="9300"/>
    <cellStyle name="Komma 12 6" xfId="5977"/>
    <cellStyle name="Komma 12 7" xfId="10964"/>
    <cellStyle name="Komma 13" xfId="1823"/>
    <cellStyle name="Komma 13 2" xfId="6815"/>
    <cellStyle name="Komma 14" xfId="3491"/>
    <cellStyle name="Komma 14 2" xfId="8477"/>
    <cellStyle name="Komma 15" xfId="5154"/>
    <cellStyle name="Komma 16" xfId="10410"/>
    <cellStyle name="Komma 2" xfId="63"/>
    <cellStyle name="Komma 2 10" xfId="1009"/>
    <cellStyle name="Komma 2 10 2" xfId="2677"/>
    <cellStyle name="Komma 2 10 2 2" xfId="7666"/>
    <cellStyle name="Komma 2 10 3" xfId="4341"/>
    <cellStyle name="Komma 2 10 3 2" xfId="9327"/>
    <cellStyle name="Komma 2 10 4" xfId="6004"/>
    <cellStyle name="Komma 2 11" xfId="1844"/>
    <cellStyle name="Komma 2 11 2" xfId="6836"/>
    <cellStyle name="Komma 2 12" xfId="3512"/>
    <cellStyle name="Komma 2 12 2" xfId="8498"/>
    <cellStyle name="Komma 2 13" xfId="5175"/>
    <cellStyle name="Komma 2 14" xfId="10159"/>
    <cellStyle name="Komma 2 2" xfId="85"/>
    <cellStyle name="Komma 2 2 10" xfId="3531"/>
    <cellStyle name="Komma 2 2 10 2" xfId="8517"/>
    <cellStyle name="Komma 2 2 11" xfId="5194"/>
    <cellStyle name="Komma 2 2 12" xfId="10177"/>
    <cellStyle name="Komma 2 2 2" xfId="152"/>
    <cellStyle name="Komma 2 2 2 2" xfId="525"/>
    <cellStyle name="Komma 2 2 2 2 2" xfId="1360"/>
    <cellStyle name="Komma 2 2 2 2 2 2" xfId="3028"/>
    <cellStyle name="Komma 2 2 2 2 2 2 2" xfId="8017"/>
    <cellStyle name="Komma 2 2 2 2 2 3" xfId="4692"/>
    <cellStyle name="Komma 2 2 2 2 2 3 2" xfId="9678"/>
    <cellStyle name="Komma 2 2 2 2 2 4" xfId="6355"/>
    <cellStyle name="Komma 2 2 2 2 3" xfId="2197"/>
    <cellStyle name="Komma 2 2 2 2 3 2" xfId="7186"/>
    <cellStyle name="Komma 2 2 2 2 4" xfId="3861"/>
    <cellStyle name="Komma 2 2 2 2 4 2" xfId="8847"/>
    <cellStyle name="Komma 2 2 2 2 5" xfId="5524"/>
    <cellStyle name="Komma 2 2 2 2 6" xfId="10511"/>
    <cellStyle name="Komma 2 2 2 3" xfId="800"/>
    <cellStyle name="Komma 2 2 2 3 2" xfId="1634"/>
    <cellStyle name="Komma 2 2 2 3 2 2" xfId="3302"/>
    <cellStyle name="Komma 2 2 2 3 2 2 2" xfId="8291"/>
    <cellStyle name="Komma 2 2 2 3 2 3" xfId="4966"/>
    <cellStyle name="Komma 2 2 2 3 2 3 2" xfId="9952"/>
    <cellStyle name="Komma 2 2 2 3 2 4" xfId="6629"/>
    <cellStyle name="Komma 2 2 2 3 3" xfId="2471"/>
    <cellStyle name="Komma 2 2 2 3 3 2" xfId="7460"/>
    <cellStyle name="Komma 2 2 2 3 4" xfId="4135"/>
    <cellStyle name="Komma 2 2 2 3 4 2" xfId="9121"/>
    <cellStyle name="Komma 2 2 2 3 5" xfId="5798"/>
    <cellStyle name="Komma 2 2 2 3 6" xfId="10785"/>
    <cellStyle name="Komma 2 2 2 4" xfId="1081"/>
    <cellStyle name="Komma 2 2 2 4 2" xfId="2749"/>
    <cellStyle name="Komma 2 2 2 4 2 2" xfId="7738"/>
    <cellStyle name="Komma 2 2 2 4 3" xfId="4413"/>
    <cellStyle name="Komma 2 2 2 4 3 2" xfId="9399"/>
    <cellStyle name="Komma 2 2 2 4 4" xfId="6076"/>
    <cellStyle name="Komma 2 2 2 5" xfId="1919"/>
    <cellStyle name="Komma 2 2 2 5 2" xfId="6908"/>
    <cellStyle name="Komma 2 2 2 6" xfId="3584"/>
    <cellStyle name="Komma 2 2 2 6 2" xfId="8570"/>
    <cellStyle name="Komma 2 2 2 7" xfId="5247"/>
    <cellStyle name="Komma 2 2 2 8" xfId="10231"/>
    <cellStyle name="Komma 2 2 3" xfId="207"/>
    <cellStyle name="Komma 2 2 3 2" xfId="579"/>
    <cellStyle name="Komma 2 2 3 2 2" xfId="1414"/>
    <cellStyle name="Komma 2 2 3 2 2 2" xfId="3082"/>
    <cellStyle name="Komma 2 2 3 2 2 2 2" xfId="8071"/>
    <cellStyle name="Komma 2 2 3 2 2 3" xfId="4746"/>
    <cellStyle name="Komma 2 2 3 2 2 3 2" xfId="9732"/>
    <cellStyle name="Komma 2 2 3 2 2 4" xfId="6409"/>
    <cellStyle name="Komma 2 2 3 2 3" xfId="2251"/>
    <cellStyle name="Komma 2 2 3 2 3 2" xfId="7240"/>
    <cellStyle name="Komma 2 2 3 2 4" xfId="3915"/>
    <cellStyle name="Komma 2 2 3 2 4 2" xfId="8901"/>
    <cellStyle name="Komma 2 2 3 2 5" xfId="5578"/>
    <cellStyle name="Komma 2 2 3 2 6" xfId="10565"/>
    <cellStyle name="Komma 2 2 3 3" xfId="854"/>
    <cellStyle name="Komma 2 2 3 3 2" xfId="1688"/>
    <cellStyle name="Komma 2 2 3 3 2 2" xfId="3356"/>
    <cellStyle name="Komma 2 2 3 3 2 2 2" xfId="8345"/>
    <cellStyle name="Komma 2 2 3 3 2 3" xfId="5020"/>
    <cellStyle name="Komma 2 2 3 3 2 3 2" xfId="10006"/>
    <cellStyle name="Komma 2 2 3 3 2 4" xfId="6683"/>
    <cellStyle name="Komma 2 2 3 3 3" xfId="2525"/>
    <cellStyle name="Komma 2 2 3 3 3 2" xfId="7514"/>
    <cellStyle name="Komma 2 2 3 3 4" xfId="4189"/>
    <cellStyle name="Komma 2 2 3 3 4 2" xfId="9175"/>
    <cellStyle name="Komma 2 2 3 3 5" xfId="5852"/>
    <cellStyle name="Komma 2 2 3 3 6" xfId="10839"/>
    <cellStyle name="Komma 2 2 3 4" xfId="1135"/>
    <cellStyle name="Komma 2 2 3 4 2" xfId="2803"/>
    <cellStyle name="Komma 2 2 3 4 2 2" xfId="7792"/>
    <cellStyle name="Komma 2 2 3 4 3" xfId="4467"/>
    <cellStyle name="Komma 2 2 3 4 3 2" xfId="9453"/>
    <cellStyle name="Komma 2 2 3 4 4" xfId="6130"/>
    <cellStyle name="Komma 2 2 3 5" xfId="1973"/>
    <cellStyle name="Komma 2 2 3 5 2" xfId="6962"/>
    <cellStyle name="Komma 2 2 3 6" xfId="3638"/>
    <cellStyle name="Komma 2 2 3 6 2" xfId="8624"/>
    <cellStyle name="Komma 2 2 3 7" xfId="5301"/>
    <cellStyle name="Komma 2 2 3 8" xfId="10285"/>
    <cellStyle name="Komma 2 2 4" xfId="262"/>
    <cellStyle name="Komma 2 2 4 2" xfId="634"/>
    <cellStyle name="Komma 2 2 4 2 2" xfId="1469"/>
    <cellStyle name="Komma 2 2 4 2 2 2" xfId="3137"/>
    <cellStyle name="Komma 2 2 4 2 2 2 2" xfId="8126"/>
    <cellStyle name="Komma 2 2 4 2 2 3" xfId="4801"/>
    <cellStyle name="Komma 2 2 4 2 2 3 2" xfId="9787"/>
    <cellStyle name="Komma 2 2 4 2 2 4" xfId="6464"/>
    <cellStyle name="Komma 2 2 4 2 3" xfId="2306"/>
    <cellStyle name="Komma 2 2 4 2 3 2" xfId="7295"/>
    <cellStyle name="Komma 2 2 4 2 4" xfId="3970"/>
    <cellStyle name="Komma 2 2 4 2 4 2" xfId="8956"/>
    <cellStyle name="Komma 2 2 4 2 5" xfId="5633"/>
    <cellStyle name="Komma 2 2 4 2 6" xfId="10620"/>
    <cellStyle name="Komma 2 2 4 3" xfId="909"/>
    <cellStyle name="Komma 2 2 4 3 2" xfId="1743"/>
    <cellStyle name="Komma 2 2 4 3 2 2" xfId="3411"/>
    <cellStyle name="Komma 2 2 4 3 2 2 2" xfId="8400"/>
    <cellStyle name="Komma 2 2 4 3 2 3" xfId="5075"/>
    <cellStyle name="Komma 2 2 4 3 2 3 2" xfId="10061"/>
    <cellStyle name="Komma 2 2 4 3 2 4" xfId="6738"/>
    <cellStyle name="Komma 2 2 4 3 3" xfId="2580"/>
    <cellStyle name="Komma 2 2 4 3 3 2" xfId="7569"/>
    <cellStyle name="Komma 2 2 4 3 4" xfId="4244"/>
    <cellStyle name="Komma 2 2 4 3 4 2" xfId="9230"/>
    <cellStyle name="Komma 2 2 4 3 5" xfId="5907"/>
    <cellStyle name="Komma 2 2 4 3 6" xfId="10894"/>
    <cellStyle name="Komma 2 2 4 4" xfId="1190"/>
    <cellStyle name="Komma 2 2 4 4 2" xfId="2858"/>
    <cellStyle name="Komma 2 2 4 4 2 2" xfId="7847"/>
    <cellStyle name="Komma 2 2 4 4 3" xfId="4522"/>
    <cellStyle name="Komma 2 2 4 4 3 2" xfId="9508"/>
    <cellStyle name="Komma 2 2 4 4 4" xfId="6185"/>
    <cellStyle name="Komma 2 2 4 5" xfId="2028"/>
    <cellStyle name="Komma 2 2 4 5 2" xfId="7017"/>
    <cellStyle name="Komma 2 2 4 6" xfId="3693"/>
    <cellStyle name="Komma 2 2 4 6 2" xfId="8679"/>
    <cellStyle name="Komma 2 2 4 7" xfId="5356"/>
    <cellStyle name="Komma 2 2 4 8" xfId="10340"/>
    <cellStyle name="Komma 2 2 5" xfId="318"/>
    <cellStyle name="Komma 2 2 5 2" xfId="690"/>
    <cellStyle name="Komma 2 2 5 2 2" xfId="1525"/>
    <cellStyle name="Komma 2 2 5 2 2 2" xfId="3193"/>
    <cellStyle name="Komma 2 2 5 2 2 2 2" xfId="8182"/>
    <cellStyle name="Komma 2 2 5 2 2 3" xfId="4857"/>
    <cellStyle name="Komma 2 2 5 2 2 3 2" xfId="9843"/>
    <cellStyle name="Komma 2 2 5 2 2 4" xfId="6520"/>
    <cellStyle name="Komma 2 2 5 2 3" xfId="2362"/>
    <cellStyle name="Komma 2 2 5 2 3 2" xfId="7351"/>
    <cellStyle name="Komma 2 2 5 2 4" xfId="4026"/>
    <cellStyle name="Komma 2 2 5 2 4 2" xfId="9012"/>
    <cellStyle name="Komma 2 2 5 2 5" xfId="5689"/>
    <cellStyle name="Komma 2 2 5 2 6" xfId="10676"/>
    <cellStyle name="Komma 2 2 5 3" xfId="965"/>
    <cellStyle name="Komma 2 2 5 3 2" xfId="1799"/>
    <cellStyle name="Komma 2 2 5 3 2 2" xfId="3467"/>
    <cellStyle name="Komma 2 2 5 3 2 2 2" xfId="8456"/>
    <cellStyle name="Komma 2 2 5 3 2 3" xfId="5131"/>
    <cellStyle name="Komma 2 2 5 3 2 3 2" xfId="10117"/>
    <cellStyle name="Komma 2 2 5 3 2 4" xfId="6794"/>
    <cellStyle name="Komma 2 2 5 3 3" xfId="2636"/>
    <cellStyle name="Komma 2 2 5 3 3 2" xfId="7625"/>
    <cellStyle name="Komma 2 2 5 3 4" xfId="4300"/>
    <cellStyle name="Komma 2 2 5 3 4 2" xfId="9286"/>
    <cellStyle name="Komma 2 2 5 3 5" xfId="5963"/>
    <cellStyle name="Komma 2 2 5 3 6" xfId="10950"/>
    <cellStyle name="Komma 2 2 5 4" xfId="1246"/>
    <cellStyle name="Komma 2 2 5 4 2" xfId="2914"/>
    <cellStyle name="Komma 2 2 5 4 2 2" xfId="7903"/>
    <cellStyle name="Komma 2 2 5 4 3" xfId="4578"/>
    <cellStyle name="Komma 2 2 5 4 3 2" xfId="9564"/>
    <cellStyle name="Komma 2 2 5 4 4" xfId="6241"/>
    <cellStyle name="Komma 2 2 5 5" xfId="2084"/>
    <cellStyle name="Komma 2 2 5 5 2" xfId="7073"/>
    <cellStyle name="Komma 2 2 5 6" xfId="3749"/>
    <cellStyle name="Komma 2 2 5 6 2" xfId="8735"/>
    <cellStyle name="Komma 2 2 5 7" xfId="5412"/>
    <cellStyle name="Komma 2 2 5 8" xfId="10396"/>
    <cellStyle name="Komma 2 2 6" xfId="471"/>
    <cellStyle name="Komma 2 2 6 2" xfId="1306"/>
    <cellStyle name="Komma 2 2 6 2 2" xfId="2974"/>
    <cellStyle name="Komma 2 2 6 2 2 2" xfId="7963"/>
    <cellStyle name="Komma 2 2 6 2 3" xfId="4638"/>
    <cellStyle name="Komma 2 2 6 2 3 2" xfId="9624"/>
    <cellStyle name="Komma 2 2 6 2 4" xfId="6301"/>
    <cellStyle name="Komma 2 2 6 3" xfId="2145"/>
    <cellStyle name="Komma 2 2 6 3 2" xfId="7134"/>
    <cellStyle name="Komma 2 2 6 4" xfId="3809"/>
    <cellStyle name="Komma 2 2 6 4 2" xfId="8795"/>
    <cellStyle name="Komma 2 2 6 5" xfId="5472"/>
    <cellStyle name="Komma 2 2 6 6" xfId="10423"/>
    <cellStyle name="Komma 2 2 7" xfId="746"/>
    <cellStyle name="Komma 2 2 7 2" xfId="1580"/>
    <cellStyle name="Komma 2 2 7 2 2" xfId="3248"/>
    <cellStyle name="Komma 2 2 7 2 2 2" xfId="8237"/>
    <cellStyle name="Komma 2 2 7 2 3" xfId="4912"/>
    <cellStyle name="Komma 2 2 7 2 3 2" xfId="9898"/>
    <cellStyle name="Komma 2 2 7 2 4" xfId="6575"/>
    <cellStyle name="Komma 2 2 7 3" xfId="2417"/>
    <cellStyle name="Komma 2 2 7 3 2" xfId="7406"/>
    <cellStyle name="Komma 2 2 7 4" xfId="4081"/>
    <cellStyle name="Komma 2 2 7 4 2" xfId="9067"/>
    <cellStyle name="Komma 2 2 7 5" xfId="5744"/>
    <cellStyle name="Komma 2 2 7 6" xfId="10731"/>
    <cellStyle name="Komma 2 2 8" xfId="1027"/>
    <cellStyle name="Komma 2 2 8 2" xfId="2695"/>
    <cellStyle name="Komma 2 2 8 2 2" xfId="7684"/>
    <cellStyle name="Komma 2 2 8 3" xfId="4359"/>
    <cellStyle name="Komma 2 2 8 3 2" xfId="9345"/>
    <cellStyle name="Komma 2 2 8 4" xfId="6022"/>
    <cellStyle name="Komma 2 2 9" xfId="1863"/>
    <cellStyle name="Komma 2 2 9 2" xfId="6855"/>
    <cellStyle name="Komma 2 3" xfId="135"/>
    <cellStyle name="Komma 2 3 2" xfId="380"/>
    <cellStyle name="Komma 2 3 3" xfId="427"/>
    <cellStyle name="Komma 2 3 3 2" xfId="983"/>
    <cellStyle name="Komma 2 3 3 2 2" xfId="1817"/>
    <cellStyle name="Komma 2 3 3 2 2 2" xfId="3485"/>
    <cellStyle name="Komma 2 3 3 2 2 2 2" xfId="8474"/>
    <cellStyle name="Komma 2 3 3 2 2 3" xfId="5149"/>
    <cellStyle name="Komma 2 3 3 2 2 3 2" xfId="10135"/>
    <cellStyle name="Komma 2 3 3 2 2 4" xfId="6812"/>
    <cellStyle name="Komma 2 3 3 2 3" xfId="2654"/>
    <cellStyle name="Komma 2 3 3 2 3 2" xfId="7643"/>
    <cellStyle name="Komma 2 3 3 2 4" xfId="4318"/>
    <cellStyle name="Komma 2 3 3 2 4 2" xfId="9304"/>
    <cellStyle name="Komma 2 3 3 2 5" xfId="5981"/>
    <cellStyle name="Komma 2 3 3 2 6" xfId="10968"/>
    <cellStyle name="Komma 2 3 3 3" xfId="1263"/>
    <cellStyle name="Komma 2 3 3 3 2" xfId="2931"/>
    <cellStyle name="Komma 2 3 3 3 2 2" xfId="7920"/>
    <cellStyle name="Komma 2 3 3 3 3" xfId="4595"/>
    <cellStyle name="Komma 2 3 3 3 3 2" xfId="9581"/>
    <cellStyle name="Komma 2 3 3 3 4" xfId="6258"/>
    <cellStyle name="Komma 2 3 3 4" xfId="2101"/>
    <cellStyle name="Komma 2 3 3 4 2" xfId="7090"/>
    <cellStyle name="Komma 2 3 3 5" xfId="3766"/>
    <cellStyle name="Komma 2 3 3 5 2" xfId="8752"/>
    <cellStyle name="Komma 2 3 3 6" xfId="5429"/>
    <cellStyle name="Komma 2 3 3 7" xfId="10414"/>
    <cellStyle name="Komma 2 3 4" xfId="508"/>
    <cellStyle name="Komma 2 3 4 2" xfId="1343"/>
    <cellStyle name="Komma 2 3 4 2 2" xfId="3011"/>
    <cellStyle name="Komma 2 3 4 2 2 2" xfId="8000"/>
    <cellStyle name="Komma 2 3 4 2 3" xfId="4675"/>
    <cellStyle name="Komma 2 3 4 2 3 2" xfId="9661"/>
    <cellStyle name="Komma 2 3 4 2 4" xfId="6338"/>
    <cellStyle name="Komma 2 3 4 3" xfId="1902"/>
    <cellStyle name="Komma 2 3 4 3 2" xfId="6891"/>
    <cellStyle name="Komma 2 3 4 4" xfId="3567"/>
    <cellStyle name="Komma 2 3 4 4 2" xfId="8553"/>
    <cellStyle name="Komma 2 3 4 5" xfId="5230"/>
    <cellStyle name="Komma 2 3 4 6" xfId="10494"/>
    <cellStyle name="Komma 2 3 5" xfId="783"/>
    <cellStyle name="Komma 2 3 5 2" xfId="1617"/>
    <cellStyle name="Komma 2 3 5 2 2" xfId="3285"/>
    <cellStyle name="Komma 2 3 5 2 2 2" xfId="8274"/>
    <cellStyle name="Komma 2 3 5 2 3" xfId="4949"/>
    <cellStyle name="Komma 2 3 5 2 3 2" xfId="9935"/>
    <cellStyle name="Komma 2 3 5 2 4" xfId="6612"/>
    <cellStyle name="Komma 2 3 5 3" xfId="2454"/>
    <cellStyle name="Komma 2 3 5 3 2" xfId="7443"/>
    <cellStyle name="Komma 2 3 5 4" xfId="4118"/>
    <cellStyle name="Komma 2 3 5 4 2" xfId="9104"/>
    <cellStyle name="Komma 2 3 5 5" xfId="5781"/>
    <cellStyle name="Komma 2 3 5 6" xfId="10768"/>
    <cellStyle name="Komma 2 3 6" xfId="1064"/>
    <cellStyle name="Komma 2 3 6 2" xfId="2732"/>
    <cellStyle name="Komma 2 3 6 2 2" xfId="7721"/>
    <cellStyle name="Komma 2 3 6 3" xfId="4396"/>
    <cellStyle name="Komma 2 3 6 3 2" xfId="9382"/>
    <cellStyle name="Komma 2 3 6 4" xfId="6059"/>
    <cellStyle name="Komma 2 3 7" xfId="10214"/>
    <cellStyle name="Komma 2 4" xfId="189"/>
    <cellStyle name="Komma 2 4 2" xfId="561"/>
    <cellStyle name="Komma 2 4 2 2" xfId="1396"/>
    <cellStyle name="Komma 2 4 2 2 2" xfId="3064"/>
    <cellStyle name="Komma 2 4 2 2 2 2" xfId="8053"/>
    <cellStyle name="Komma 2 4 2 2 3" xfId="4728"/>
    <cellStyle name="Komma 2 4 2 2 3 2" xfId="9714"/>
    <cellStyle name="Komma 2 4 2 2 4" xfId="6391"/>
    <cellStyle name="Komma 2 4 2 3" xfId="2233"/>
    <cellStyle name="Komma 2 4 2 3 2" xfId="7222"/>
    <cellStyle name="Komma 2 4 2 4" xfId="3897"/>
    <cellStyle name="Komma 2 4 2 4 2" xfId="8883"/>
    <cellStyle name="Komma 2 4 2 5" xfId="5560"/>
    <cellStyle name="Komma 2 4 2 6" xfId="10547"/>
    <cellStyle name="Komma 2 4 3" xfId="836"/>
    <cellStyle name="Komma 2 4 3 2" xfId="1670"/>
    <cellStyle name="Komma 2 4 3 2 2" xfId="3338"/>
    <cellStyle name="Komma 2 4 3 2 2 2" xfId="8327"/>
    <cellStyle name="Komma 2 4 3 2 3" xfId="5002"/>
    <cellStyle name="Komma 2 4 3 2 3 2" xfId="9988"/>
    <cellStyle name="Komma 2 4 3 2 4" xfId="6665"/>
    <cellStyle name="Komma 2 4 3 3" xfId="2507"/>
    <cellStyle name="Komma 2 4 3 3 2" xfId="7496"/>
    <cellStyle name="Komma 2 4 3 4" xfId="4171"/>
    <cellStyle name="Komma 2 4 3 4 2" xfId="9157"/>
    <cellStyle name="Komma 2 4 3 5" xfId="5834"/>
    <cellStyle name="Komma 2 4 3 6" xfId="10821"/>
    <cellStyle name="Komma 2 4 4" xfId="1117"/>
    <cellStyle name="Komma 2 4 4 2" xfId="2785"/>
    <cellStyle name="Komma 2 4 4 2 2" xfId="7774"/>
    <cellStyle name="Komma 2 4 4 3" xfId="4449"/>
    <cellStyle name="Komma 2 4 4 3 2" xfId="9435"/>
    <cellStyle name="Komma 2 4 4 4" xfId="6112"/>
    <cellStyle name="Komma 2 4 5" xfId="1955"/>
    <cellStyle name="Komma 2 4 5 2" xfId="6944"/>
    <cellStyle name="Komma 2 4 6" xfId="3620"/>
    <cellStyle name="Komma 2 4 6 2" xfId="8606"/>
    <cellStyle name="Komma 2 4 7" xfId="5283"/>
    <cellStyle name="Komma 2 4 8" xfId="10267"/>
    <cellStyle name="Komma 2 5" xfId="243"/>
    <cellStyle name="Komma 2 5 2" xfId="615"/>
    <cellStyle name="Komma 2 5 2 2" xfId="1450"/>
    <cellStyle name="Komma 2 5 2 2 2" xfId="3118"/>
    <cellStyle name="Komma 2 5 2 2 2 2" xfId="8107"/>
    <cellStyle name="Komma 2 5 2 2 3" xfId="4782"/>
    <cellStyle name="Komma 2 5 2 2 3 2" xfId="9768"/>
    <cellStyle name="Komma 2 5 2 2 4" xfId="6445"/>
    <cellStyle name="Komma 2 5 2 3" xfId="2287"/>
    <cellStyle name="Komma 2 5 2 3 2" xfId="7276"/>
    <cellStyle name="Komma 2 5 2 4" xfId="3951"/>
    <cellStyle name="Komma 2 5 2 4 2" xfId="8937"/>
    <cellStyle name="Komma 2 5 2 5" xfId="5614"/>
    <cellStyle name="Komma 2 5 2 6" xfId="10601"/>
    <cellStyle name="Komma 2 5 3" xfId="890"/>
    <cellStyle name="Komma 2 5 3 2" xfId="1724"/>
    <cellStyle name="Komma 2 5 3 2 2" xfId="3392"/>
    <cellStyle name="Komma 2 5 3 2 2 2" xfId="8381"/>
    <cellStyle name="Komma 2 5 3 2 3" xfId="5056"/>
    <cellStyle name="Komma 2 5 3 2 3 2" xfId="10042"/>
    <cellStyle name="Komma 2 5 3 2 4" xfId="6719"/>
    <cellStyle name="Komma 2 5 3 3" xfId="2561"/>
    <cellStyle name="Komma 2 5 3 3 2" xfId="7550"/>
    <cellStyle name="Komma 2 5 3 4" xfId="4225"/>
    <cellStyle name="Komma 2 5 3 4 2" xfId="9211"/>
    <cellStyle name="Komma 2 5 3 5" xfId="5888"/>
    <cellStyle name="Komma 2 5 3 6" xfId="10875"/>
    <cellStyle name="Komma 2 5 4" xfId="1171"/>
    <cellStyle name="Komma 2 5 4 2" xfId="2839"/>
    <cellStyle name="Komma 2 5 4 2 2" xfId="7828"/>
    <cellStyle name="Komma 2 5 4 3" xfId="4503"/>
    <cellStyle name="Komma 2 5 4 3 2" xfId="9489"/>
    <cellStyle name="Komma 2 5 4 4" xfId="6166"/>
    <cellStyle name="Komma 2 5 5" xfId="2009"/>
    <cellStyle name="Komma 2 5 5 2" xfId="6998"/>
    <cellStyle name="Komma 2 5 6" xfId="3674"/>
    <cellStyle name="Komma 2 5 6 2" xfId="8660"/>
    <cellStyle name="Komma 2 5 7" xfId="5337"/>
    <cellStyle name="Komma 2 5 8" xfId="10321"/>
    <cellStyle name="Komma 2 6" xfId="299"/>
    <cellStyle name="Komma 2 6 2" xfId="671"/>
    <cellStyle name="Komma 2 6 2 2" xfId="1506"/>
    <cellStyle name="Komma 2 6 2 2 2" xfId="3174"/>
    <cellStyle name="Komma 2 6 2 2 2 2" xfId="8163"/>
    <cellStyle name="Komma 2 6 2 2 3" xfId="4838"/>
    <cellStyle name="Komma 2 6 2 2 3 2" xfId="9824"/>
    <cellStyle name="Komma 2 6 2 2 4" xfId="6501"/>
    <cellStyle name="Komma 2 6 2 3" xfId="2343"/>
    <cellStyle name="Komma 2 6 2 3 2" xfId="7332"/>
    <cellStyle name="Komma 2 6 2 4" xfId="4007"/>
    <cellStyle name="Komma 2 6 2 4 2" xfId="8993"/>
    <cellStyle name="Komma 2 6 2 5" xfId="5670"/>
    <cellStyle name="Komma 2 6 2 6" xfId="10657"/>
    <cellStyle name="Komma 2 6 3" xfId="946"/>
    <cellStyle name="Komma 2 6 3 2" xfId="1780"/>
    <cellStyle name="Komma 2 6 3 2 2" xfId="3448"/>
    <cellStyle name="Komma 2 6 3 2 2 2" xfId="8437"/>
    <cellStyle name="Komma 2 6 3 2 3" xfId="5112"/>
    <cellStyle name="Komma 2 6 3 2 3 2" xfId="10098"/>
    <cellStyle name="Komma 2 6 3 2 4" xfId="6775"/>
    <cellStyle name="Komma 2 6 3 3" xfId="2617"/>
    <cellStyle name="Komma 2 6 3 3 2" xfId="7606"/>
    <cellStyle name="Komma 2 6 3 4" xfId="4281"/>
    <cellStyle name="Komma 2 6 3 4 2" xfId="9267"/>
    <cellStyle name="Komma 2 6 3 5" xfId="5944"/>
    <cellStyle name="Komma 2 6 3 6" xfId="10931"/>
    <cellStyle name="Komma 2 6 4" xfId="1227"/>
    <cellStyle name="Komma 2 6 4 2" xfId="2895"/>
    <cellStyle name="Komma 2 6 4 2 2" xfId="7884"/>
    <cellStyle name="Komma 2 6 4 3" xfId="4559"/>
    <cellStyle name="Komma 2 6 4 3 2" xfId="9545"/>
    <cellStyle name="Komma 2 6 4 4" xfId="6222"/>
    <cellStyle name="Komma 2 6 5" xfId="2065"/>
    <cellStyle name="Komma 2 6 5 2" xfId="7054"/>
    <cellStyle name="Komma 2 6 6" xfId="3730"/>
    <cellStyle name="Komma 2 6 6 2" xfId="8716"/>
    <cellStyle name="Komma 2 6 7" xfId="5393"/>
    <cellStyle name="Komma 2 6 8" xfId="10377"/>
    <cellStyle name="Komma 2 7" xfId="423"/>
    <cellStyle name="Komma 2 7 2" xfId="985"/>
    <cellStyle name="Komma 2 7 2 2" xfId="1265"/>
    <cellStyle name="Komma 2 7 2 2 2" xfId="2933"/>
    <cellStyle name="Komma 2 7 2 2 2 2" xfId="7922"/>
    <cellStyle name="Komma 2 7 2 2 3" xfId="4597"/>
    <cellStyle name="Komma 2 7 2 2 3 2" xfId="9583"/>
    <cellStyle name="Komma 2 7 2 2 4" xfId="6260"/>
    <cellStyle name="Komma 2 7 2 3" xfId="2103"/>
    <cellStyle name="Komma 2 7 2 3 2" xfId="7092"/>
    <cellStyle name="Komma 2 7 2 4" xfId="3768"/>
    <cellStyle name="Komma 2 7 2 4 2" xfId="8754"/>
    <cellStyle name="Komma 2 7 2 5" xfId="5431"/>
    <cellStyle name="Komma 2 7 2 6" xfId="10416"/>
    <cellStyle name="Komma 2 8" xfId="453"/>
    <cellStyle name="Komma 2 8 2" xfId="1288"/>
    <cellStyle name="Komma 2 8 2 2" xfId="2956"/>
    <cellStyle name="Komma 2 8 2 2 2" xfId="7945"/>
    <cellStyle name="Komma 2 8 2 3" xfId="4620"/>
    <cellStyle name="Komma 2 8 2 3 2" xfId="9606"/>
    <cellStyle name="Komma 2 8 2 4" xfId="6283"/>
    <cellStyle name="Komma 2 8 3" xfId="2127"/>
    <cellStyle name="Komma 2 8 3 2" xfId="7116"/>
    <cellStyle name="Komma 2 8 4" xfId="3791"/>
    <cellStyle name="Komma 2 8 4 2" xfId="8777"/>
    <cellStyle name="Komma 2 8 5" xfId="5454"/>
    <cellStyle name="Komma 2 8 6" xfId="10450"/>
    <cellStyle name="Komma 2 9" xfId="728"/>
    <cellStyle name="Komma 2 9 2" xfId="1562"/>
    <cellStyle name="Komma 2 9 2 2" xfId="3230"/>
    <cellStyle name="Komma 2 9 2 2 2" xfId="8219"/>
    <cellStyle name="Komma 2 9 2 3" xfId="4894"/>
    <cellStyle name="Komma 2 9 2 3 2" xfId="9880"/>
    <cellStyle name="Komma 2 9 2 4" xfId="6557"/>
    <cellStyle name="Komma 2 9 3" xfId="2399"/>
    <cellStyle name="Komma 2 9 3 2" xfId="7388"/>
    <cellStyle name="Komma 2 9 4" xfId="4063"/>
    <cellStyle name="Komma 2 9 4 2" xfId="9049"/>
    <cellStyle name="Komma 2 9 5" xfId="5726"/>
    <cellStyle name="Komma 2 9 6" xfId="10713"/>
    <cellStyle name="Komma 2_Ark1" xfId="5152"/>
    <cellStyle name="Komma 3" xfId="84"/>
    <cellStyle name="Komma 3 2" xfId="381"/>
    <cellStyle name="Komma 3 3" xfId="403"/>
    <cellStyle name="Komma 4" xfId="68"/>
    <cellStyle name="Komma 4 10" xfId="3516"/>
    <cellStyle name="Komma 4 10 2" xfId="8502"/>
    <cellStyle name="Komma 4 11" xfId="5179"/>
    <cellStyle name="Komma 4 12" xfId="10162"/>
    <cellStyle name="Komma 4 2" xfId="137"/>
    <cellStyle name="Komma 4 2 2" xfId="344"/>
    <cellStyle name="Komma 4 2 3" xfId="428"/>
    <cellStyle name="Komma 4 2 3 2" xfId="984"/>
    <cellStyle name="Komma 4 2 3 2 2" xfId="1818"/>
    <cellStyle name="Komma 4 2 3 2 2 2" xfId="3486"/>
    <cellStyle name="Komma 4 2 3 2 2 2 2" xfId="8475"/>
    <cellStyle name="Komma 4 2 3 2 2 3" xfId="5150"/>
    <cellStyle name="Komma 4 2 3 2 2 3 2" xfId="10136"/>
    <cellStyle name="Komma 4 2 3 2 2 4" xfId="6813"/>
    <cellStyle name="Komma 4 2 3 2 3" xfId="2655"/>
    <cellStyle name="Komma 4 2 3 2 3 2" xfId="7644"/>
    <cellStyle name="Komma 4 2 3 2 4" xfId="4319"/>
    <cellStyle name="Komma 4 2 3 2 4 2" xfId="9305"/>
    <cellStyle name="Komma 4 2 3 2 5" xfId="5982"/>
    <cellStyle name="Komma 4 2 3 2 6" xfId="10969"/>
    <cellStyle name="Komma 4 2 3 3" xfId="1264"/>
    <cellStyle name="Komma 4 2 3 3 2" xfId="2932"/>
    <cellStyle name="Komma 4 2 3 3 2 2" xfId="7921"/>
    <cellStyle name="Komma 4 2 3 3 3" xfId="4596"/>
    <cellStyle name="Komma 4 2 3 3 3 2" xfId="9582"/>
    <cellStyle name="Komma 4 2 3 3 4" xfId="6259"/>
    <cellStyle name="Komma 4 2 3 4" xfId="2102"/>
    <cellStyle name="Komma 4 2 3 4 2" xfId="7091"/>
    <cellStyle name="Komma 4 2 3 5" xfId="3767"/>
    <cellStyle name="Komma 4 2 3 5 2" xfId="8753"/>
    <cellStyle name="Komma 4 2 3 6" xfId="5430"/>
    <cellStyle name="Komma 4 2 3 7" xfId="10415"/>
    <cellStyle name="Komma 4 2 4" xfId="510"/>
    <cellStyle name="Komma 4 2 4 2" xfId="1345"/>
    <cellStyle name="Komma 4 2 4 2 2" xfId="3013"/>
    <cellStyle name="Komma 4 2 4 2 2 2" xfId="8002"/>
    <cellStyle name="Komma 4 2 4 2 3" xfId="4677"/>
    <cellStyle name="Komma 4 2 4 2 3 2" xfId="9663"/>
    <cellStyle name="Komma 4 2 4 2 4" xfId="6340"/>
    <cellStyle name="Komma 4 2 4 3" xfId="1904"/>
    <cellStyle name="Komma 4 2 4 3 2" xfId="6893"/>
    <cellStyle name="Komma 4 2 4 4" xfId="3569"/>
    <cellStyle name="Komma 4 2 4 4 2" xfId="8555"/>
    <cellStyle name="Komma 4 2 4 5" xfId="5232"/>
    <cellStyle name="Komma 4 2 4 6" xfId="10496"/>
    <cellStyle name="Komma 4 2 5" xfId="785"/>
    <cellStyle name="Komma 4 2 5 2" xfId="1619"/>
    <cellStyle name="Komma 4 2 5 2 2" xfId="3287"/>
    <cellStyle name="Komma 4 2 5 2 2 2" xfId="8276"/>
    <cellStyle name="Komma 4 2 5 2 3" xfId="4951"/>
    <cellStyle name="Komma 4 2 5 2 3 2" xfId="9937"/>
    <cellStyle name="Komma 4 2 5 2 4" xfId="6614"/>
    <cellStyle name="Komma 4 2 5 3" xfId="2456"/>
    <cellStyle name="Komma 4 2 5 3 2" xfId="7445"/>
    <cellStyle name="Komma 4 2 5 4" xfId="4120"/>
    <cellStyle name="Komma 4 2 5 4 2" xfId="9106"/>
    <cellStyle name="Komma 4 2 5 5" xfId="5783"/>
    <cellStyle name="Komma 4 2 5 6" xfId="10770"/>
    <cellStyle name="Komma 4 2 6" xfId="1066"/>
    <cellStyle name="Komma 4 2 6 2" xfId="2734"/>
    <cellStyle name="Komma 4 2 6 2 2" xfId="7723"/>
    <cellStyle name="Komma 4 2 6 3" xfId="4398"/>
    <cellStyle name="Komma 4 2 6 3 2" xfId="9384"/>
    <cellStyle name="Komma 4 2 6 4" xfId="6061"/>
    <cellStyle name="Komma 4 2 7" xfId="10216"/>
    <cellStyle name="Komma 4 2_Ark1" xfId="10977"/>
    <cellStyle name="Komma 4 3" xfId="192"/>
    <cellStyle name="Komma 4 3 2" xfId="564"/>
    <cellStyle name="Komma 4 3 2 2" xfId="1399"/>
    <cellStyle name="Komma 4 3 2 2 2" xfId="3067"/>
    <cellStyle name="Komma 4 3 2 2 2 2" xfId="8056"/>
    <cellStyle name="Komma 4 3 2 2 3" xfId="4731"/>
    <cellStyle name="Komma 4 3 2 2 3 2" xfId="9717"/>
    <cellStyle name="Komma 4 3 2 2 4" xfId="6394"/>
    <cellStyle name="Komma 4 3 2 3" xfId="2236"/>
    <cellStyle name="Komma 4 3 2 3 2" xfId="7225"/>
    <cellStyle name="Komma 4 3 2 4" xfId="3900"/>
    <cellStyle name="Komma 4 3 2 4 2" xfId="8886"/>
    <cellStyle name="Komma 4 3 2 5" xfId="5563"/>
    <cellStyle name="Komma 4 3 2 6" xfId="10550"/>
    <cellStyle name="Komma 4 3 3" xfId="839"/>
    <cellStyle name="Komma 4 3 3 2" xfId="1673"/>
    <cellStyle name="Komma 4 3 3 2 2" xfId="3341"/>
    <cellStyle name="Komma 4 3 3 2 2 2" xfId="8330"/>
    <cellStyle name="Komma 4 3 3 2 3" xfId="5005"/>
    <cellStyle name="Komma 4 3 3 2 3 2" xfId="9991"/>
    <cellStyle name="Komma 4 3 3 2 4" xfId="6668"/>
    <cellStyle name="Komma 4 3 3 3" xfId="2510"/>
    <cellStyle name="Komma 4 3 3 3 2" xfId="7499"/>
    <cellStyle name="Komma 4 3 3 4" xfId="4174"/>
    <cellStyle name="Komma 4 3 3 4 2" xfId="9160"/>
    <cellStyle name="Komma 4 3 3 5" xfId="5837"/>
    <cellStyle name="Komma 4 3 3 6" xfId="10824"/>
    <cellStyle name="Komma 4 3 4" xfId="1120"/>
    <cellStyle name="Komma 4 3 4 2" xfId="2788"/>
    <cellStyle name="Komma 4 3 4 2 2" xfId="7777"/>
    <cellStyle name="Komma 4 3 4 3" xfId="4452"/>
    <cellStyle name="Komma 4 3 4 3 2" xfId="9438"/>
    <cellStyle name="Komma 4 3 4 4" xfId="6115"/>
    <cellStyle name="Komma 4 3 5" xfId="1958"/>
    <cellStyle name="Komma 4 3 5 2" xfId="6947"/>
    <cellStyle name="Komma 4 3 6" xfId="3623"/>
    <cellStyle name="Komma 4 3 6 2" xfId="8609"/>
    <cellStyle name="Komma 4 3 7" xfId="5286"/>
    <cellStyle name="Komma 4 3 8" xfId="10270"/>
    <cellStyle name="Komma 4 3_Ark1" xfId="10978"/>
    <cellStyle name="Komma 4 4" xfId="247"/>
    <cellStyle name="Komma 4 4 2" xfId="619"/>
    <cellStyle name="Komma 4 4 2 2" xfId="1454"/>
    <cellStyle name="Komma 4 4 2 2 2" xfId="3122"/>
    <cellStyle name="Komma 4 4 2 2 2 2" xfId="8111"/>
    <cellStyle name="Komma 4 4 2 2 3" xfId="4786"/>
    <cellStyle name="Komma 4 4 2 2 3 2" xfId="9772"/>
    <cellStyle name="Komma 4 4 2 2 4" xfId="6449"/>
    <cellStyle name="Komma 4 4 2 3" xfId="2291"/>
    <cellStyle name="Komma 4 4 2 3 2" xfId="7280"/>
    <cellStyle name="Komma 4 4 2 4" xfId="3955"/>
    <cellStyle name="Komma 4 4 2 4 2" xfId="8941"/>
    <cellStyle name="Komma 4 4 2 5" xfId="5618"/>
    <cellStyle name="Komma 4 4 2 6" xfId="10605"/>
    <cellStyle name="Komma 4 4 3" xfId="894"/>
    <cellStyle name="Komma 4 4 3 2" xfId="1728"/>
    <cellStyle name="Komma 4 4 3 2 2" xfId="3396"/>
    <cellStyle name="Komma 4 4 3 2 2 2" xfId="8385"/>
    <cellStyle name="Komma 4 4 3 2 3" xfId="5060"/>
    <cellStyle name="Komma 4 4 3 2 3 2" xfId="10046"/>
    <cellStyle name="Komma 4 4 3 2 4" xfId="6723"/>
    <cellStyle name="Komma 4 4 3 3" xfId="2565"/>
    <cellStyle name="Komma 4 4 3 3 2" xfId="7554"/>
    <cellStyle name="Komma 4 4 3 4" xfId="4229"/>
    <cellStyle name="Komma 4 4 3 4 2" xfId="9215"/>
    <cellStyle name="Komma 4 4 3 5" xfId="5892"/>
    <cellStyle name="Komma 4 4 3 6" xfId="10879"/>
    <cellStyle name="Komma 4 4 4" xfId="1175"/>
    <cellStyle name="Komma 4 4 4 2" xfId="2843"/>
    <cellStyle name="Komma 4 4 4 2 2" xfId="7832"/>
    <cellStyle name="Komma 4 4 4 3" xfId="4507"/>
    <cellStyle name="Komma 4 4 4 3 2" xfId="9493"/>
    <cellStyle name="Komma 4 4 4 4" xfId="6170"/>
    <cellStyle name="Komma 4 4 5" xfId="2013"/>
    <cellStyle name="Komma 4 4 5 2" xfId="7002"/>
    <cellStyle name="Komma 4 4 6" xfId="3678"/>
    <cellStyle name="Komma 4 4 6 2" xfId="8664"/>
    <cellStyle name="Komma 4 4 7" xfId="5341"/>
    <cellStyle name="Komma 4 4 8" xfId="10325"/>
    <cellStyle name="Komma 4 5" xfId="303"/>
    <cellStyle name="Komma 4 5 2" xfId="675"/>
    <cellStyle name="Komma 4 5 2 2" xfId="1510"/>
    <cellStyle name="Komma 4 5 2 2 2" xfId="3178"/>
    <cellStyle name="Komma 4 5 2 2 2 2" xfId="8167"/>
    <cellStyle name="Komma 4 5 2 2 3" xfId="4842"/>
    <cellStyle name="Komma 4 5 2 2 3 2" xfId="9828"/>
    <cellStyle name="Komma 4 5 2 2 4" xfId="6505"/>
    <cellStyle name="Komma 4 5 2 3" xfId="2347"/>
    <cellStyle name="Komma 4 5 2 3 2" xfId="7336"/>
    <cellStyle name="Komma 4 5 2 4" xfId="4011"/>
    <cellStyle name="Komma 4 5 2 4 2" xfId="8997"/>
    <cellStyle name="Komma 4 5 2 5" xfId="5674"/>
    <cellStyle name="Komma 4 5 2 6" xfId="10661"/>
    <cellStyle name="Komma 4 5 3" xfId="950"/>
    <cellStyle name="Komma 4 5 3 2" xfId="1784"/>
    <cellStyle name="Komma 4 5 3 2 2" xfId="3452"/>
    <cellStyle name="Komma 4 5 3 2 2 2" xfId="8441"/>
    <cellStyle name="Komma 4 5 3 2 3" xfId="5116"/>
    <cellStyle name="Komma 4 5 3 2 3 2" xfId="10102"/>
    <cellStyle name="Komma 4 5 3 2 4" xfId="6779"/>
    <cellStyle name="Komma 4 5 3 3" xfId="2621"/>
    <cellStyle name="Komma 4 5 3 3 2" xfId="7610"/>
    <cellStyle name="Komma 4 5 3 4" xfId="4285"/>
    <cellStyle name="Komma 4 5 3 4 2" xfId="9271"/>
    <cellStyle name="Komma 4 5 3 5" xfId="5948"/>
    <cellStyle name="Komma 4 5 3 6" xfId="10935"/>
    <cellStyle name="Komma 4 5 4" xfId="1231"/>
    <cellStyle name="Komma 4 5 4 2" xfId="2899"/>
    <cellStyle name="Komma 4 5 4 2 2" xfId="7888"/>
    <cellStyle name="Komma 4 5 4 3" xfId="4563"/>
    <cellStyle name="Komma 4 5 4 3 2" xfId="9549"/>
    <cellStyle name="Komma 4 5 4 4" xfId="6226"/>
    <cellStyle name="Komma 4 5 5" xfId="2069"/>
    <cellStyle name="Komma 4 5 5 2" xfId="7058"/>
    <cellStyle name="Komma 4 5 6" xfId="3734"/>
    <cellStyle name="Komma 4 5 6 2" xfId="8720"/>
    <cellStyle name="Komma 4 5 7" xfId="5397"/>
    <cellStyle name="Komma 4 5 8" xfId="10381"/>
    <cellStyle name="Komma 4 6" xfId="456"/>
    <cellStyle name="Komma 4 6 2" xfId="1291"/>
    <cellStyle name="Komma 4 6 2 2" xfId="2959"/>
    <cellStyle name="Komma 4 6 2 2 2" xfId="7948"/>
    <cellStyle name="Komma 4 6 2 3" xfId="4623"/>
    <cellStyle name="Komma 4 6 2 3 2" xfId="9609"/>
    <cellStyle name="Komma 4 6 2 4" xfId="6286"/>
    <cellStyle name="Komma 4 6 3" xfId="2130"/>
    <cellStyle name="Komma 4 6 3 2" xfId="7119"/>
    <cellStyle name="Komma 4 6 4" xfId="3794"/>
    <cellStyle name="Komma 4 6 4 2" xfId="8780"/>
    <cellStyle name="Komma 4 6 5" xfId="5457"/>
    <cellStyle name="Komma 4 6 6" xfId="10424"/>
    <cellStyle name="Komma 4 7" xfId="731"/>
    <cellStyle name="Komma 4 7 2" xfId="1565"/>
    <cellStyle name="Komma 4 7 2 2" xfId="3233"/>
    <cellStyle name="Komma 4 7 2 2 2" xfId="8222"/>
    <cellStyle name="Komma 4 7 2 3" xfId="4897"/>
    <cellStyle name="Komma 4 7 2 3 2" xfId="9883"/>
    <cellStyle name="Komma 4 7 2 4" xfId="6560"/>
    <cellStyle name="Komma 4 7 3" xfId="2402"/>
    <cellStyle name="Komma 4 7 3 2" xfId="7391"/>
    <cellStyle name="Komma 4 7 4" xfId="4066"/>
    <cellStyle name="Komma 4 7 4 2" xfId="9052"/>
    <cellStyle name="Komma 4 7 5" xfId="5729"/>
    <cellStyle name="Komma 4 7 6" xfId="10716"/>
    <cellStyle name="Komma 4 8" xfId="1012"/>
    <cellStyle name="Komma 4 8 2" xfId="2680"/>
    <cellStyle name="Komma 4 8 2 2" xfId="7669"/>
    <cellStyle name="Komma 4 8 3" xfId="4344"/>
    <cellStyle name="Komma 4 8 3 2" xfId="9330"/>
    <cellStyle name="Komma 4 8 4" xfId="6007"/>
    <cellStyle name="Komma 4 9" xfId="1848"/>
    <cellStyle name="Komma 4 9 2" xfId="6840"/>
    <cellStyle name="Komma 4_Ark1" xfId="10979"/>
    <cellStyle name="Komma 5" xfId="96"/>
    <cellStyle name="Komma 5 10" xfId="1031"/>
    <cellStyle name="Komma 5 10 2" xfId="2699"/>
    <cellStyle name="Komma 5 10 2 2" xfId="7688"/>
    <cellStyle name="Komma 5 10 3" xfId="4363"/>
    <cellStyle name="Komma 5 10 3 2" xfId="9349"/>
    <cellStyle name="Komma 5 10 4" xfId="6026"/>
    <cellStyle name="Komma 5 11" xfId="1867"/>
    <cellStyle name="Komma 5 11 2" xfId="6859"/>
    <cellStyle name="Komma 5 12" xfId="3535"/>
    <cellStyle name="Komma 5 12 2" xfId="8521"/>
    <cellStyle name="Komma 5 13" xfId="5198"/>
    <cellStyle name="Komma 5 14" xfId="10181"/>
    <cellStyle name="Komma 5 2" xfId="156"/>
    <cellStyle name="Komma 5 2 2" xfId="529"/>
    <cellStyle name="Komma 5 2 2 2" xfId="1364"/>
    <cellStyle name="Komma 5 2 2 2 2" xfId="3032"/>
    <cellStyle name="Komma 5 2 2 2 2 2" xfId="8021"/>
    <cellStyle name="Komma 5 2 2 2 3" xfId="4696"/>
    <cellStyle name="Komma 5 2 2 2 3 2" xfId="9682"/>
    <cellStyle name="Komma 5 2 2 2 4" xfId="6359"/>
    <cellStyle name="Komma 5 2 2 3" xfId="2201"/>
    <cellStyle name="Komma 5 2 2 3 2" xfId="7190"/>
    <cellStyle name="Komma 5 2 2 4" xfId="3865"/>
    <cellStyle name="Komma 5 2 2 4 2" xfId="8851"/>
    <cellStyle name="Komma 5 2 2 5" xfId="5528"/>
    <cellStyle name="Komma 5 2 2 6" xfId="10515"/>
    <cellStyle name="Komma 5 2 3" xfId="804"/>
    <cellStyle name="Komma 5 2 3 2" xfId="1638"/>
    <cellStyle name="Komma 5 2 3 2 2" xfId="3306"/>
    <cellStyle name="Komma 5 2 3 2 2 2" xfId="8295"/>
    <cellStyle name="Komma 5 2 3 2 3" xfId="4970"/>
    <cellStyle name="Komma 5 2 3 2 3 2" xfId="9956"/>
    <cellStyle name="Komma 5 2 3 2 4" xfId="6633"/>
    <cellStyle name="Komma 5 2 3 3" xfId="2475"/>
    <cellStyle name="Komma 5 2 3 3 2" xfId="7464"/>
    <cellStyle name="Komma 5 2 3 4" xfId="4139"/>
    <cellStyle name="Komma 5 2 3 4 2" xfId="9125"/>
    <cellStyle name="Komma 5 2 3 5" xfId="5802"/>
    <cellStyle name="Komma 5 2 3 6" xfId="10789"/>
    <cellStyle name="Komma 5 2 4" xfId="1085"/>
    <cellStyle name="Komma 5 2 4 2" xfId="2753"/>
    <cellStyle name="Komma 5 2 4 2 2" xfId="7742"/>
    <cellStyle name="Komma 5 2 4 3" xfId="4417"/>
    <cellStyle name="Komma 5 2 4 3 2" xfId="9403"/>
    <cellStyle name="Komma 5 2 4 4" xfId="6080"/>
    <cellStyle name="Komma 5 2 5" xfId="1923"/>
    <cellStyle name="Komma 5 2 5 2" xfId="6912"/>
    <cellStyle name="Komma 5 2 6" xfId="3588"/>
    <cellStyle name="Komma 5 2 6 2" xfId="8574"/>
    <cellStyle name="Komma 5 2 7" xfId="5251"/>
    <cellStyle name="Komma 5 2 8" xfId="10235"/>
    <cellStyle name="Komma 5 3" xfId="211"/>
    <cellStyle name="Komma 5 3 2" xfId="583"/>
    <cellStyle name="Komma 5 3 2 2" xfId="1418"/>
    <cellStyle name="Komma 5 3 2 2 2" xfId="3086"/>
    <cellStyle name="Komma 5 3 2 2 2 2" xfId="8075"/>
    <cellStyle name="Komma 5 3 2 2 3" xfId="4750"/>
    <cellStyle name="Komma 5 3 2 2 3 2" xfId="9736"/>
    <cellStyle name="Komma 5 3 2 2 4" xfId="6413"/>
    <cellStyle name="Komma 5 3 2 3" xfId="2255"/>
    <cellStyle name="Komma 5 3 2 3 2" xfId="7244"/>
    <cellStyle name="Komma 5 3 2 4" xfId="3919"/>
    <cellStyle name="Komma 5 3 2 4 2" xfId="8905"/>
    <cellStyle name="Komma 5 3 2 5" xfId="5582"/>
    <cellStyle name="Komma 5 3 2 6" xfId="10569"/>
    <cellStyle name="Komma 5 3 3" xfId="858"/>
    <cellStyle name="Komma 5 3 3 2" xfId="1692"/>
    <cellStyle name="Komma 5 3 3 2 2" xfId="3360"/>
    <cellStyle name="Komma 5 3 3 2 2 2" xfId="8349"/>
    <cellStyle name="Komma 5 3 3 2 3" xfId="5024"/>
    <cellStyle name="Komma 5 3 3 2 3 2" xfId="10010"/>
    <cellStyle name="Komma 5 3 3 2 4" xfId="6687"/>
    <cellStyle name="Komma 5 3 3 3" xfId="2529"/>
    <cellStyle name="Komma 5 3 3 3 2" xfId="7518"/>
    <cellStyle name="Komma 5 3 3 4" xfId="4193"/>
    <cellStyle name="Komma 5 3 3 4 2" xfId="9179"/>
    <cellStyle name="Komma 5 3 3 5" xfId="5856"/>
    <cellStyle name="Komma 5 3 3 6" xfId="10843"/>
    <cellStyle name="Komma 5 3 4" xfId="1139"/>
    <cellStyle name="Komma 5 3 4 2" xfId="2807"/>
    <cellStyle name="Komma 5 3 4 2 2" xfId="7796"/>
    <cellStyle name="Komma 5 3 4 3" xfId="4471"/>
    <cellStyle name="Komma 5 3 4 3 2" xfId="9457"/>
    <cellStyle name="Komma 5 3 4 4" xfId="6134"/>
    <cellStyle name="Komma 5 3 5" xfId="1977"/>
    <cellStyle name="Komma 5 3 5 2" xfId="6966"/>
    <cellStyle name="Komma 5 3 6" xfId="3642"/>
    <cellStyle name="Komma 5 3 6 2" xfId="8628"/>
    <cellStyle name="Komma 5 3 7" xfId="5305"/>
    <cellStyle name="Komma 5 3 8" xfId="10289"/>
    <cellStyle name="Komma 5 4" xfId="266"/>
    <cellStyle name="Komma 5 4 2" xfId="638"/>
    <cellStyle name="Komma 5 4 2 2" xfId="1473"/>
    <cellStyle name="Komma 5 4 2 2 2" xfId="3141"/>
    <cellStyle name="Komma 5 4 2 2 2 2" xfId="8130"/>
    <cellStyle name="Komma 5 4 2 2 3" xfId="4805"/>
    <cellStyle name="Komma 5 4 2 2 3 2" xfId="9791"/>
    <cellStyle name="Komma 5 4 2 2 4" xfId="6468"/>
    <cellStyle name="Komma 5 4 2 3" xfId="2310"/>
    <cellStyle name="Komma 5 4 2 3 2" xfId="7299"/>
    <cellStyle name="Komma 5 4 2 4" xfId="3974"/>
    <cellStyle name="Komma 5 4 2 4 2" xfId="8960"/>
    <cellStyle name="Komma 5 4 2 5" xfId="5637"/>
    <cellStyle name="Komma 5 4 2 6" xfId="10624"/>
    <cellStyle name="Komma 5 4 3" xfId="913"/>
    <cellStyle name="Komma 5 4 3 2" xfId="1747"/>
    <cellStyle name="Komma 5 4 3 2 2" xfId="3415"/>
    <cellStyle name="Komma 5 4 3 2 2 2" xfId="8404"/>
    <cellStyle name="Komma 5 4 3 2 3" xfId="5079"/>
    <cellStyle name="Komma 5 4 3 2 3 2" xfId="10065"/>
    <cellStyle name="Komma 5 4 3 2 4" xfId="6742"/>
    <cellStyle name="Komma 5 4 3 3" xfId="2584"/>
    <cellStyle name="Komma 5 4 3 3 2" xfId="7573"/>
    <cellStyle name="Komma 5 4 3 4" xfId="4248"/>
    <cellStyle name="Komma 5 4 3 4 2" xfId="9234"/>
    <cellStyle name="Komma 5 4 3 5" xfId="5911"/>
    <cellStyle name="Komma 5 4 3 6" xfId="10898"/>
    <cellStyle name="Komma 5 4 4" xfId="1194"/>
    <cellStyle name="Komma 5 4 4 2" xfId="2862"/>
    <cellStyle name="Komma 5 4 4 2 2" xfId="7851"/>
    <cellStyle name="Komma 5 4 4 3" xfId="4526"/>
    <cellStyle name="Komma 5 4 4 3 2" xfId="9512"/>
    <cellStyle name="Komma 5 4 4 4" xfId="6189"/>
    <cellStyle name="Komma 5 4 5" xfId="2032"/>
    <cellStyle name="Komma 5 4 5 2" xfId="7021"/>
    <cellStyle name="Komma 5 4 6" xfId="3697"/>
    <cellStyle name="Komma 5 4 6 2" xfId="8683"/>
    <cellStyle name="Komma 5 4 7" xfId="5360"/>
    <cellStyle name="Komma 5 4 8" xfId="10344"/>
    <cellStyle name="Komma 5 5" xfId="322"/>
    <cellStyle name="Komma 5 5 2" xfId="694"/>
    <cellStyle name="Komma 5 5 2 2" xfId="1529"/>
    <cellStyle name="Komma 5 5 2 2 2" xfId="3197"/>
    <cellStyle name="Komma 5 5 2 2 2 2" xfId="8186"/>
    <cellStyle name="Komma 5 5 2 2 3" xfId="4861"/>
    <cellStyle name="Komma 5 5 2 2 3 2" xfId="9847"/>
    <cellStyle name="Komma 5 5 2 2 4" xfId="6524"/>
    <cellStyle name="Komma 5 5 2 3" xfId="2366"/>
    <cellStyle name="Komma 5 5 2 3 2" xfId="7355"/>
    <cellStyle name="Komma 5 5 2 4" xfId="4030"/>
    <cellStyle name="Komma 5 5 2 4 2" xfId="9016"/>
    <cellStyle name="Komma 5 5 2 5" xfId="5693"/>
    <cellStyle name="Komma 5 5 2 6" xfId="10680"/>
    <cellStyle name="Komma 5 5 3" xfId="969"/>
    <cellStyle name="Komma 5 5 3 2" xfId="1803"/>
    <cellStyle name="Komma 5 5 3 2 2" xfId="3471"/>
    <cellStyle name="Komma 5 5 3 2 2 2" xfId="8460"/>
    <cellStyle name="Komma 5 5 3 2 3" xfId="5135"/>
    <cellStyle name="Komma 5 5 3 2 3 2" xfId="10121"/>
    <cellStyle name="Komma 5 5 3 2 4" xfId="6798"/>
    <cellStyle name="Komma 5 5 3 3" xfId="2640"/>
    <cellStyle name="Komma 5 5 3 3 2" xfId="7629"/>
    <cellStyle name="Komma 5 5 3 4" xfId="4304"/>
    <cellStyle name="Komma 5 5 3 4 2" xfId="9290"/>
    <cellStyle name="Komma 5 5 3 5" xfId="5967"/>
    <cellStyle name="Komma 5 5 3 6" xfId="10954"/>
    <cellStyle name="Komma 5 5 4" xfId="1250"/>
    <cellStyle name="Komma 5 5 4 2" xfId="2918"/>
    <cellStyle name="Komma 5 5 4 2 2" xfId="7907"/>
    <cellStyle name="Komma 5 5 4 3" xfId="4582"/>
    <cellStyle name="Komma 5 5 4 3 2" xfId="9568"/>
    <cellStyle name="Komma 5 5 4 4" xfId="6245"/>
    <cellStyle name="Komma 5 5 5" xfId="2088"/>
    <cellStyle name="Komma 5 5 5 2" xfId="7077"/>
    <cellStyle name="Komma 5 5 6" xfId="3753"/>
    <cellStyle name="Komma 5 5 6 2" xfId="8739"/>
    <cellStyle name="Komma 5 5 7" xfId="5416"/>
    <cellStyle name="Komma 5 5 8" xfId="10400"/>
    <cellStyle name="Komma 5 6" xfId="420"/>
    <cellStyle name="Komma 5 6 2" xfId="981"/>
    <cellStyle name="Komma 5 6 2 2" xfId="1815"/>
    <cellStyle name="Komma 5 6 2 2 2" xfId="3483"/>
    <cellStyle name="Komma 5 6 2 2 2 2" xfId="8472"/>
    <cellStyle name="Komma 5 6 2 2 3" xfId="5147"/>
    <cellStyle name="Komma 5 6 2 2 3 2" xfId="10133"/>
    <cellStyle name="Komma 5 6 2 2 4" xfId="6810"/>
    <cellStyle name="Komma 5 6 2 3" xfId="2652"/>
    <cellStyle name="Komma 5 6 2 3 2" xfId="7641"/>
    <cellStyle name="Komma 5 6 2 4" xfId="4316"/>
    <cellStyle name="Komma 5 6 2 4 2" xfId="9302"/>
    <cellStyle name="Komma 5 6 2 5" xfId="5979"/>
    <cellStyle name="Komma 5 6 2 6" xfId="10966"/>
    <cellStyle name="Komma 5 6 3" xfId="1261"/>
    <cellStyle name="Komma 5 6 3 2" xfId="2929"/>
    <cellStyle name="Komma 5 6 3 2 2" xfId="7918"/>
    <cellStyle name="Komma 5 6 3 3" xfId="4593"/>
    <cellStyle name="Komma 5 6 3 3 2" xfId="9579"/>
    <cellStyle name="Komma 5 6 3 4" xfId="6256"/>
    <cellStyle name="Komma 5 6 4" xfId="2099"/>
    <cellStyle name="Komma 5 6 4 2" xfId="7088"/>
    <cellStyle name="Komma 5 6 5" xfId="3764"/>
    <cellStyle name="Komma 5 6 5 2" xfId="8750"/>
    <cellStyle name="Komma 5 6 6" xfId="5427"/>
    <cellStyle name="Komma 5 6 7" xfId="10412"/>
    <cellStyle name="Komma 5 7" xfId="415"/>
    <cellStyle name="Komma 5 8" xfId="475"/>
    <cellStyle name="Komma 5 8 2" xfId="1310"/>
    <cellStyle name="Komma 5 8 2 2" xfId="2978"/>
    <cellStyle name="Komma 5 8 2 2 2" xfId="7967"/>
    <cellStyle name="Komma 5 8 2 3" xfId="4642"/>
    <cellStyle name="Komma 5 8 2 3 2" xfId="9628"/>
    <cellStyle name="Komma 5 8 2 4" xfId="6305"/>
    <cellStyle name="Komma 5 8 3" xfId="2149"/>
    <cellStyle name="Komma 5 8 3 2" xfId="7138"/>
    <cellStyle name="Komma 5 8 4" xfId="3813"/>
    <cellStyle name="Komma 5 8 4 2" xfId="8799"/>
    <cellStyle name="Komma 5 8 5" xfId="5476"/>
    <cellStyle name="Komma 5 8 6" xfId="10461"/>
    <cellStyle name="Komma 5 9" xfId="750"/>
    <cellStyle name="Komma 5 9 2" xfId="1584"/>
    <cellStyle name="Komma 5 9 2 2" xfId="3252"/>
    <cellStyle name="Komma 5 9 2 2 2" xfId="8241"/>
    <cellStyle name="Komma 5 9 2 3" xfId="4916"/>
    <cellStyle name="Komma 5 9 2 3 2" xfId="9902"/>
    <cellStyle name="Komma 5 9 2 4" xfId="6579"/>
    <cellStyle name="Komma 5 9 3" xfId="2421"/>
    <cellStyle name="Komma 5 9 3 2" xfId="7410"/>
    <cellStyle name="Komma 5 9 4" xfId="4085"/>
    <cellStyle name="Komma 5 9 4 2" xfId="9071"/>
    <cellStyle name="Komma 5 9 5" xfId="5748"/>
    <cellStyle name="Komma 5 9 6" xfId="10735"/>
    <cellStyle name="Komma 5_Ark1" xfId="418"/>
    <cellStyle name="Komma 6" xfId="62"/>
    <cellStyle name="Komma 6 2" xfId="399"/>
    <cellStyle name="Komma 7" xfId="114"/>
    <cellStyle name="Komma 7 2" xfId="487"/>
    <cellStyle name="Komma 7 2 2" xfId="1322"/>
    <cellStyle name="Komma 7 2 2 2" xfId="2990"/>
    <cellStyle name="Komma 7 2 2 2 2" xfId="7979"/>
    <cellStyle name="Komma 7 2 2 3" xfId="4654"/>
    <cellStyle name="Komma 7 2 2 3 2" xfId="9640"/>
    <cellStyle name="Komma 7 2 2 4" xfId="6317"/>
    <cellStyle name="Komma 7 2 3" xfId="2161"/>
    <cellStyle name="Komma 7 2 3 2" xfId="7150"/>
    <cellStyle name="Komma 7 2 4" xfId="3825"/>
    <cellStyle name="Komma 7 2 4 2" xfId="8811"/>
    <cellStyle name="Komma 7 2 5" xfId="5488"/>
    <cellStyle name="Komma 7 2 6" xfId="10473"/>
    <cellStyle name="Komma 7 3" xfId="762"/>
    <cellStyle name="Komma 7 3 2" xfId="1596"/>
    <cellStyle name="Komma 7 3 2 2" xfId="3264"/>
    <cellStyle name="Komma 7 3 2 2 2" xfId="8253"/>
    <cellStyle name="Komma 7 3 2 3" xfId="4928"/>
    <cellStyle name="Komma 7 3 2 3 2" xfId="9914"/>
    <cellStyle name="Komma 7 3 2 4" xfId="6591"/>
    <cellStyle name="Komma 7 3 3" xfId="2433"/>
    <cellStyle name="Komma 7 3 3 2" xfId="7422"/>
    <cellStyle name="Komma 7 3 4" xfId="4097"/>
    <cellStyle name="Komma 7 3 4 2" xfId="9083"/>
    <cellStyle name="Komma 7 3 5" xfId="5760"/>
    <cellStyle name="Komma 7 3 6" xfId="10747"/>
    <cellStyle name="Komma 7 4" xfId="1043"/>
    <cellStyle name="Komma 7 4 2" xfId="2711"/>
    <cellStyle name="Komma 7 4 2 2" xfId="7700"/>
    <cellStyle name="Komma 7 4 3" xfId="4375"/>
    <cellStyle name="Komma 7 4 3 2" xfId="9361"/>
    <cellStyle name="Komma 7 4 4" xfId="6038"/>
    <cellStyle name="Komma 7 5" xfId="1881"/>
    <cellStyle name="Komma 7 5 2" xfId="6870"/>
    <cellStyle name="Komma 7 6" xfId="3546"/>
    <cellStyle name="Komma 7 6 2" xfId="8532"/>
    <cellStyle name="Komma 7 7" xfId="5209"/>
    <cellStyle name="Komma 7 8" xfId="10193"/>
    <cellStyle name="Komma 8" xfId="276"/>
    <cellStyle name="Komma 8 2" xfId="648"/>
    <cellStyle name="Komma 8 2 2" xfId="1483"/>
    <cellStyle name="Komma 8 2 2 2" xfId="3151"/>
    <cellStyle name="Komma 8 2 2 2 2" xfId="8140"/>
    <cellStyle name="Komma 8 2 2 3" xfId="4815"/>
    <cellStyle name="Komma 8 2 2 3 2" xfId="9801"/>
    <cellStyle name="Komma 8 2 2 4" xfId="6478"/>
    <cellStyle name="Komma 8 2 3" xfId="2320"/>
    <cellStyle name="Komma 8 2 3 2" xfId="7309"/>
    <cellStyle name="Komma 8 2 4" xfId="3984"/>
    <cellStyle name="Komma 8 2 4 2" xfId="8970"/>
    <cellStyle name="Komma 8 2 5" xfId="5647"/>
    <cellStyle name="Komma 8 2 6" xfId="10634"/>
    <cellStyle name="Komma 8 3" xfId="923"/>
    <cellStyle name="Komma 8 3 2" xfId="1757"/>
    <cellStyle name="Komma 8 3 2 2" xfId="3425"/>
    <cellStyle name="Komma 8 3 2 2 2" xfId="8414"/>
    <cellStyle name="Komma 8 3 2 3" xfId="5089"/>
    <cellStyle name="Komma 8 3 2 3 2" xfId="10075"/>
    <cellStyle name="Komma 8 3 2 4" xfId="6752"/>
    <cellStyle name="Komma 8 3 3" xfId="2594"/>
    <cellStyle name="Komma 8 3 3 2" xfId="7583"/>
    <cellStyle name="Komma 8 3 4" xfId="4258"/>
    <cellStyle name="Komma 8 3 4 2" xfId="9244"/>
    <cellStyle name="Komma 8 3 5" xfId="5921"/>
    <cellStyle name="Komma 8 3 6" xfId="10908"/>
    <cellStyle name="Komma 8 4" xfId="1204"/>
    <cellStyle name="Komma 8 4 2" xfId="2872"/>
    <cellStyle name="Komma 8 4 2 2" xfId="7861"/>
    <cellStyle name="Komma 8 4 3" xfId="4536"/>
    <cellStyle name="Komma 8 4 3 2" xfId="9522"/>
    <cellStyle name="Komma 8 4 4" xfId="6199"/>
    <cellStyle name="Komma 8 5" xfId="2042"/>
    <cellStyle name="Komma 8 5 2" xfId="7031"/>
    <cellStyle name="Komma 8 6" xfId="3707"/>
    <cellStyle name="Komma 8 6 2" xfId="8693"/>
    <cellStyle name="Komma 8 7" xfId="5370"/>
    <cellStyle name="Komma 8 8" xfId="10354"/>
    <cellStyle name="Komma 9" xfId="278"/>
    <cellStyle name="Komma 9 2" xfId="650"/>
    <cellStyle name="Komma 9 2 2" xfId="1485"/>
    <cellStyle name="Komma 9 2 2 2" xfId="3153"/>
    <cellStyle name="Komma 9 2 2 2 2" xfId="8142"/>
    <cellStyle name="Komma 9 2 2 3" xfId="4817"/>
    <cellStyle name="Komma 9 2 2 3 2" xfId="9803"/>
    <cellStyle name="Komma 9 2 2 4" xfId="6480"/>
    <cellStyle name="Komma 9 2 3" xfId="2322"/>
    <cellStyle name="Komma 9 2 3 2" xfId="7311"/>
    <cellStyle name="Komma 9 2 4" xfId="3986"/>
    <cellStyle name="Komma 9 2 4 2" xfId="8972"/>
    <cellStyle name="Komma 9 2 5" xfId="5649"/>
    <cellStyle name="Komma 9 2 6" xfId="10636"/>
    <cellStyle name="Komma 9 3" xfId="925"/>
    <cellStyle name="Komma 9 3 2" xfId="1759"/>
    <cellStyle name="Komma 9 3 2 2" xfId="3427"/>
    <cellStyle name="Komma 9 3 2 2 2" xfId="8416"/>
    <cellStyle name="Komma 9 3 2 3" xfId="5091"/>
    <cellStyle name="Komma 9 3 2 3 2" xfId="10077"/>
    <cellStyle name="Komma 9 3 2 4" xfId="6754"/>
    <cellStyle name="Komma 9 3 3" xfId="2596"/>
    <cellStyle name="Komma 9 3 3 2" xfId="7585"/>
    <cellStyle name="Komma 9 3 4" xfId="4260"/>
    <cellStyle name="Komma 9 3 4 2" xfId="9246"/>
    <cellStyle name="Komma 9 3 5" xfId="5923"/>
    <cellStyle name="Komma 9 3 6" xfId="10910"/>
    <cellStyle name="Komma 9 4" xfId="1206"/>
    <cellStyle name="Komma 9 4 2" xfId="2874"/>
    <cellStyle name="Komma 9 4 2 2" xfId="7863"/>
    <cellStyle name="Komma 9 4 3" xfId="4538"/>
    <cellStyle name="Komma 9 4 3 2" xfId="9524"/>
    <cellStyle name="Komma 9 4 4" xfId="6201"/>
    <cellStyle name="Komma 9 5" xfId="2044"/>
    <cellStyle name="Komma 9 5 2" xfId="7033"/>
    <cellStyle name="Komma 9 6" xfId="3709"/>
    <cellStyle name="Komma 9 6 2" xfId="8695"/>
    <cellStyle name="Komma 9 7" xfId="5372"/>
    <cellStyle name="Komma 9 8" xfId="10356"/>
    <cellStyle name="Kontroller celle" xfId="14" builtinId="23" customBuiltin="1"/>
    <cellStyle name="Linked Cell" xfId="382"/>
    <cellStyle name="Markeringsfarve1" xfId="19" builtinId="29" customBuiltin="1"/>
    <cellStyle name="Markeringsfarve2" xfId="23" builtinId="33" customBuiltin="1"/>
    <cellStyle name="Markeringsfarve3" xfId="27" builtinId="37" customBuiltin="1"/>
    <cellStyle name="Markeringsfarve4" xfId="31" builtinId="41" customBuiltin="1"/>
    <cellStyle name="Markeringsfarve5" xfId="35" builtinId="45" customBuiltin="1"/>
    <cellStyle name="Markeringsfarve6" xfId="39" builtinId="49" customBuiltin="1"/>
    <cellStyle name="Neutral" xfId="9" builtinId="28" customBuiltin="1"/>
    <cellStyle name="Neutral 2" xfId="383"/>
    <cellStyle name="Normal" xfId="0" builtinId="0"/>
    <cellStyle name="Normal 10" xfId="222"/>
    <cellStyle name="Normal 10 2" xfId="594"/>
    <cellStyle name="Normal 10 2 2" xfId="1429"/>
    <cellStyle name="Normal 10 2 2 2" xfId="3097"/>
    <cellStyle name="Normal 10 2 2 2 2" xfId="8086"/>
    <cellStyle name="Normal 10 2 2 3" xfId="4761"/>
    <cellStyle name="Normal 10 2 2 3 2" xfId="9747"/>
    <cellStyle name="Normal 10 2 2 4" xfId="6424"/>
    <cellStyle name="Normal 10 2 3" xfId="2266"/>
    <cellStyle name="Normal 10 2 3 2" xfId="7255"/>
    <cellStyle name="Normal 10 2 4" xfId="3930"/>
    <cellStyle name="Normal 10 2 4 2" xfId="8916"/>
    <cellStyle name="Normal 10 2 5" xfId="5593"/>
    <cellStyle name="Normal 10 2 6" xfId="10580"/>
    <cellStyle name="Normal 10 3" xfId="869"/>
    <cellStyle name="Normal 10 3 2" xfId="1703"/>
    <cellStyle name="Normal 10 3 2 2" xfId="3371"/>
    <cellStyle name="Normal 10 3 2 2 2" xfId="8360"/>
    <cellStyle name="Normal 10 3 2 3" xfId="5035"/>
    <cellStyle name="Normal 10 3 2 3 2" xfId="10021"/>
    <cellStyle name="Normal 10 3 2 4" xfId="6698"/>
    <cellStyle name="Normal 10 3 3" xfId="2540"/>
    <cellStyle name="Normal 10 3 3 2" xfId="7529"/>
    <cellStyle name="Normal 10 3 4" xfId="4204"/>
    <cellStyle name="Normal 10 3 4 2" xfId="9190"/>
    <cellStyle name="Normal 10 3 5" xfId="5867"/>
    <cellStyle name="Normal 10 3 6" xfId="10854"/>
    <cellStyle name="Normal 10 4" xfId="1150"/>
    <cellStyle name="Normal 10 4 2" xfId="2818"/>
    <cellStyle name="Normal 10 4 2 2" xfId="7807"/>
    <cellStyle name="Normal 10 4 3" xfId="4482"/>
    <cellStyle name="Normal 10 4 3 2" xfId="9468"/>
    <cellStyle name="Normal 10 4 4" xfId="6145"/>
    <cellStyle name="Normal 10 5" xfId="1988"/>
    <cellStyle name="Normal 10 5 2" xfId="6977"/>
    <cellStyle name="Normal 10 6" xfId="3653"/>
    <cellStyle name="Normal 10 6 2" xfId="8639"/>
    <cellStyle name="Normal 10 7" xfId="5316"/>
    <cellStyle name="Normal 10 8" xfId="10300"/>
    <cellStyle name="Normal 11" xfId="277"/>
    <cellStyle name="Normal 11 2" xfId="649"/>
    <cellStyle name="Normal 11 2 2" xfId="1484"/>
    <cellStyle name="Normal 11 2 2 2" xfId="3152"/>
    <cellStyle name="Normal 11 2 2 2 2" xfId="8141"/>
    <cellStyle name="Normal 11 2 2 3" xfId="4816"/>
    <cellStyle name="Normal 11 2 2 3 2" xfId="9802"/>
    <cellStyle name="Normal 11 2 2 4" xfId="6479"/>
    <cellStyle name="Normal 11 2 3" xfId="2321"/>
    <cellStyle name="Normal 11 2 3 2" xfId="7310"/>
    <cellStyle name="Normal 11 2 4" xfId="3985"/>
    <cellStyle name="Normal 11 2 4 2" xfId="8971"/>
    <cellStyle name="Normal 11 2 5" xfId="5648"/>
    <cellStyle name="Normal 11 2 6" xfId="10635"/>
    <cellStyle name="Normal 11 3" xfId="924"/>
    <cellStyle name="Normal 11 3 2" xfId="1758"/>
    <cellStyle name="Normal 11 3 2 2" xfId="3426"/>
    <cellStyle name="Normal 11 3 2 2 2" xfId="8415"/>
    <cellStyle name="Normal 11 3 2 3" xfId="5090"/>
    <cellStyle name="Normal 11 3 2 3 2" xfId="10076"/>
    <cellStyle name="Normal 11 3 2 4" xfId="6753"/>
    <cellStyle name="Normal 11 3 3" xfId="2595"/>
    <cellStyle name="Normal 11 3 3 2" xfId="7584"/>
    <cellStyle name="Normal 11 3 4" xfId="4259"/>
    <cellStyle name="Normal 11 3 4 2" xfId="9245"/>
    <cellStyle name="Normal 11 3 5" xfId="5922"/>
    <cellStyle name="Normal 11 3 6" xfId="10909"/>
    <cellStyle name="Normal 11 4" xfId="1205"/>
    <cellStyle name="Normal 11 4 2" xfId="2873"/>
    <cellStyle name="Normal 11 4 2 2" xfId="7862"/>
    <cellStyle name="Normal 11 4 3" xfId="4537"/>
    <cellStyle name="Normal 11 4 3 2" xfId="9523"/>
    <cellStyle name="Normal 11 4 4" xfId="6200"/>
    <cellStyle name="Normal 11 5" xfId="2043"/>
    <cellStyle name="Normal 11 5 2" xfId="7032"/>
    <cellStyle name="Normal 11 6" xfId="3708"/>
    <cellStyle name="Normal 11 6 2" xfId="8694"/>
    <cellStyle name="Normal 11 7" xfId="5371"/>
    <cellStyle name="Normal 11 8" xfId="10355"/>
    <cellStyle name="Normal 12" xfId="110"/>
    <cellStyle name="Normal 12 2" xfId="422"/>
    <cellStyle name="Normal 13" xfId="429"/>
    <cellStyle name="Normal 13 2" xfId="987"/>
    <cellStyle name="Normal 13 3" xfId="986"/>
    <cellStyle name="Normal 13 3 2" xfId="1820"/>
    <cellStyle name="Normal 13 3 3" xfId="1819"/>
    <cellStyle name="Normal 13 3 4" xfId="10970"/>
    <cellStyle name="Normal 13 4" xfId="2104"/>
    <cellStyle name="Normal 13 4 2" xfId="7093"/>
    <cellStyle name="Normal 13 5" xfId="705"/>
    <cellStyle name="Normal 13_Bilag med pot og krav" xfId="10983"/>
    <cellStyle name="Normal 14" xfId="431"/>
    <cellStyle name="Normal 14 2" xfId="1266"/>
    <cellStyle name="Normal 14 2 2" xfId="2934"/>
    <cellStyle name="Normal 14 2 2 2" xfId="7923"/>
    <cellStyle name="Normal 14 2 3" xfId="4598"/>
    <cellStyle name="Normal 14 2 3 2" xfId="9584"/>
    <cellStyle name="Normal 14 2 4" xfId="6261"/>
    <cellStyle name="Normal 14 3" xfId="2105"/>
    <cellStyle name="Normal 14 3 2" xfId="7094"/>
    <cellStyle name="Normal 14 4" xfId="3769"/>
    <cellStyle name="Normal 14 4 2" xfId="8755"/>
    <cellStyle name="Normal 14 5" xfId="5432"/>
    <cellStyle name="Normal 14 6" xfId="10437"/>
    <cellStyle name="Normal 15" xfId="706"/>
    <cellStyle name="Normal 15 2" xfId="1540"/>
    <cellStyle name="Normal 15 2 2" xfId="3208"/>
    <cellStyle name="Normal 15 2 2 2" xfId="8197"/>
    <cellStyle name="Normal 15 2 3" xfId="4872"/>
    <cellStyle name="Normal 15 2 3 2" xfId="9858"/>
    <cellStyle name="Normal 15 2 4" xfId="6535"/>
    <cellStyle name="Normal 15 3" xfId="2377"/>
    <cellStyle name="Normal 15 3 2" xfId="7366"/>
    <cellStyle name="Normal 15 4" xfId="3488"/>
    <cellStyle name="Normal 15 5" xfId="4041"/>
    <cellStyle name="Normal 15 5 2" xfId="9027"/>
    <cellStyle name="Normal 15 6" xfId="5704"/>
    <cellStyle name="Normal 15 7" xfId="10691"/>
    <cellStyle name="Normal 16" xfId="1821"/>
    <cellStyle name="Normal 17" xfId="988"/>
    <cellStyle name="Normal 17 2" xfId="2656"/>
    <cellStyle name="Normal 17 2 2" xfId="7645"/>
    <cellStyle name="Normal 17 3" xfId="4320"/>
    <cellStyle name="Normal 17 3 2" xfId="9306"/>
    <cellStyle name="Normal 17 4" xfId="5983"/>
    <cellStyle name="Normal 18" xfId="1822"/>
    <cellStyle name="Normal 18 2" xfId="6814"/>
    <cellStyle name="Normal 19" xfId="3490"/>
    <cellStyle name="Normal 19 2" xfId="8476"/>
    <cellStyle name="Normal 2" xfId="43"/>
    <cellStyle name="Normal 2 2" xfId="44"/>
    <cellStyle name="Normal 2 2 2" xfId="87"/>
    <cellStyle name="Normal 2 2 2 2" xfId="405"/>
    <cellStyle name="Normal 2 2 3" xfId="392"/>
    <cellStyle name="Normal 2 3" xfId="50"/>
    <cellStyle name="Normal 2 3 2" xfId="86"/>
    <cellStyle name="Normal 2 3 2 2" xfId="404"/>
    <cellStyle name="Normal 2 3 3" xfId="182"/>
    <cellStyle name="Normal 2 3 4" xfId="424"/>
    <cellStyle name="Normal 2 3 5" xfId="1877"/>
    <cellStyle name="Normal 2 3_Ark1" xfId="10980"/>
    <cellStyle name="Normal 2 4" xfId="107"/>
    <cellStyle name="Normal 2 4 2" xfId="390"/>
    <cellStyle name="Normal 2 4 3" xfId="411"/>
    <cellStyle name="Normal 2 4 4" xfId="425"/>
    <cellStyle name="Normal 2 4 5" xfId="1878"/>
    <cellStyle name="Normal 2 5" xfId="391"/>
    <cellStyle name="Normal 20" xfId="430"/>
    <cellStyle name="Normal 20 2" xfId="5153"/>
    <cellStyle name="Normal 20 3" xfId="10981"/>
    <cellStyle name="Normal 20 4" xfId="10975"/>
    <cellStyle name="Normal 20 5" xfId="10973"/>
    <cellStyle name="Normal 20 6" xfId="10971"/>
    <cellStyle name="Normal 21" xfId="10137"/>
    <cellStyle name="Normal 22" xfId="5151"/>
    <cellStyle name="Normal 22 2" xfId="10982"/>
    <cellStyle name="Normal 22 3" xfId="10976"/>
    <cellStyle name="Normal 22 4" xfId="10974"/>
    <cellStyle name="Normal 22 5" xfId="10972"/>
    <cellStyle name="Normal 3" xfId="1"/>
    <cellStyle name="Normal 3 10" xfId="10138"/>
    <cellStyle name="Normal 3 2" xfId="46"/>
    <cellStyle name="Normal 3 2 2" xfId="89"/>
    <cellStyle name="Normal 3 2 2 2" xfId="406"/>
    <cellStyle name="Normal 3 2 3" xfId="394"/>
    <cellStyle name="Normal 3 3" xfId="45"/>
    <cellStyle name="Normal 3 3 2" xfId="90"/>
    <cellStyle name="Normal 3 3 2 2" xfId="407"/>
    <cellStyle name="Normal 3 3 3" xfId="393"/>
    <cellStyle name="Normal 3 4" xfId="88"/>
    <cellStyle name="Normal 3 4 10" xfId="3532"/>
    <cellStyle name="Normal 3 4 10 2" xfId="8518"/>
    <cellStyle name="Normal 3 4 11" xfId="5195"/>
    <cellStyle name="Normal 3 4 12" xfId="10178"/>
    <cellStyle name="Normal 3 4 2" xfId="153"/>
    <cellStyle name="Normal 3 4 2 2" xfId="526"/>
    <cellStyle name="Normal 3 4 2 2 2" xfId="1361"/>
    <cellStyle name="Normal 3 4 2 2 2 2" xfId="3029"/>
    <cellStyle name="Normal 3 4 2 2 2 2 2" xfId="8018"/>
    <cellStyle name="Normal 3 4 2 2 2 3" xfId="4693"/>
    <cellStyle name="Normal 3 4 2 2 2 3 2" xfId="9679"/>
    <cellStyle name="Normal 3 4 2 2 2 4" xfId="6356"/>
    <cellStyle name="Normal 3 4 2 2 3" xfId="2198"/>
    <cellStyle name="Normal 3 4 2 2 3 2" xfId="7187"/>
    <cellStyle name="Normal 3 4 2 2 4" xfId="3862"/>
    <cellStyle name="Normal 3 4 2 2 4 2" xfId="8848"/>
    <cellStyle name="Normal 3 4 2 2 5" xfId="5525"/>
    <cellStyle name="Normal 3 4 2 2 6" xfId="10512"/>
    <cellStyle name="Normal 3 4 2 3" xfId="801"/>
    <cellStyle name="Normal 3 4 2 3 2" xfId="1635"/>
    <cellStyle name="Normal 3 4 2 3 2 2" xfId="3303"/>
    <cellStyle name="Normal 3 4 2 3 2 2 2" xfId="8292"/>
    <cellStyle name="Normal 3 4 2 3 2 3" xfId="4967"/>
    <cellStyle name="Normal 3 4 2 3 2 3 2" xfId="9953"/>
    <cellStyle name="Normal 3 4 2 3 2 4" xfId="6630"/>
    <cellStyle name="Normal 3 4 2 3 3" xfId="2472"/>
    <cellStyle name="Normal 3 4 2 3 3 2" xfId="7461"/>
    <cellStyle name="Normal 3 4 2 3 4" xfId="4136"/>
    <cellStyle name="Normal 3 4 2 3 4 2" xfId="9122"/>
    <cellStyle name="Normal 3 4 2 3 5" xfId="5799"/>
    <cellStyle name="Normal 3 4 2 3 6" xfId="10786"/>
    <cellStyle name="Normal 3 4 2 4" xfId="1082"/>
    <cellStyle name="Normal 3 4 2 4 2" xfId="2750"/>
    <cellStyle name="Normal 3 4 2 4 2 2" xfId="7739"/>
    <cellStyle name="Normal 3 4 2 4 3" xfId="4414"/>
    <cellStyle name="Normal 3 4 2 4 3 2" xfId="9400"/>
    <cellStyle name="Normal 3 4 2 4 4" xfId="6077"/>
    <cellStyle name="Normal 3 4 2 5" xfId="1920"/>
    <cellStyle name="Normal 3 4 2 5 2" xfId="6909"/>
    <cellStyle name="Normal 3 4 2 6" xfId="3585"/>
    <cellStyle name="Normal 3 4 2 6 2" xfId="8571"/>
    <cellStyle name="Normal 3 4 2 7" xfId="5248"/>
    <cellStyle name="Normal 3 4 2 8" xfId="10232"/>
    <cellStyle name="Normal 3 4 3" xfId="208"/>
    <cellStyle name="Normal 3 4 3 2" xfId="580"/>
    <cellStyle name="Normal 3 4 3 2 2" xfId="1415"/>
    <cellStyle name="Normal 3 4 3 2 2 2" xfId="3083"/>
    <cellStyle name="Normal 3 4 3 2 2 2 2" xfId="8072"/>
    <cellStyle name="Normal 3 4 3 2 2 3" xfId="4747"/>
    <cellStyle name="Normal 3 4 3 2 2 3 2" xfId="9733"/>
    <cellStyle name="Normal 3 4 3 2 2 4" xfId="6410"/>
    <cellStyle name="Normal 3 4 3 2 3" xfId="2252"/>
    <cellStyle name="Normal 3 4 3 2 3 2" xfId="7241"/>
    <cellStyle name="Normal 3 4 3 2 4" xfId="3916"/>
    <cellStyle name="Normal 3 4 3 2 4 2" xfId="8902"/>
    <cellStyle name="Normal 3 4 3 2 5" xfId="5579"/>
    <cellStyle name="Normal 3 4 3 2 6" xfId="10566"/>
    <cellStyle name="Normal 3 4 3 3" xfId="855"/>
    <cellStyle name="Normal 3 4 3 3 2" xfId="1689"/>
    <cellStyle name="Normal 3 4 3 3 2 2" xfId="3357"/>
    <cellStyle name="Normal 3 4 3 3 2 2 2" xfId="8346"/>
    <cellStyle name="Normal 3 4 3 3 2 3" xfId="5021"/>
    <cellStyle name="Normal 3 4 3 3 2 3 2" xfId="10007"/>
    <cellStyle name="Normal 3 4 3 3 2 4" xfId="6684"/>
    <cellStyle name="Normal 3 4 3 3 3" xfId="2526"/>
    <cellStyle name="Normal 3 4 3 3 3 2" xfId="7515"/>
    <cellStyle name="Normal 3 4 3 3 4" xfId="4190"/>
    <cellStyle name="Normal 3 4 3 3 4 2" xfId="9176"/>
    <cellStyle name="Normal 3 4 3 3 5" xfId="5853"/>
    <cellStyle name="Normal 3 4 3 3 6" xfId="10840"/>
    <cellStyle name="Normal 3 4 3 4" xfId="1136"/>
    <cellStyle name="Normal 3 4 3 4 2" xfId="2804"/>
    <cellStyle name="Normal 3 4 3 4 2 2" xfId="7793"/>
    <cellStyle name="Normal 3 4 3 4 3" xfId="4468"/>
    <cellStyle name="Normal 3 4 3 4 3 2" xfId="9454"/>
    <cellStyle name="Normal 3 4 3 4 4" xfId="6131"/>
    <cellStyle name="Normal 3 4 3 5" xfId="1974"/>
    <cellStyle name="Normal 3 4 3 5 2" xfId="6963"/>
    <cellStyle name="Normal 3 4 3 6" xfId="3639"/>
    <cellStyle name="Normal 3 4 3 6 2" xfId="8625"/>
    <cellStyle name="Normal 3 4 3 7" xfId="5302"/>
    <cellStyle name="Normal 3 4 3 8" xfId="10286"/>
    <cellStyle name="Normal 3 4 4" xfId="263"/>
    <cellStyle name="Normal 3 4 4 2" xfId="635"/>
    <cellStyle name="Normal 3 4 4 2 2" xfId="1470"/>
    <cellStyle name="Normal 3 4 4 2 2 2" xfId="3138"/>
    <cellStyle name="Normal 3 4 4 2 2 2 2" xfId="8127"/>
    <cellStyle name="Normal 3 4 4 2 2 3" xfId="4802"/>
    <cellStyle name="Normal 3 4 4 2 2 3 2" xfId="9788"/>
    <cellStyle name="Normal 3 4 4 2 2 4" xfId="6465"/>
    <cellStyle name="Normal 3 4 4 2 3" xfId="2307"/>
    <cellStyle name="Normal 3 4 4 2 3 2" xfId="7296"/>
    <cellStyle name="Normal 3 4 4 2 4" xfId="3971"/>
    <cellStyle name="Normal 3 4 4 2 4 2" xfId="8957"/>
    <cellStyle name="Normal 3 4 4 2 5" xfId="5634"/>
    <cellStyle name="Normal 3 4 4 2 6" xfId="10621"/>
    <cellStyle name="Normal 3 4 4 3" xfId="910"/>
    <cellStyle name="Normal 3 4 4 3 2" xfId="1744"/>
    <cellStyle name="Normal 3 4 4 3 2 2" xfId="3412"/>
    <cellStyle name="Normal 3 4 4 3 2 2 2" xfId="8401"/>
    <cellStyle name="Normal 3 4 4 3 2 3" xfId="5076"/>
    <cellStyle name="Normal 3 4 4 3 2 3 2" xfId="10062"/>
    <cellStyle name="Normal 3 4 4 3 2 4" xfId="6739"/>
    <cellStyle name="Normal 3 4 4 3 3" xfId="2581"/>
    <cellStyle name="Normal 3 4 4 3 3 2" xfId="7570"/>
    <cellStyle name="Normal 3 4 4 3 4" xfId="4245"/>
    <cellStyle name="Normal 3 4 4 3 4 2" xfId="9231"/>
    <cellStyle name="Normal 3 4 4 3 5" xfId="5908"/>
    <cellStyle name="Normal 3 4 4 3 6" xfId="10895"/>
    <cellStyle name="Normal 3 4 4 4" xfId="1191"/>
    <cellStyle name="Normal 3 4 4 4 2" xfId="2859"/>
    <cellStyle name="Normal 3 4 4 4 2 2" xfId="7848"/>
    <cellStyle name="Normal 3 4 4 4 3" xfId="4523"/>
    <cellStyle name="Normal 3 4 4 4 3 2" xfId="9509"/>
    <cellStyle name="Normal 3 4 4 4 4" xfId="6186"/>
    <cellStyle name="Normal 3 4 4 5" xfId="2029"/>
    <cellStyle name="Normal 3 4 4 5 2" xfId="7018"/>
    <cellStyle name="Normal 3 4 4 6" xfId="3694"/>
    <cellStyle name="Normal 3 4 4 6 2" xfId="8680"/>
    <cellStyle name="Normal 3 4 4 7" xfId="5357"/>
    <cellStyle name="Normal 3 4 4 8" xfId="10341"/>
    <cellStyle name="Normal 3 4 5" xfId="319"/>
    <cellStyle name="Normal 3 4 5 2" xfId="691"/>
    <cellStyle name="Normal 3 4 5 2 2" xfId="1526"/>
    <cellStyle name="Normal 3 4 5 2 2 2" xfId="3194"/>
    <cellStyle name="Normal 3 4 5 2 2 2 2" xfId="8183"/>
    <cellStyle name="Normal 3 4 5 2 2 3" xfId="4858"/>
    <cellStyle name="Normal 3 4 5 2 2 3 2" xfId="9844"/>
    <cellStyle name="Normal 3 4 5 2 2 4" xfId="6521"/>
    <cellStyle name="Normal 3 4 5 2 3" xfId="2363"/>
    <cellStyle name="Normal 3 4 5 2 3 2" xfId="7352"/>
    <cellStyle name="Normal 3 4 5 2 4" xfId="4027"/>
    <cellStyle name="Normal 3 4 5 2 4 2" xfId="9013"/>
    <cellStyle name="Normal 3 4 5 2 5" xfId="5690"/>
    <cellStyle name="Normal 3 4 5 2 6" xfId="10677"/>
    <cellStyle name="Normal 3 4 5 3" xfId="966"/>
    <cellStyle name="Normal 3 4 5 3 2" xfId="1800"/>
    <cellStyle name="Normal 3 4 5 3 2 2" xfId="3468"/>
    <cellStyle name="Normal 3 4 5 3 2 2 2" xfId="8457"/>
    <cellStyle name="Normal 3 4 5 3 2 3" xfId="5132"/>
    <cellStyle name="Normal 3 4 5 3 2 3 2" xfId="10118"/>
    <cellStyle name="Normal 3 4 5 3 2 4" xfId="6795"/>
    <cellStyle name="Normal 3 4 5 3 3" xfId="2637"/>
    <cellStyle name="Normal 3 4 5 3 3 2" xfId="7626"/>
    <cellStyle name="Normal 3 4 5 3 4" xfId="4301"/>
    <cellStyle name="Normal 3 4 5 3 4 2" xfId="9287"/>
    <cellStyle name="Normal 3 4 5 3 5" xfId="5964"/>
    <cellStyle name="Normal 3 4 5 3 6" xfId="10951"/>
    <cellStyle name="Normal 3 4 5 4" xfId="1247"/>
    <cellStyle name="Normal 3 4 5 4 2" xfId="2915"/>
    <cellStyle name="Normal 3 4 5 4 2 2" xfId="7904"/>
    <cellStyle name="Normal 3 4 5 4 3" xfId="4579"/>
    <cellStyle name="Normal 3 4 5 4 3 2" xfId="9565"/>
    <cellStyle name="Normal 3 4 5 4 4" xfId="6242"/>
    <cellStyle name="Normal 3 4 5 5" xfId="2085"/>
    <cellStyle name="Normal 3 4 5 5 2" xfId="7074"/>
    <cellStyle name="Normal 3 4 5 6" xfId="3750"/>
    <cellStyle name="Normal 3 4 5 6 2" xfId="8736"/>
    <cellStyle name="Normal 3 4 5 7" xfId="5413"/>
    <cellStyle name="Normal 3 4 5 8" xfId="10397"/>
    <cellStyle name="Normal 3 4 6" xfId="472"/>
    <cellStyle name="Normal 3 4 6 2" xfId="1307"/>
    <cellStyle name="Normal 3 4 6 2 2" xfId="2975"/>
    <cellStyle name="Normal 3 4 6 2 2 2" xfId="7964"/>
    <cellStyle name="Normal 3 4 6 2 3" xfId="4639"/>
    <cellStyle name="Normal 3 4 6 2 3 2" xfId="9625"/>
    <cellStyle name="Normal 3 4 6 2 4" xfId="6302"/>
    <cellStyle name="Normal 3 4 6 3" xfId="2146"/>
    <cellStyle name="Normal 3 4 6 3 2" xfId="7135"/>
    <cellStyle name="Normal 3 4 6 4" xfId="3810"/>
    <cellStyle name="Normal 3 4 6 4 2" xfId="8796"/>
    <cellStyle name="Normal 3 4 6 5" xfId="5473"/>
    <cellStyle name="Normal 3 4 6 6" xfId="10420"/>
    <cellStyle name="Normal 3 4 7" xfId="747"/>
    <cellStyle name="Normal 3 4 7 2" xfId="1581"/>
    <cellStyle name="Normal 3 4 7 2 2" xfId="3249"/>
    <cellStyle name="Normal 3 4 7 2 2 2" xfId="8238"/>
    <cellStyle name="Normal 3 4 7 2 3" xfId="4913"/>
    <cellStyle name="Normal 3 4 7 2 3 2" xfId="9899"/>
    <cellStyle name="Normal 3 4 7 2 4" xfId="6576"/>
    <cellStyle name="Normal 3 4 7 3" xfId="2418"/>
    <cellStyle name="Normal 3 4 7 3 2" xfId="7407"/>
    <cellStyle name="Normal 3 4 7 4" xfId="4082"/>
    <cellStyle name="Normal 3 4 7 4 2" xfId="9068"/>
    <cellStyle name="Normal 3 4 7 5" xfId="5745"/>
    <cellStyle name="Normal 3 4 7 6" xfId="10732"/>
    <cellStyle name="Normal 3 4 8" xfId="1028"/>
    <cellStyle name="Normal 3 4 8 2" xfId="2696"/>
    <cellStyle name="Normal 3 4 8 2 2" xfId="7685"/>
    <cellStyle name="Normal 3 4 8 3" xfId="4360"/>
    <cellStyle name="Normal 3 4 8 3 2" xfId="9346"/>
    <cellStyle name="Normal 3 4 8 4" xfId="6023"/>
    <cellStyle name="Normal 3 4 9" xfId="1864"/>
    <cellStyle name="Normal 3 4 9 2" xfId="6856"/>
    <cellStyle name="Normal 3 5" xfId="106"/>
    <cellStyle name="Normal 3 5 10" xfId="5176"/>
    <cellStyle name="Normal 3 5 11" xfId="10191"/>
    <cellStyle name="Normal 3 5 2" xfId="221"/>
    <cellStyle name="Normal 3 5 2 2" xfId="593"/>
    <cellStyle name="Normal 3 5 2 2 2" xfId="1428"/>
    <cellStyle name="Normal 3 5 2 2 2 2" xfId="3096"/>
    <cellStyle name="Normal 3 5 2 2 2 2 2" xfId="8085"/>
    <cellStyle name="Normal 3 5 2 2 2 3" xfId="4760"/>
    <cellStyle name="Normal 3 5 2 2 2 3 2" xfId="9746"/>
    <cellStyle name="Normal 3 5 2 2 2 4" xfId="6423"/>
    <cellStyle name="Normal 3 5 2 2 3" xfId="2265"/>
    <cellStyle name="Normal 3 5 2 2 3 2" xfId="7254"/>
    <cellStyle name="Normal 3 5 2 2 4" xfId="3929"/>
    <cellStyle name="Normal 3 5 2 2 4 2" xfId="8915"/>
    <cellStyle name="Normal 3 5 2 2 5" xfId="5592"/>
    <cellStyle name="Normal 3 5 2 2 6" xfId="10579"/>
    <cellStyle name="Normal 3 5 2 3" xfId="868"/>
    <cellStyle name="Normal 3 5 2 3 2" xfId="1702"/>
    <cellStyle name="Normal 3 5 2 3 2 2" xfId="3370"/>
    <cellStyle name="Normal 3 5 2 3 2 2 2" xfId="8359"/>
    <cellStyle name="Normal 3 5 2 3 2 3" xfId="5034"/>
    <cellStyle name="Normal 3 5 2 3 2 3 2" xfId="10020"/>
    <cellStyle name="Normal 3 5 2 3 2 4" xfId="6697"/>
    <cellStyle name="Normal 3 5 2 3 3" xfId="2539"/>
    <cellStyle name="Normal 3 5 2 3 3 2" xfId="7528"/>
    <cellStyle name="Normal 3 5 2 3 4" xfId="4203"/>
    <cellStyle name="Normal 3 5 2 3 4 2" xfId="9189"/>
    <cellStyle name="Normal 3 5 2 3 5" xfId="5866"/>
    <cellStyle name="Normal 3 5 2 3 6" xfId="10853"/>
    <cellStyle name="Normal 3 5 2 4" xfId="1149"/>
    <cellStyle name="Normal 3 5 2 4 2" xfId="2817"/>
    <cellStyle name="Normal 3 5 2 4 2 2" xfId="7806"/>
    <cellStyle name="Normal 3 5 2 4 3" xfId="4481"/>
    <cellStyle name="Normal 3 5 2 4 3 2" xfId="9467"/>
    <cellStyle name="Normal 3 5 2 4 4" xfId="6144"/>
    <cellStyle name="Normal 3 5 2 5" xfId="1987"/>
    <cellStyle name="Normal 3 5 2 5 2" xfId="6976"/>
    <cellStyle name="Normal 3 5 2 6" xfId="3652"/>
    <cellStyle name="Normal 3 5 2 6 2" xfId="8638"/>
    <cellStyle name="Normal 3 5 2 7" xfId="5315"/>
    <cellStyle name="Normal 3 5 2 8" xfId="10299"/>
    <cellStyle name="Normal 3 5 3" xfId="244"/>
    <cellStyle name="Normal 3 5 3 2" xfId="616"/>
    <cellStyle name="Normal 3 5 3 2 2" xfId="1451"/>
    <cellStyle name="Normal 3 5 3 2 2 2" xfId="3119"/>
    <cellStyle name="Normal 3 5 3 2 2 2 2" xfId="8108"/>
    <cellStyle name="Normal 3 5 3 2 2 3" xfId="4783"/>
    <cellStyle name="Normal 3 5 3 2 2 3 2" xfId="9769"/>
    <cellStyle name="Normal 3 5 3 2 2 4" xfId="6446"/>
    <cellStyle name="Normal 3 5 3 2 3" xfId="2288"/>
    <cellStyle name="Normal 3 5 3 2 3 2" xfId="7277"/>
    <cellStyle name="Normal 3 5 3 2 4" xfId="3952"/>
    <cellStyle name="Normal 3 5 3 2 4 2" xfId="8938"/>
    <cellStyle name="Normal 3 5 3 2 5" xfId="5615"/>
    <cellStyle name="Normal 3 5 3 2 6" xfId="10602"/>
    <cellStyle name="Normal 3 5 3 3" xfId="891"/>
    <cellStyle name="Normal 3 5 3 3 2" xfId="1725"/>
    <cellStyle name="Normal 3 5 3 3 2 2" xfId="3393"/>
    <cellStyle name="Normal 3 5 3 3 2 2 2" xfId="8382"/>
    <cellStyle name="Normal 3 5 3 3 2 3" xfId="5057"/>
    <cellStyle name="Normal 3 5 3 3 2 3 2" xfId="10043"/>
    <cellStyle name="Normal 3 5 3 3 2 4" xfId="6720"/>
    <cellStyle name="Normal 3 5 3 3 3" xfId="2562"/>
    <cellStyle name="Normal 3 5 3 3 3 2" xfId="7551"/>
    <cellStyle name="Normal 3 5 3 3 4" xfId="4226"/>
    <cellStyle name="Normal 3 5 3 3 4 2" xfId="9212"/>
    <cellStyle name="Normal 3 5 3 3 5" xfId="5889"/>
    <cellStyle name="Normal 3 5 3 3 6" xfId="10876"/>
    <cellStyle name="Normal 3 5 3 4" xfId="1172"/>
    <cellStyle name="Normal 3 5 3 4 2" xfId="2840"/>
    <cellStyle name="Normal 3 5 3 4 2 2" xfId="7829"/>
    <cellStyle name="Normal 3 5 3 4 3" xfId="4504"/>
    <cellStyle name="Normal 3 5 3 4 3 2" xfId="9490"/>
    <cellStyle name="Normal 3 5 3 4 4" xfId="6167"/>
    <cellStyle name="Normal 3 5 3 5" xfId="2010"/>
    <cellStyle name="Normal 3 5 3 5 2" xfId="6999"/>
    <cellStyle name="Normal 3 5 3 6" xfId="3675"/>
    <cellStyle name="Normal 3 5 3 6 2" xfId="8661"/>
    <cellStyle name="Normal 3 5 3 7" xfId="5338"/>
    <cellStyle name="Normal 3 5 3 8" xfId="10322"/>
    <cellStyle name="Normal 3 5 4" xfId="300"/>
    <cellStyle name="Normal 3 5 4 2" xfId="672"/>
    <cellStyle name="Normal 3 5 4 2 2" xfId="1507"/>
    <cellStyle name="Normal 3 5 4 2 2 2" xfId="3175"/>
    <cellStyle name="Normal 3 5 4 2 2 2 2" xfId="8164"/>
    <cellStyle name="Normal 3 5 4 2 2 3" xfId="4839"/>
    <cellStyle name="Normal 3 5 4 2 2 3 2" xfId="9825"/>
    <cellStyle name="Normal 3 5 4 2 2 4" xfId="6502"/>
    <cellStyle name="Normal 3 5 4 2 3" xfId="2344"/>
    <cellStyle name="Normal 3 5 4 2 3 2" xfId="7333"/>
    <cellStyle name="Normal 3 5 4 2 4" xfId="4008"/>
    <cellStyle name="Normal 3 5 4 2 4 2" xfId="8994"/>
    <cellStyle name="Normal 3 5 4 2 5" xfId="5671"/>
    <cellStyle name="Normal 3 5 4 2 6" xfId="10658"/>
    <cellStyle name="Normal 3 5 4 3" xfId="947"/>
    <cellStyle name="Normal 3 5 4 3 2" xfId="1781"/>
    <cellStyle name="Normal 3 5 4 3 2 2" xfId="3449"/>
    <cellStyle name="Normal 3 5 4 3 2 2 2" xfId="8438"/>
    <cellStyle name="Normal 3 5 4 3 2 3" xfId="5113"/>
    <cellStyle name="Normal 3 5 4 3 2 3 2" xfId="10099"/>
    <cellStyle name="Normal 3 5 4 3 2 4" xfId="6776"/>
    <cellStyle name="Normal 3 5 4 3 3" xfId="2618"/>
    <cellStyle name="Normal 3 5 4 3 3 2" xfId="7607"/>
    <cellStyle name="Normal 3 5 4 3 4" xfId="4282"/>
    <cellStyle name="Normal 3 5 4 3 4 2" xfId="9268"/>
    <cellStyle name="Normal 3 5 4 3 5" xfId="5945"/>
    <cellStyle name="Normal 3 5 4 3 6" xfId="10932"/>
    <cellStyle name="Normal 3 5 4 4" xfId="1228"/>
    <cellStyle name="Normal 3 5 4 4 2" xfId="2896"/>
    <cellStyle name="Normal 3 5 4 4 2 2" xfId="7885"/>
    <cellStyle name="Normal 3 5 4 4 3" xfId="4560"/>
    <cellStyle name="Normal 3 5 4 4 3 2" xfId="9546"/>
    <cellStyle name="Normal 3 5 4 4 4" xfId="6223"/>
    <cellStyle name="Normal 3 5 4 5" xfId="2066"/>
    <cellStyle name="Normal 3 5 4 5 2" xfId="7055"/>
    <cellStyle name="Normal 3 5 4 6" xfId="3731"/>
    <cellStyle name="Normal 3 5 4 6 2" xfId="8717"/>
    <cellStyle name="Normal 3 5 4 7" xfId="5394"/>
    <cellStyle name="Normal 3 5 4 8" xfId="10378"/>
    <cellStyle name="Normal 3 5 5" xfId="485"/>
    <cellStyle name="Normal 3 5 5 2" xfId="1320"/>
    <cellStyle name="Normal 3 5 5 2 2" xfId="2988"/>
    <cellStyle name="Normal 3 5 5 2 2 2" xfId="7977"/>
    <cellStyle name="Normal 3 5 5 2 3" xfId="4652"/>
    <cellStyle name="Normal 3 5 5 2 3 2" xfId="9638"/>
    <cellStyle name="Normal 3 5 5 2 4" xfId="6315"/>
    <cellStyle name="Normal 3 5 5 3" xfId="2159"/>
    <cellStyle name="Normal 3 5 5 3 2" xfId="7148"/>
    <cellStyle name="Normal 3 5 5 4" xfId="3823"/>
    <cellStyle name="Normal 3 5 5 4 2" xfId="8809"/>
    <cellStyle name="Normal 3 5 5 5" xfId="5486"/>
    <cellStyle name="Normal 3 5 5 6" xfId="10471"/>
    <cellStyle name="Normal 3 5 6" xfId="760"/>
    <cellStyle name="Normal 3 5 6 2" xfId="1594"/>
    <cellStyle name="Normal 3 5 6 2 2" xfId="3262"/>
    <cellStyle name="Normal 3 5 6 2 2 2" xfId="8251"/>
    <cellStyle name="Normal 3 5 6 2 3" xfId="4926"/>
    <cellStyle name="Normal 3 5 6 2 3 2" xfId="9912"/>
    <cellStyle name="Normal 3 5 6 2 4" xfId="6589"/>
    <cellStyle name="Normal 3 5 6 3" xfId="2431"/>
    <cellStyle name="Normal 3 5 6 3 2" xfId="7420"/>
    <cellStyle name="Normal 3 5 6 4" xfId="4095"/>
    <cellStyle name="Normal 3 5 6 4 2" xfId="9081"/>
    <cellStyle name="Normal 3 5 6 5" xfId="5758"/>
    <cellStyle name="Normal 3 5 6 6" xfId="10745"/>
    <cellStyle name="Normal 3 5 7" xfId="1041"/>
    <cellStyle name="Normal 3 5 7 2" xfId="2709"/>
    <cellStyle name="Normal 3 5 7 2 2" xfId="7698"/>
    <cellStyle name="Normal 3 5 7 3" xfId="4373"/>
    <cellStyle name="Normal 3 5 7 3 2" xfId="9359"/>
    <cellStyle name="Normal 3 5 7 4" xfId="6036"/>
    <cellStyle name="Normal 3 5 8" xfId="1845"/>
    <cellStyle name="Normal 3 5 8 2" xfId="6837"/>
    <cellStyle name="Normal 3 5 9" xfId="3513"/>
    <cellStyle name="Normal 3 5 9 2" xfId="8499"/>
    <cellStyle name="Normal 3 6" xfId="167"/>
    <cellStyle name="Normal 3 6 2" xfId="540"/>
    <cellStyle name="Normal 3 6 2 2" xfId="1375"/>
    <cellStyle name="Normal 3 6 2 2 2" xfId="3043"/>
    <cellStyle name="Normal 3 6 2 2 2 2" xfId="8032"/>
    <cellStyle name="Normal 3 6 2 2 3" xfId="4707"/>
    <cellStyle name="Normal 3 6 2 2 3 2" xfId="9693"/>
    <cellStyle name="Normal 3 6 2 2 4" xfId="6370"/>
    <cellStyle name="Normal 3 6 2 3" xfId="2212"/>
    <cellStyle name="Normal 3 6 2 3 2" xfId="7201"/>
    <cellStyle name="Normal 3 6 2 4" xfId="3876"/>
    <cellStyle name="Normal 3 6 2 4 2" xfId="8862"/>
    <cellStyle name="Normal 3 6 2 5" xfId="5539"/>
    <cellStyle name="Normal 3 6 2 6" xfId="10526"/>
    <cellStyle name="Normal 3 6 3" xfId="815"/>
    <cellStyle name="Normal 3 6 3 2" xfId="1649"/>
    <cellStyle name="Normal 3 6 3 2 2" xfId="3317"/>
    <cellStyle name="Normal 3 6 3 2 2 2" xfId="8306"/>
    <cellStyle name="Normal 3 6 3 2 3" xfId="4981"/>
    <cellStyle name="Normal 3 6 3 2 3 2" xfId="9967"/>
    <cellStyle name="Normal 3 6 3 2 4" xfId="6644"/>
    <cellStyle name="Normal 3 6 3 3" xfId="2486"/>
    <cellStyle name="Normal 3 6 3 3 2" xfId="7475"/>
    <cellStyle name="Normal 3 6 3 4" xfId="4150"/>
    <cellStyle name="Normal 3 6 3 4 2" xfId="9136"/>
    <cellStyle name="Normal 3 6 3 5" xfId="5813"/>
    <cellStyle name="Normal 3 6 3 6" xfId="10800"/>
    <cellStyle name="Normal 3 6 4" xfId="1096"/>
    <cellStyle name="Normal 3 6 4 2" xfId="2764"/>
    <cellStyle name="Normal 3 6 4 2 2" xfId="7753"/>
    <cellStyle name="Normal 3 6 4 3" xfId="4428"/>
    <cellStyle name="Normal 3 6 4 3 2" xfId="9414"/>
    <cellStyle name="Normal 3 6 4 4" xfId="6091"/>
    <cellStyle name="Normal 3 6 5" xfId="1934"/>
    <cellStyle name="Normal 3 6 5 2" xfId="6923"/>
    <cellStyle name="Normal 3 6 6" xfId="3599"/>
    <cellStyle name="Normal 3 6 6 2" xfId="8585"/>
    <cellStyle name="Normal 3 6 7" xfId="5262"/>
    <cellStyle name="Normal 3 6 8" xfId="10246"/>
    <cellStyle name="Normal 3 7" xfId="432"/>
    <cellStyle name="Normal 3 7 2" xfId="1267"/>
    <cellStyle name="Normal 3 7 2 2" xfId="2935"/>
    <cellStyle name="Normal 3 7 2 2 2" xfId="7924"/>
    <cellStyle name="Normal 3 7 2 3" xfId="4599"/>
    <cellStyle name="Normal 3 7 2 3 2" xfId="9585"/>
    <cellStyle name="Normal 3 7 2 4" xfId="6262"/>
    <cellStyle name="Normal 3 7 3" xfId="2106"/>
    <cellStyle name="Normal 3 7 3 2" xfId="7095"/>
    <cellStyle name="Normal 3 7 4" xfId="3770"/>
    <cellStyle name="Normal 3 7 4 2" xfId="8756"/>
    <cellStyle name="Normal 3 7 5" xfId="5433"/>
    <cellStyle name="Normal 3 7 6" xfId="10428"/>
    <cellStyle name="Normal 3 8" xfId="707"/>
    <cellStyle name="Normal 3 8 2" xfId="1541"/>
    <cellStyle name="Normal 3 8 2 2" xfId="3209"/>
    <cellStyle name="Normal 3 8 2 2 2" xfId="8198"/>
    <cellStyle name="Normal 3 8 2 3" xfId="4873"/>
    <cellStyle name="Normal 3 8 2 3 2" xfId="9859"/>
    <cellStyle name="Normal 3 8 2 4" xfId="6536"/>
    <cellStyle name="Normal 3 8 3" xfId="2378"/>
    <cellStyle name="Normal 3 8 3 2" xfId="7367"/>
    <cellStyle name="Normal 3 8 4" xfId="4042"/>
    <cellStyle name="Normal 3 8 4 2" xfId="9028"/>
    <cellStyle name="Normal 3 8 5" xfId="5705"/>
    <cellStyle name="Normal 3 8 6" xfId="10692"/>
    <cellStyle name="Normal 3 9" xfId="1002"/>
    <cellStyle name="Normal 3 9 2" xfId="2670"/>
    <cellStyle name="Normal 3 9 2 2" xfId="7659"/>
    <cellStyle name="Normal 3 9 3" xfId="4334"/>
    <cellStyle name="Normal 3 9 3 2" xfId="9320"/>
    <cellStyle name="Normal 3 9 4" xfId="5997"/>
    <cellStyle name="Normal 4" xfId="51"/>
    <cellStyle name="Normal 4 2" xfId="70"/>
    <cellStyle name="Normal 4 2 2" xfId="402"/>
    <cellStyle name="Normal 4 3" xfId="108"/>
    <cellStyle name="Normal 4 3 2" xfId="332"/>
    <cellStyle name="Normal 4 3 3" xfId="412"/>
    <cellStyle name="Normal 4 3 4" xfId="426"/>
    <cellStyle name="Normal 4 3 5" xfId="1879"/>
    <cellStyle name="Normal 4 4" xfId="397"/>
    <cellStyle name="Normal 5" xfId="67"/>
    <cellStyle name="Normal 5 10" xfId="3515"/>
    <cellStyle name="Normal 5 10 2" xfId="8501"/>
    <cellStyle name="Normal 5 11" xfId="5178"/>
    <cellStyle name="Normal 5 12" xfId="10161"/>
    <cellStyle name="Normal 5 2" xfId="136"/>
    <cellStyle name="Normal 5 2 2" xfId="509"/>
    <cellStyle name="Normal 5 2 2 2" xfId="1344"/>
    <cellStyle name="Normal 5 2 2 2 2" xfId="3012"/>
    <cellStyle name="Normal 5 2 2 2 2 2" xfId="8001"/>
    <cellStyle name="Normal 5 2 2 2 3" xfId="4676"/>
    <cellStyle name="Normal 5 2 2 2 3 2" xfId="9662"/>
    <cellStyle name="Normal 5 2 2 2 4" xfId="6339"/>
    <cellStyle name="Normal 5 2 2 3" xfId="2182"/>
    <cellStyle name="Normal 5 2 2 3 2" xfId="7171"/>
    <cellStyle name="Normal 5 2 2 4" xfId="3846"/>
    <cellStyle name="Normal 5 2 2 4 2" xfId="8832"/>
    <cellStyle name="Normal 5 2 2 5" xfId="5509"/>
    <cellStyle name="Normal 5 2 2 6" xfId="10495"/>
    <cellStyle name="Normal 5 2 3" xfId="784"/>
    <cellStyle name="Normal 5 2 3 2" xfId="1618"/>
    <cellStyle name="Normal 5 2 3 2 2" xfId="3286"/>
    <cellStyle name="Normal 5 2 3 2 2 2" xfId="8275"/>
    <cellStyle name="Normal 5 2 3 2 3" xfId="4950"/>
    <cellStyle name="Normal 5 2 3 2 3 2" xfId="9936"/>
    <cellStyle name="Normal 5 2 3 2 4" xfId="6613"/>
    <cellStyle name="Normal 5 2 3 3" xfId="2455"/>
    <cellStyle name="Normal 5 2 3 3 2" xfId="7444"/>
    <cellStyle name="Normal 5 2 3 4" xfId="4119"/>
    <cellStyle name="Normal 5 2 3 4 2" xfId="9105"/>
    <cellStyle name="Normal 5 2 3 5" xfId="5782"/>
    <cellStyle name="Normal 5 2 3 6" xfId="10769"/>
    <cellStyle name="Normal 5 2 4" xfId="1065"/>
    <cellStyle name="Normal 5 2 4 2" xfId="2733"/>
    <cellStyle name="Normal 5 2 4 2 2" xfId="7722"/>
    <cellStyle name="Normal 5 2 4 3" xfId="4397"/>
    <cellStyle name="Normal 5 2 4 3 2" xfId="9383"/>
    <cellStyle name="Normal 5 2 4 4" xfId="6060"/>
    <cellStyle name="Normal 5 2 5" xfId="1903"/>
    <cellStyle name="Normal 5 2 5 2" xfId="6892"/>
    <cellStyle name="Normal 5 2 6" xfId="3568"/>
    <cellStyle name="Normal 5 2 6 2" xfId="8554"/>
    <cellStyle name="Normal 5 2 7" xfId="5231"/>
    <cellStyle name="Normal 5 2 8" xfId="10215"/>
    <cellStyle name="Normal 5 3" xfId="191"/>
    <cellStyle name="Normal 5 3 2" xfId="563"/>
    <cellStyle name="Normal 5 3 2 2" xfId="1398"/>
    <cellStyle name="Normal 5 3 2 2 2" xfId="3066"/>
    <cellStyle name="Normal 5 3 2 2 2 2" xfId="8055"/>
    <cellStyle name="Normal 5 3 2 2 3" xfId="4730"/>
    <cellStyle name="Normal 5 3 2 2 3 2" xfId="9716"/>
    <cellStyle name="Normal 5 3 2 2 4" xfId="6393"/>
    <cellStyle name="Normal 5 3 2 3" xfId="2235"/>
    <cellStyle name="Normal 5 3 2 3 2" xfId="7224"/>
    <cellStyle name="Normal 5 3 2 4" xfId="3899"/>
    <cellStyle name="Normal 5 3 2 4 2" xfId="8885"/>
    <cellStyle name="Normal 5 3 2 5" xfId="5562"/>
    <cellStyle name="Normal 5 3 2 6" xfId="10549"/>
    <cellStyle name="Normal 5 3 3" xfId="838"/>
    <cellStyle name="Normal 5 3 3 2" xfId="1672"/>
    <cellStyle name="Normal 5 3 3 2 2" xfId="3340"/>
    <cellStyle name="Normal 5 3 3 2 2 2" xfId="8329"/>
    <cellStyle name="Normal 5 3 3 2 3" xfId="5004"/>
    <cellStyle name="Normal 5 3 3 2 3 2" xfId="9990"/>
    <cellStyle name="Normal 5 3 3 2 4" xfId="6667"/>
    <cellStyle name="Normal 5 3 3 3" xfId="2509"/>
    <cellStyle name="Normal 5 3 3 3 2" xfId="7498"/>
    <cellStyle name="Normal 5 3 3 4" xfId="4173"/>
    <cellStyle name="Normal 5 3 3 4 2" xfId="9159"/>
    <cellStyle name="Normal 5 3 3 5" xfId="5836"/>
    <cellStyle name="Normal 5 3 3 6" xfId="10823"/>
    <cellStyle name="Normal 5 3 4" xfId="1119"/>
    <cellStyle name="Normal 5 3 4 2" xfId="2787"/>
    <cellStyle name="Normal 5 3 4 2 2" xfId="7776"/>
    <cellStyle name="Normal 5 3 4 3" xfId="4451"/>
    <cellStyle name="Normal 5 3 4 3 2" xfId="9437"/>
    <cellStyle name="Normal 5 3 4 4" xfId="6114"/>
    <cellStyle name="Normal 5 3 5" xfId="1957"/>
    <cellStyle name="Normal 5 3 5 2" xfId="6946"/>
    <cellStyle name="Normal 5 3 6" xfId="3622"/>
    <cellStyle name="Normal 5 3 6 2" xfId="8608"/>
    <cellStyle name="Normal 5 3 7" xfId="5285"/>
    <cellStyle name="Normal 5 3 8" xfId="10269"/>
    <cellStyle name="Normal 5 4" xfId="246"/>
    <cellStyle name="Normal 5 4 2" xfId="618"/>
    <cellStyle name="Normal 5 4 2 2" xfId="1453"/>
    <cellStyle name="Normal 5 4 2 2 2" xfId="3121"/>
    <cellStyle name="Normal 5 4 2 2 2 2" xfId="8110"/>
    <cellStyle name="Normal 5 4 2 2 3" xfId="4785"/>
    <cellStyle name="Normal 5 4 2 2 3 2" xfId="9771"/>
    <cellStyle name="Normal 5 4 2 2 4" xfId="6448"/>
    <cellStyle name="Normal 5 4 2 3" xfId="2290"/>
    <cellStyle name="Normal 5 4 2 3 2" xfId="7279"/>
    <cellStyle name="Normal 5 4 2 4" xfId="3954"/>
    <cellStyle name="Normal 5 4 2 4 2" xfId="8940"/>
    <cellStyle name="Normal 5 4 2 5" xfId="5617"/>
    <cellStyle name="Normal 5 4 2 6" xfId="10604"/>
    <cellStyle name="Normal 5 4 3" xfId="893"/>
    <cellStyle name="Normal 5 4 3 2" xfId="1727"/>
    <cellStyle name="Normal 5 4 3 2 2" xfId="3395"/>
    <cellStyle name="Normal 5 4 3 2 2 2" xfId="8384"/>
    <cellStyle name="Normal 5 4 3 2 3" xfId="5059"/>
    <cellStyle name="Normal 5 4 3 2 3 2" xfId="10045"/>
    <cellStyle name="Normal 5 4 3 2 4" xfId="6722"/>
    <cellStyle name="Normal 5 4 3 3" xfId="2564"/>
    <cellStyle name="Normal 5 4 3 3 2" xfId="7553"/>
    <cellStyle name="Normal 5 4 3 4" xfId="4228"/>
    <cellStyle name="Normal 5 4 3 4 2" xfId="9214"/>
    <cellStyle name="Normal 5 4 3 5" xfId="5891"/>
    <cellStyle name="Normal 5 4 3 6" xfId="10878"/>
    <cellStyle name="Normal 5 4 4" xfId="1174"/>
    <cellStyle name="Normal 5 4 4 2" xfId="2842"/>
    <cellStyle name="Normal 5 4 4 2 2" xfId="7831"/>
    <cellStyle name="Normal 5 4 4 3" xfId="4506"/>
    <cellStyle name="Normal 5 4 4 3 2" xfId="9492"/>
    <cellStyle name="Normal 5 4 4 4" xfId="6169"/>
    <cellStyle name="Normal 5 4 5" xfId="2012"/>
    <cellStyle name="Normal 5 4 5 2" xfId="7001"/>
    <cellStyle name="Normal 5 4 6" xfId="3677"/>
    <cellStyle name="Normal 5 4 6 2" xfId="8663"/>
    <cellStyle name="Normal 5 4 7" xfId="5340"/>
    <cellStyle name="Normal 5 4 8" xfId="10324"/>
    <cellStyle name="Normal 5 5" xfId="302"/>
    <cellStyle name="Normal 5 5 2" xfId="674"/>
    <cellStyle name="Normal 5 5 2 2" xfId="1509"/>
    <cellStyle name="Normal 5 5 2 2 2" xfId="3177"/>
    <cellStyle name="Normal 5 5 2 2 2 2" xfId="8166"/>
    <cellStyle name="Normal 5 5 2 2 3" xfId="4841"/>
    <cellStyle name="Normal 5 5 2 2 3 2" xfId="9827"/>
    <cellStyle name="Normal 5 5 2 2 4" xfId="6504"/>
    <cellStyle name="Normal 5 5 2 3" xfId="2346"/>
    <cellStyle name="Normal 5 5 2 3 2" xfId="7335"/>
    <cellStyle name="Normal 5 5 2 4" xfId="4010"/>
    <cellStyle name="Normal 5 5 2 4 2" xfId="8996"/>
    <cellStyle name="Normal 5 5 2 5" xfId="5673"/>
    <cellStyle name="Normal 5 5 2 6" xfId="10660"/>
    <cellStyle name="Normal 5 5 3" xfId="949"/>
    <cellStyle name="Normal 5 5 3 2" xfId="1783"/>
    <cellStyle name="Normal 5 5 3 2 2" xfId="3451"/>
    <cellStyle name="Normal 5 5 3 2 2 2" xfId="8440"/>
    <cellStyle name="Normal 5 5 3 2 3" xfId="5115"/>
    <cellStyle name="Normal 5 5 3 2 3 2" xfId="10101"/>
    <cellStyle name="Normal 5 5 3 2 4" xfId="6778"/>
    <cellStyle name="Normal 5 5 3 3" xfId="2620"/>
    <cellStyle name="Normal 5 5 3 3 2" xfId="7609"/>
    <cellStyle name="Normal 5 5 3 4" xfId="4284"/>
    <cellStyle name="Normal 5 5 3 4 2" xfId="9270"/>
    <cellStyle name="Normal 5 5 3 5" xfId="5947"/>
    <cellStyle name="Normal 5 5 3 6" xfId="10934"/>
    <cellStyle name="Normal 5 5 4" xfId="1230"/>
    <cellStyle name="Normal 5 5 4 2" xfId="2898"/>
    <cellStyle name="Normal 5 5 4 2 2" xfId="7887"/>
    <cellStyle name="Normal 5 5 4 3" xfId="4562"/>
    <cellStyle name="Normal 5 5 4 3 2" xfId="9548"/>
    <cellStyle name="Normal 5 5 4 4" xfId="6225"/>
    <cellStyle name="Normal 5 5 5" xfId="2068"/>
    <cellStyle name="Normal 5 5 5 2" xfId="7057"/>
    <cellStyle name="Normal 5 5 6" xfId="3733"/>
    <cellStyle name="Normal 5 5 6 2" xfId="8719"/>
    <cellStyle name="Normal 5 5 7" xfId="5396"/>
    <cellStyle name="Normal 5 5 8" xfId="10380"/>
    <cellStyle name="Normal 5 6" xfId="455"/>
    <cellStyle name="Normal 5 6 2" xfId="1290"/>
    <cellStyle name="Normal 5 6 2 2" xfId="2958"/>
    <cellStyle name="Normal 5 6 2 2 2" xfId="7947"/>
    <cellStyle name="Normal 5 6 2 3" xfId="4622"/>
    <cellStyle name="Normal 5 6 2 3 2" xfId="9608"/>
    <cellStyle name="Normal 5 6 2 4" xfId="6285"/>
    <cellStyle name="Normal 5 6 3" xfId="2129"/>
    <cellStyle name="Normal 5 6 3 2" xfId="7118"/>
    <cellStyle name="Normal 5 6 4" xfId="3793"/>
    <cellStyle name="Normal 5 6 4 2" xfId="8779"/>
    <cellStyle name="Normal 5 6 5" xfId="5456"/>
    <cellStyle name="Normal 5 6 6" xfId="10433"/>
    <cellStyle name="Normal 5 7" xfId="730"/>
    <cellStyle name="Normal 5 7 2" xfId="1564"/>
    <cellStyle name="Normal 5 7 2 2" xfId="3232"/>
    <cellStyle name="Normal 5 7 2 2 2" xfId="8221"/>
    <cellStyle name="Normal 5 7 2 3" xfId="4896"/>
    <cellStyle name="Normal 5 7 2 3 2" xfId="9882"/>
    <cellStyle name="Normal 5 7 2 4" xfId="6559"/>
    <cellStyle name="Normal 5 7 3" xfId="2401"/>
    <cellStyle name="Normal 5 7 3 2" xfId="7390"/>
    <cellStyle name="Normal 5 7 4" xfId="4065"/>
    <cellStyle name="Normal 5 7 4 2" xfId="9051"/>
    <cellStyle name="Normal 5 7 5" xfId="5728"/>
    <cellStyle name="Normal 5 7 6" xfId="10715"/>
    <cellStyle name="Normal 5 8" xfId="1011"/>
    <cellStyle name="Normal 5 8 2" xfId="2679"/>
    <cellStyle name="Normal 5 8 2 2" xfId="7668"/>
    <cellStyle name="Normal 5 8 3" xfId="4343"/>
    <cellStyle name="Normal 5 8 3 2" xfId="9329"/>
    <cellStyle name="Normal 5 8 4" xfId="6006"/>
    <cellStyle name="Normal 5 9" xfId="1847"/>
    <cellStyle name="Normal 5 9 2" xfId="6839"/>
    <cellStyle name="Normal 6" xfId="95"/>
    <cellStyle name="Normal 6 10" xfId="1030"/>
    <cellStyle name="Normal 6 10 2" xfId="2698"/>
    <cellStyle name="Normal 6 10 2 2" xfId="7687"/>
    <cellStyle name="Normal 6 10 3" xfId="4362"/>
    <cellStyle name="Normal 6 10 3 2" xfId="9348"/>
    <cellStyle name="Normal 6 10 4" xfId="6025"/>
    <cellStyle name="Normal 6 11" xfId="1866"/>
    <cellStyle name="Normal 6 11 2" xfId="6858"/>
    <cellStyle name="Normal 6 12" xfId="3534"/>
    <cellStyle name="Normal 6 12 2" xfId="8520"/>
    <cellStyle name="Normal 6 13" xfId="5197"/>
    <cellStyle name="Normal 6 14" xfId="10180"/>
    <cellStyle name="Normal 6 2" xfId="155"/>
    <cellStyle name="Normal 6 2 2" xfId="528"/>
    <cellStyle name="Normal 6 2 2 2" xfId="1363"/>
    <cellStyle name="Normal 6 2 2 2 2" xfId="3031"/>
    <cellStyle name="Normal 6 2 2 2 2 2" xfId="8020"/>
    <cellStyle name="Normal 6 2 2 2 3" xfId="4695"/>
    <cellStyle name="Normal 6 2 2 2 3 2" xfId="9681"/>
    <cellStyle name="Normal 6 2 2 2 4" xfId="6358"/>
    <cellStyle name="Normal 6 2 2 3" xfId="2200"/>
    <cellStyle name="Normal 6 2 2 3 2" xfId="7189"/>
    <cellStyle name="Normal 6 2 2 4" xfId="3864"/>
    <cellStyle name="Normal 6 2 2 4 2" xfId="8850"/>
    <cellStyle name="Normal 6 2 2 5" xfId="5527"/>
    <cellStyle name="Normal 6 2 2 6" xfId="10514"/>
    <cellStyle name="Normal 6 2 3" xfId="803"/>
    <cellStyle name="Normal 6 2 3 2" xfId="1637"/>
    <cellStyle name="Normal 6 2 3 2 2" xfId="3305"/>
    <cellStyle name="Normal 6 2 3 2 2 2" xfId="8294"/>
    <cellStyle name="Normal 6 2 3 2 3" xfId="4969"/>
    <cellStyle name="Normal 6 2 3 2 3 2" xfId="9955"/>
    <cellStyle name="Normal 6 2 3 2 4" xfId="6632"/>
    <cellStyle name="Normal 6 2 3 3" xfId="2474"/>
    <cellStyle name="Normal 6 2 3 3 2" xfId="7463"/>
    <cellStyle name="Normal 6 2 3 4" xfId="4138"/>
    <cellStyle name="Normal 6 2 3 4 2" xfId="9124"/>
    <cellStyle name="Normal 6 2 3 5" xfId="5801"/>
    <cellStyle name="Normal 6 2 3 6" xfId="10788"/>
    <cellStyle name="Normal 6 2 4" xfId="1084"/>
    <cellStyle name="Normal 6 2 4 2" xfId="2752"/>
    <cellStyle name="Normal 6 2 4 2 2" xfId="7741"/>
    <cellStyle name="Normal 6 2 4 3" xfId="4416"/>
    <cellStyle name="Normal 6 2 4 3 2" xfId="9402"/>
    <cellStyle name="Normal 6 2 4 4" xfId="6079"/>
    <cellStyle name="Normal 6 2 5" xfId="1922"/>
    <cellStyle name="Normal 6 2 5 2" xfId="6911"/>
    <cellStyle name="Normal 6 2 6" xfId="3587"/>
    <cellStyle name="Normal 6 2 6 2" xfId="8573"/>
    <cellStyle name="Normal 6 2 7" xfId="5250"/>
    <cellStyle name="Normal 6 2 8" xfId="10234"/>
    <cellStyle name="Normal 6 3" xfId="210"/>
    <cellStyle name="Normal 6 3 2" xfId="582"/>
    <cellStyle name="Normal 6 3 2 2" xfId="1417"/>
    <cellStyle name="Normal 6 3 2 2 2" xfId="3085"/>
    <cellStyle name="Normal 6 3 2 2 2 2" xfId="8074"/>
    <cellStyle name="Normal 6 3 2 2 3" xfId="4749"/>
    <cellStyle name="Normal 6 3 2 2 3 2" xfId="9735"/>
    <cellStyle name="Normal 6 3 2 2 4" xfId="6412"/>
    <cellStyle name="Normal 6 3 2 3" xfId="2254"/>
    <cellStyle name="Normal 6 3 2 3 2" xfId="7243"/>
    <cellStyle name="Normal 6 3 2 4" xfId="3918"/>
    <cellStyle name="Normal 6 3 2 4 2" xfId="8904"/>
    <cellStyle name="Normal 6 3 2 5" xfId="5581"/>
    <cellStyle name="Normal 6 3 2 6" xfId="10568"/>
    <cellStyle name="Normal 6 3 3" xfId="857"/>
    <cellStyle name="Normal 6 3 3 2" xfId="1691"/>
    <cellStyle name="Normal 6 3 3 2 2" xfId="3359"/>
    <cellStyle name="Normal 6 3 3 2 2 2" xfId="8348"/>
    <cellStyle name="Normal 6 3 3 2 3" xfId="5023"/>
    <cellStyle name="Normal 6 3 3 2 3 2" xfId="10009"/>
    <cellStyle name="Normal 6 3 3 2 4" xfId="6686"/>
    <cellStyle name="Normal 6 3 3 3" xfId="2528"/>
    <cellStyle name="Normal 6 3 3 3 2" xfId="7517"/>
    <cellStyle name="Normal 6 3 3 4" xfId="4192"/>
    <cellStyle name="Normal 6 3 3 4 2" xfId="9178"/>
    <cellStyle name="Normal 6 3 3 5" xfId="5855"/>
    <cellStyle name="Normal 6 3 3 6" xfId="10842"/>
    <cellStyle name="Normal 6 3 4" xfId="1138"/>
    <cellStyle name="Normal 6 3 4 2" xfId="2806"/>
    <cellStyle name="Normal 6 3 4 2 2" xfId="7795"/>
    <cellStyle name="Normal 6 3 4 3" xfId="4470"/>
    <cellStyle name="Normal 6 3 4 3 2" xfId="9456"/>
    <cellStyle name="Normal 6 3 4 4" xfId="6133"/>
    <cellStyle name="Normal 6 3 5" xfId="1976"/>
    <cellStyle name="Normal 6 3 5 2" xfId="6965"/>
    <cellStyle name="Normal 6 3 6" xfId="3641"/>
    <cellStyle name="Normal 6 3 6 2" xfId="8627"/>
    <cellStyle name="Normal 6 3 7" xfId="5304"/>
    <cellStyle name="Normal 6 3 8" xfId="10288"/>
    <cellStyle name="Normal 6 4" xfId="265"/>
    <cellStyle name="Normal 6 4 2" xfId="637"/>
    <cellStyle name="Normal 6 4 2 2" xfId="1472"/>
    <cellStyle name="Normal 6 4 2 2 2" xfId="3140"/>
    <cellStyle name="Normal 6 4 2 2 2 2" xfId="8129"/>
    <cellStyle name="Normal 6 4 2 2 3" xfId="4804"/>
    <cellStyle name="Normal 6 4 2 2 3 2" xfId="9790"/>
    <cellStyle name="Normal 6 4 2 2 4" xfId="6467"/>
    <cellStyle name="Normal 6 4 2 3" xfId="2309"/>
    <cellStyle name="Normal 6 4 2 3 2" xfId="7298"/>
    <cellStyle name="Normal 6 4 2 4" xfId="3973"/>
    <cellStyle name="Normal 6 4 2 4 2" xfId="8959"/>
    <cellStyle name="Normal 6 4 2 5" xfId="5636"/>
    <cellStyle name="Normal 6 4 2 6" xfId="10623"/>
    <cellStyle name="Normal 6 4 3" xfId="912"/>
    <cellStyle name="Normal 6 4 3 2" xfId="1746"/>
    <cellStyle name="Normal 6 4 3 2 2" xfId="3414"/>
    <cellStyle name="Normal 6 4 3 2 2 2" xfId="8403"/>
    <cellStyle name="Normal 6 4 3 2 3" xfId="5078"/>
    <cellStyle name="Normal 6 4 3 2 3 2" xfId="10064"/>
    <cellStyle name="Normal 6 4 3 2 4" xfId="6741"/>
    <cellStyle name="Normal 6 4 3 3" xfId="2583"/>
    <cellStyle name="Normal 6 4 3 3 2" xfId="7572"/>
    <cellStyle name="Normal 6 4 3 4" xfId="4247"/>
    <cellStyle name="Normal 6 4 3 4 2" xfId="9233"/>
    <cellStyle name="Normal 6 4 3 5" xfId="5910"/>
    <cellStyle name="Normal 6 4 3 6" xfId="10897"/>
    <cellStyle name="Normal 6 4 4" xfId="1193"/>
    <cellStyle name="Normal 6 4 4 2" xfId="2861"/>
    <cellStyle name="Normal 6 4 4 2 2" xfId="7850"/>
    <cellStyle name="Normal 6 4 4 3" xfId="4525"/>
    <cellStyle name="Normal 6 4 4 3 2" xfId="9511"/>
    <cellStyle name="Normal 6 4 4 4" xfId="6188"/>
    <cellStyle name="Normal 6 4 5" xfId="2031"/>
    <cellStyle name="Normal 6 4 5 2" xfId="7020"/>
    <cellStyle name="Normal 6 4 6" xfId="3696"/>
    <cellStyle name="Normal 6 4 6 2" xfId="8682"/>
    <cellStyle name="Normal 6 4 7" xfId="5359"/>
    <cellStyle name="Normal 6 4 8" xfId="10343"/>
    <cellStyle name="Normal 6 5" xfId="321"/>
    <cellStyle name="Normal 6 5 2" xfId="693"/>
    <cellStyle name="Normal 6 5 2 2" xfId="1528"/>
    <cellStyle name="Normal 6 5 2 2 2" xfId="3196"/>
    <cellStyle name="Normal 6 5 2 2 2 2" xfId="8185"/>
    <cellStyle name="Normal 6 5 2 2 3" xfId="4860"/>
    <cellStyle name="Normal 6 5 2 2 3 2" xfId="9846"/>
    <cellStyle name="Normal 6 5 2 2 4" xfId="6523"/>
    <cellStyle name="Normal 6 5 2 3" xfId="2365"/>
    <cellStyle name="Normal 6 5 2 3 2" xfId="7354"/>
    <cellStyle name="Normal 6 5 2 4" xfId="4029"/>
    <cellStyle name="Normal 6 5 2 4 2" xfId="9015"/>
    <cellStyle name="Normal 6 5 2 5" xfId="5692"/>
    <cellStyle name="Normal 6 5 2 6" xfId="10679"/>
    <cellStyle name="Normal 6 5 3" xfId="968"/>
    <cellStyle name="Normal 6 5 3 2" xfId="1802"/>
    <cellStyle name="Normal 6 5 3 2 2" xfId="3470"/>
    <cellStyle name="Normal 6 5 3 2 2 2" xfId="8459"/>
    <cellStyle name="Normal 6 5 3 2 3" xfId="5134"/>
    <cellStyle name="Normal 6 5 3 2 3 2" xfId="10120"/>
    <cellStyle name="Normal 6 5 3 2 4" xfId="6797"/>
    <cellStyle name="Normal 6 5 3 3" xfId="2639"/>
    <cellStyle name="Normal 6 5 3 3 2" xfId="7628"/>
    <cellStyle name="Normal 6 5 3 4" xfId="4303"/>
    <cellStyle name="Normal 6 5 3 4 2" xfId="9289"/>
    <cellStyle name="Normal 6 5 3 5" xfId="5966"/>
    <cellStyle name="Normal 6 5 3 6" xfId="10953"/>
    <cellStyle name="Normal 6 5 4" xfId="1249"/>
    <cellStyle name="Normal 6 5 4 2" xfId="2917"/>
    <cellStyle name="Normal 6 5 4 2 2" xfId="7906"/>
    <cellStyle name="Normal 6 5 4 3" xfId="4581"/>
    <cellStyle name="Normal 6 5 4 3 2" xfId="9567"/>
    <cellStyle name="Normal 6 5 4 4" xfId="6244"/>
    <cellStyle name="Normal 6 5 5" xfId="2087"/>
    <cellStyle name="Normal 6 5 5 2" xfId="7076"/>
    <cellStyle name="Normal 6 5 6" xfId="3752"/>
    <cellStyle name="Normal 6 5 6 2" xfId="8738"/>
    <cellStyle name="Normal 6 5 7" xfId="5415"/>
    <cellStyle name="Normal 6 5 8" xfId="10399"/>
    <cellStyle name="Normal 6 6" xfId="419"/>
    <cellStyle name="Normal 6 6 2" xfId="980"/>
    <cellStyle name="Normal 6 6 2 2" xfId="1814"/>
    <cellStyle name="Normal 6 6 2 2 2" xfId="3482"/>
    <cellStyle name="Normal 6 6 2 2 2 2" xfId="8471"/>
    <cellStyle name="Normal 6 6 2 2 3" xfId="5146"/>
    <cellStyle name="Normal 6 6 2 2 3 2" xfId="10132"/>
    <cellStyle name="Normal 6 6 2 2 4" xfId="6809"/>
    <cellStyle name="Normal 6 6 2 3" xfId="2651"/>
    <cellStyle name="Normal 6 6 2 3 2" xfId="7640"/>
    <cellStyle name="Normal 6 6 2 4" xfId="4315"/>
    <cellStyle name="Normal 6 6 2 4 2" xfId="9301"/>
    <cellStyle name="Normal 6 6 2 5" xfId="5978"/>
    <cellStyle name="Normal 6 6 2 6" xfId="10965"/>
    <cellStyle name="Normal 6 6 3" xfId="1260"/>
    <cellStyle name="Normal 6 6 3 2" xfId="2928"/>
    <cellStyle name="Normal 6 6 3 2 2" xfId="7917"/>
    <cellStyle name="Normal 6 6 3 3" xfId="4592"/>
    <cellStyle name="Normal 6 6 3 3 2" xfId="9578"/>
    <cellStyle name="Normal 6 6 3 4" xfId="6255"/>
    <cellStyle name="Normal 6 6 4" xfId="2098"/>
    <cellStyle name="Normal 6 6 4 2" xfId="7087"/>
    <cellStyle name="Normal 6 6 5" xfId="3763"/>
    <cellStyle name="Normal 6 6 5 2" xfId="8749"/>
    <cellStyle name="Normal 6 6 6" xfId="5426"/>
    <cellStyle name="Normal 6 6 7" xfId="10411"/>
    <cellStyle name="Normal 6 7" xfId="414"/>
    <cellStyle name="Normal 6 8" xfId="474"/>
    <cellStyle name="Normal 6 8 2" xfId="1309"/>
    <cellStyle name="Normal 6 8 2 2" xfId="2977"/>
    <cellStyle name="Normal 6 8 2 2 2" xfId="7966"/>
    <cellStyle name="Normal 6 8 2 3" xfId="4641"/>
    <cellStyle name="Normal 6 8 2 3 2" xfId="9627"/>
    <cellStyle name="Normal 6 8 2 4" xfId="6304"/>
    <cellStyle name="Normal 6 8 3" xfId="2148"/>
    <cellStyle name="Normal 6 8 3 2" xfId="7137"/>
    <cellStyle name="Normal 6 8 4" xfId="3812"/>
    <cellStyle name="Normal 6 8 4 2" xfId="8798"/>
    <cellStyle name="Normal 6 8 5" xfId="5475"/>
    <cellStyle name="Normal 6 8 6" xfId="10460"/>
    <cellStyle name="Normal 6 9" xfId="749"/>
    <cellStyle name="Normal 6 9 2" xfId="1583"/>
    <cellStyle name="Normal 6 9 2 2" xfId="3251"/>
    <cellStyle name="Normal 6 9 2 2 2" xfId="8240"/>
    <cellStyle name="Normal 6 9 2 3" xfId="4915"/>
    <cellStyle name="Normal 6 9 2 3 2" xfId="9901"/>
    <cellStyle name="Normal 6 9 2 4" xfId="6578"/>
    <cellStyle name="Normal 6 9 3" xfId="2420"/>
    <cellStyle name="Normal 6 9 3 2" xfId="7409"/>
    <cellStyle name="Normal 6 9 4" xfId="4084"/>
    <cellStyle name="Normal 6 9 4 2" xfId="9070"/>
    <cellStyle name="Normal 6 9 5" xfId="5747"/>
    <cellStyle name="Normal 6 9 6" xfId="10734"/>
    <cellStyle name="Normal 6_Ark1" xfId="417"/>
    <cellStyle name="Normal 7" xfId="52"/>
    <cellStyle name="Normal 7 2" xfId="109"/>
    <cellStyle name="Normal 7 2 2" xfId="413"/>
    <cellStyle name="Normal 7 3" xfId="398"/>
    <cellStyle name="Normal 7_Bilag med pot og krav" xfId="10984"/>
    <cellStyle name="Normal 8" xfId="113"/>
    <cellStyle name="Normal 8 2" xfId="486"/>
    <cellStyle name="Normal 8 2 2" xfId="1321"/>
    <cellStyle name="Normal 8 2 2 2" xfId="2989"/>
    <cellStyle name="Normal 8 2 2 2 2" xfId="7978"/>
    <cellStyle name="Normal 8 2 2 3" xfId="4653"/>
    <cellStyle name="Normal 8 2 2 3 2" xfId="9639"/>
    <cellStyle name="Normal 8 2 2 4" xfId="6316"/>
    <cellStyle name="Normal 8 2 3" xfId="2160"/>
    <cellStyle name="Normal 8 2 3 2" xfId="7149"/>
    <cellStyle name="Normal 8 2 4" xfId="3824"/>
    <cellStyle name="Normal 8 2 4 2" xfId="8810"/>
    <cellStyle name="Normal 8 2 5" xfId="5487"/>
    <cellStyle name="Normal 8 2 6" xfId="10472"/>
    <cellStyle name="Normal 8 3" xfId="761"/>
    <cellStyle name="Normal 8 3 2" xfId="1595"/>
    <cellStyle name="Normal 8 3 2 2" xfId="3263"/>
    <cellStyle name="Normal 8 3 2 2 2" xfId="8252"/>
    <cellStyle name="Normal 8 3 2 3" xfId="4927"/>
    <cellStyle name="Normal 8 3 2 3 2" xfId="9913"/>
    <cellStyle name="Normal 8 3 2 4" xfId="6590"/>
    <cellStyle name="Normal 8 3 3" xfId="2432"/>
    <cellStyle name="Normal 8 3 3 2" xfId="7421"/>
    <cellStyle name="Normal 8 3 4" xfId="4096"/>
    <cellStyle name="Normal 8 3 4 2" xfId="9082"/>
    <cellStyle name="Normal 8 3 5" xfId="5759"/>
    <cellStyle name="Normal 8 3 6" xfId="10746"/>
    <cellStyle name="Normal 8 4" xfId="1042"/>
    <cellStyle name="Normal 8 4 2" xfId="2710"/>
    <cellStyle name="Normal 8 4 2 2" xfId="7699"/>
    <cellStyle name="Normal 8 4 3" xfId="4374"/>
    <cellStyle name="Normal 8 4 3 2" xfId="9360"/>
    <cellStyle name="Normal 8 4 4" xfId="6037"/>
    <cellStyle name="Normal 8 5" xfId="1880"/>
    <cellStyle name="Normal 8 5 2" xfId="6869"/>
    <cellStyle name="Normal 8 6" xfId="3545"/>
    <cellStyle name="Normal 8 6 2" xfId="8531"/>
    <cellStyle name="Normal 8 7" xfId="5208"/>
    <cellStyle name="Normal 8 8" xfId="10192"/>
    <cellStyle name="Normal 9" xfId="166"/>
    <cellStyle name="Normal 9 2" xfId="539"/>
    <cellStyle name="Normal 9 2 2" xfId="1374"/>
    <cellStyle name="Normal 9 2 2 2" xfId="3042"/>
    <cellStyle name="Normal 9 2 2 2 2" xfId="8031"/>
    <cellStyle name="Normal 9 2 2 3" xfId="4706"/>
    <cellStyle name="Normal 9 2 2 3 2" xfId="9692"/>
    <cellStyle name="Normal 9 2 2 4" xfId="6369"/>
    <cellStyle name="Normal 9 2 3" xfId="2211"/>
    <cellStyle name="Normal 9 2 3 2" xfId="7200"/>
    <cellStyle name="Normal 9 2 4" xfId="3875"/>
    <cellStyle name="Normal 9 2 4 2" xfId="8861"/>
    <cellStyle name="Normal 9 2 5" xfId="5538"/>
    <cellStyle name="Normal 9 2 6" xfId="10525"/>
    <cellStyle name="Normal 9 3" xfId="814"/>
    <cellStyle name="Normal 9 3 2" xfId="1648"/>
    <cellStyle name="Normal 9 3 2 2" xfId="3316"/>
    <cellStyle name="Normal 9 3 2 2 2" xfId="8305"/>
    <cellStyle name="Normal 9 3 2 3" xfId="4980"/>
    <cellStyle name="Normal 9 3 2 3 2" xfId="9966"/>
    <cellStyle name="Normal 9 3 2 4" xfId="6643"/>
    <cellStyle name="Normal 9 3 3" xfId="2485"/>
    <cellStyle name="Normal 9 3 3 2" xfId="7474"/>
    <cellStyle name="Normal 9 3 4" xfId="4149"/>
    <cellStyle name="Normal 9 3 4 2" xfId="9135"/>
    <cellStyle name="Normal 9 3 5" xfId="5812"/>
    <cellStyle name="Normal 9 3 6" xfId="10799"/>
    <cellStyle name="Normal 9 4" xfId="1095"/>
    <cellStyle name="Normal 9 4 2" xfId="2763"/>
    <cellStyle name="Normal 9 4 2 2" xfId="7752"/>
    <cellStyle name="Normal 9 4 3" xfId="4427"/>
    <cellStyle name="Normal 9 4 3 2" xfId="9413"/>
    <cellStyle name="Normal 9 4 4" xfId="6090"/>
    <cellStyle name="Normal 9 5" xfId="1933"/>
    <cellStyle name="Normal 9 5 2" xfId="6922"/>
    <cellStyle name="Normal 9 6" xfId="3598"/>
    <cellStyle name="Normal 9 6 2" xfId="8584"/>
    <cellStyle name="Normal 9 7" xfId="5261"/>
    <cellStyle name="Normal 9 8" xfId="10245"/>
    <cellStyle name="Note" xfId="384"/>
    <cellStyle name="Output" xfId="11" builtinId="21" customBuiltin="1"/>
    <cellStyle name="Output 2" xfId="385"/>
    <cellStyle name="Overskrift" xfId="339"/>
    <cellStyle name="Overskrift 1" xfId="3" builtinId="16" customBuiltin="1"/>
    <cellStyle name="Overskrift 2" xfId="4" builtinId="17" customBuiltin="1"/>
    <cellStyle name="Overskrift 3" xfId="5" builtinId="18" customBuiltin="1"/>
    <cellStyle name="Overskrift 4" xfId="6" builtinId="19" customBuiltin="1"/>
    <cellStyle name="Procent" xfId="49" builtinId="5"/>
    <cellStyle name="Procent 10" xfId="292"/>
    <cellStyle name="Procent 10 2" xfId="664"/>
    <cellStyle name="Procent 10 2 2" xfId="1499"/>
    <cellStyle name="Procent 10 2 2 2" xfId="3167"/>
    <cellStyle name="Procent 10 2 2 2 2" xfId="8156"/>
    <cellStyle name="Procent 10 2 2 3" xfId="4831"/>
    <cellStyle name="Procent 10 2 2 3 2" xfId="9817"/>
    <cellStyle name="Procent 10 2 2 4" xfId="6494"/>
    <cellStyle name="Procent 10 2 3" xfId="2336"/>
    <cellStyle name="Procent 10 2 3 2" xfId="7325"/>
    <cellStyle name="Procent 10 2 4" xfId="4000"/>
    <cellStyle name="Procent 10 2 4 2" xfId="8986"/>
    <cellStyle name="Procent 10 2 5" xfId="5663"/>
    <cellStyle name="Procent 10 2 6" xfId="10650"/>
    <cellStyle name="Procent 10 3" xfId="939"/>
    <cellStyle name="Procent 10 3 2" xfId="1773"/>
    <cellStyle name="Procent 10 3 2 2" xfId="3441"/>
    <cellStyle name="Procent 10 3 2 2 2" xfId="8430"/>
    <cellStyle name="Procent 10 3 2 3" xfId="5105"/>
    <cellStyle name="Procent 10 3 2 3 2" xfId="10091"/>
    <cellStyle name="Procent 10 3 2 4" xfId="6768"/>
    <cellStyle name="Procent 10 3 3" xfId="2610"/>
    <cellStyle name="Procent 10 3 3 2" xfId="7599"/>
    <cellStyle name="Procent 10 3 4" xfId="4274"/>
    <cellStyle name="Procent 10 3 4 2" xfId="9260"/>
    <cellStyle name="Procent 10 3 5" xfId="5937"/>
    <cellStyle name="Procent 10 3 6" xfId="10924"/>
    <cellStyle name="Procent 10 4" xfId="1220"/>
    <cellStyle name="Procent 10 4 2" xfId="2888"/>
    <cellStyle name="Procent 10 4 2 2" xfId="7877"/>
    <cellStyle name="Procent 10 4 3" xfId="4552"/>
    <cellStyle name="Procent 10 4 3 2" xfId="9538"/>
    <cellStyle name="Procent 10 4 4" xfId="6215"/>
    <cellStyle name="Procent 10 5" xfId="2058"/>
    <cellStyle name="Procent 10 5 2" xfId="7047"/>
    <cellStyle name="Procent 10 6" xfId="3723"/>
    <cellStyle name="Procent 10 6 2" xfId="8709"/>
    <cellStyle name="Procent 10 7" xfId="5386"/>
    <cellStyle name="Procent 10 8" xfId="10370"/>
    <cellStyle name="Procent 11" xfId="112"/>
    <cellStyle name="Procent 12" xfId="446"/>
    <cellStyle name="Procent 12 2" xfId="1281"/>
    <cellStyle name="Procent 12 2 2" xfId="2949"/>
    <cellStyle name="Procent 12 2 2 2" xfId="7938"/>
    <cellStyle name="Procent 12 2 3" xfId="4613"/>
    <cellStyle name="Procent 12 2 3 2" xfId="9599"/>
    <cellStyle name="Procent 12 2 4" xfId="6276"/>
    <cellStyle name="Procent 12 3" xfId="2120"/>
    <cellStyle name="Procent 12 3 2" xfId="7109"/>
    <cellStyle name="Procent 12 4" xfId="3784"/>
    <cellStyle name="Procent 12 4 2" xfId="8770"/>
    <cellStyle name="Procent 12 5" xfId="5447"/>
    <cellStyle name="Procent 12 6" xfId="10436"/>
    <cellStyle name="Procent 13" xfId="721"/>
    <cellStyle name="Procent 13 2" xfId="1555"/>
    <cellStyle name="Procent 13 2 2" xfId="3223"/>
    <cellStyle name="Procent 13 2 2 2" xfId="8212"/>
    <cellStyle name="Procent 13 2 3" xfId="4887"/>
    <cellStyle name="Procent 13 2 3 2" xfId="9873"/>
    <cellStyle name="Procent 13 2 4" xfId="6550"/>
    <cellStyle name="Procent 13 3" xfId="2392"/>
    <cellStyle name="Procent 13 3 2" xfId="7381"/>
    <cellStyle name="Procent 13 4" xfId="3487"/>
    <cellStyle name="Procent 13 5" xfId="4056"/>
    <cellStyle name="Procent 13 5 2" xfId="9042"/>
    <cellStyle name="Procent 13 6" xfId="5719"/>
    <cellStyle name="Procent 13 7" xfId="10706"/>
    <cellStyle name="Procent 14" xfId="1837"/>
    <cellStyle name="Procent 14 2" xfId="6829"/>
    <cellStyle name="Procent 15" xfId="3505"/>
    <cellStyle name="Procent 15 2" xfId="8491"/>
    <cellStyle name="Procent 16" xfId="5168"/>
    <cellStyle name="Procent 17" xfId="10152"/>
    <cellStyle name="Procent 2" xfId="47"/>
    <cellStyle name="Procent 2 2" xfId="48"/>
    <cellStyle name="Procent 2 2 2" xfId="93"/>
    <cellStyle name="Procent 2 2 2 2" xfId="409"/>
    <cellStyle name="Procent 2 2 3" xfId="396"/>
    <cellStyle name="Procent 2 3" xfId="66"/>
    <cellStyle name="Procent 2 3 2" xfId="94"/>
    <cellStyle name="Procent 2 3 2 2" xfId="410"/>
    <cellStyle name="Procent 2 3 3" xfId="401"/>
    <cellStyle name="Procent 2 4" xfId="92"/>
    <cellStyle name="Procent 2 4 10" xfId="3533"/>
    <cellStyle name="Procent 2 4 10 2" xfId="8519"/>
    <cellStyle name="Procent 2 4 11" xfId="5196"/>
    <cellStyle name="Procent 2 4 12" xfId="10179"/>
    <cellStyle name="Procent 2 4 2" xfId="154"/>
    <cellStyle name="Procent 2 4 2 2" xfId="527"/>
    <cellStyle name="Procent 2 4 2 2 2" xfId="1362"/>
    <cellStyle name="Procent 2 4 2 2 2 2" xfId="3030"/>
    <cellStyle name="Procent 2 4 2 2 2 2 2" xfId="8019"/>
    <cellStyle name="Procent 2 4 2 2 2 3" xfId="4694"/>
    <cellStyle name="Procent 2 4 2 2 2 3 2" xfId="9680"/>
    <cellStyle name="Procent 2 4 2 2 2 4" xfId="6357"/>
    <cellStyle name="Procent 2 4 2 2 3" xfId="2199"/>
    <cellStyle name="Procent 2 4 2 2 3 2" xfId="7188"/>
    <cellStyle name="Procent 2 4 2 2 4" xfId="3863"/>
    <cellStyle name="Procent 2 4 2 2 4 2" xfId="8849"/>
    <cellStyle name="Procent 2 4 2 2 5" xfId="5526"/>
    <cellStyle name="Procent 2 4 2 2 6" xfId="10513"/>
    <cellStyle name="Procent 2 4 2 3" xfId="802"/>
    <cellStyle name="Procent 2 4 2 3 2" xfId="1636"/>
    <cellStyle name="Procent 2 4 2 3 2 2" xfId="3304"/>
    <cellStyle name="Procent 2 4 2 3 2 2 2" xfId="8293"/>
    <cellStyle name="Procent 2 4 2 3 2 3" xfId="4968"/>
    <cellStyle name="Procent 2 4 2 3 2 3 2" xfId="9954"/>
    <cellStyle name="Procent 2 4 2 3 2 4" xfId="6631"/>
    <cellStyle name="Procent 2 4 2 3 3" xfId="2473"/>
    <cellStyle name="Procent 2 4 2 3 3 2" xfId="7462"/>
    <cellStyle name="Procent 2 4 2 3 4" xfId="4137"/>
    <cellStyle name="Procent 2 4 2 3 4 2" xfId="9123"/>
    <cellStyle name="Procent 2 4 2 3 5" xfId="5800"/>
    <cellStyle name="Procent 2 4 2 3 6" xfId="10787"/>
    <cellStyle name="Procent 2 4 2 4" xfId="1083"/>
    <cellStyle name="Procent 2 4 2 4 2" xfId="2751"/>
    <cellStyle name="Procent 2 4 2 4 2 2" xfId="7740"/>
    <cellStyle name="Procent 2 4 2 4 3" xfId="4415"/>
    <cellStyle name="Procent 2 4 2 4 3 2" xfId="9401"/>
    <cellStyle name="Procent 2 4 2 4 4" xfId="6078"/>
    <cellStyle name="Procent 2 4 2 5" xfId="1921"/>
    <cellStyle name="Procent 2 4 2 5 2" xfId="6910"/>
    <cellStyle name="Procent 2 4 2 6" xfId="3586"/>
    <cellStyle name="Procent 2 4 2 6 2" xfId="8572"/>
    <cellStyle name="Procent 2 4 2 7" xfId="5249"/>
    <cellStyle name="Procent 2 4 2 8" xfId="10233"/>
    <cellStyle name="Procent 2 4 3" xfId="209"/>
    <cellStyle name="Procent 2 4 3 2" xfId="581"/>
    <cellStyle name="Procent 2 4 3 2 2" xfId="1416"/>
    <cellStyle name="Procent 2 4 3 2 2 2" xfId="3084"/>
    <cellStyle name="Procent 2 4 3 2 2 2 2" xfId="8073"/>
    <cellStyle name="Procent 2 4 3 2 2 3" xfId="4748"/>
    <cellStyle name="Procent 2 4 3 2 2 3 2" xfId="9734"/>
    <cellStyle name="Procent 2 4 3 2 2 4" xfId="6411"/>
    <cellStyle name="Procent 2 4 3 2 3" xfId="2253"/>
    <cellStyle name="Procent 2 4 3 2 3 2" xfId="7242"/>
    <cellStyle name="Procent 2 4 3 2 4" xfId="3917"/>
    <cellStyle name="Procent 2 4 3 2 4 2" xfId="8903"/>
    <cellStyle name="Procent 2 4 3 2 5" xfId="5580"/>
    <cellStyle name="Procent 2 4 3 2 6" xfId="10567"/>
    <cellStyle name="Procent 2 4 3 3" xfId="856"/>
    <cellStyle name="Procent 2 4 3 3 2" xfId="1690"/>
    <cellStyle name="Procent 2 4 3 3 2 2" xfId="3358"/>
    <cellStyle name="Procent 2 4 3 3 2 2 2" xfId="8347"/>
    <cellStyle name="Procent 2 4 3 3 2 3" xfId="5022"/>
    <cellStyle name="Procent 2 4 3 3 2 3 2" xfId="10008"/>
    <cellStyle name="Procent 2 4 3 3 2 4" xfId="6685"/>
    <cellStyle name="Procent 2 4 3 3 3" xfId="2527"/>
    <cellStyle name="Procent 2 4 3 3 3 2" xfId="7516"/>
    <cellStyle name="Procent 2 4 3 3 4" xfId="4191"/>
    <cellStyle name="Procent 2 4 3 3 4 2" xfId="9177"/>
    <cellStyle name="Procent 2 4 3 3 5" xfId="5854"/>
    <cellStyle name="Procent 2 4 3 3 6" xfId="10841"/>
    <cellStyle name="Procent 2 4 3 4" xfId="1137"/>
    <cellStyle name="Procent 2 4 3 4 2" xfId="2805"/>
    <cellStyle name="Procent 2 4 3 4 2 2" xfId="7794"/>
    <cellStyle name="Procent 2 4 3 4 3" xfId="4469"/>
    <cellStyle name="Procent 2 4 3 4 3 2" xfId="9455"/>
    <cellStyle name="Procent 2 4 3 4 4" xfId="6132"/>
    <cellStyle name="Procent 2 4 3 5" xfId="1975"/>
    <cellStyle name="Procent 2 4 3 5 2" xfId="6964"/>
    <cellStyle name="Procent 2 4 3 6" xfId="3640"/>
    <cellStyle name="Procent 2 4 3 6 2" xfId="8626"/>
    <cellStyle name="Procent 2 4 3 7" xfId="5303"/>
    <cellStyle name="Procent 2 4 3 8" xfId="10287"/>
    <cellStyle name="Procent 2 4 4" xfId="264"/>
    <cellStyle name="Procent 2 4 4 2" xfId="636"/>
    <cellStyle name="Procent 2 4 4 2 2" xfId="1471"/>
    <cellStyle name="Procent 2 4 4 2 2 2" xfId="3139"/>
    <cellStyle name="Procent 2 4 4 2 2 2 2" xfId="8128"/>
    <cellStyle name="Procent 2 4 4 2 2 3" xfId="4803"/>
    <cellStyle name="Procent 2 4 4 2 2 3 2" xfId="9789"/>
    <cellStyle name="Procent 2 4 4 2 2 4" xfId="6466"/>
    <cellStyle name="Procent 2 4 4 2 3" xfId="2308"/>
    <cellStyle name="Procent 2 4 4 2 3 2" xfId="7297"/>
    <cellStyle name="Procent 2 4 4 2 4" xfId="3972"/>
    <cellStyle name="Procent 2 4 4 2 4 2" xfId="8958"/>
    <cellStyle name="Procent 2 4 4 2 5" xfId="5635"/>
    <cellStyle name="Procent 2 4 4 2 6" xfId="10622"/>
    <cellStyle name="Procent 2 4 4 3" xfId="911"/>
    <cellStyle name="Procent 2 4 4 3 2" xfId="1745"/>
    <cellStyle name="Procent 2 4 4 3 2 2" xfId="3413"/>
    <cellStyle name="Procent 2 4 4 3 2 2 2" xfId="8402"/>
    <cellStyle name="Procent 2 4 4 3 2 3" xfId="5077"/>
    <cellStyle name="Procent 2 4 4 3 2 3 2" xfId="10063"/>
    <cellStyle name="Procent 2 4 4 3 2 4" xfId="6740"/>
    <cellStyle name="Procent 2 4 4 3 3" xfId="2582"/>
    <cellStyle name="Procent 2 4 4 3 3 2" xfId="7571"/>
    <cellStyle name="Procent 2 4 4 3 4" xfId="4246"/>
    <cellStyle name="Procent 2 4 4 3 4 2" xfId="9232"/>
    <cellStyle name="Procent 2 4 4 3 5" xfId="5909"/>
    <cellStyle name="Procent 2 4 4 3 6" xfId="10896"/>
    <cellStyle name="Procent 2 4 4 4" xfId="1192"/>
    <cellStyle name="Procent 2 4 4 4 2" xfId="2860"/>
    <cellStyle name="Procent 2 4 4 4 2 2" xfId="7849"/>
    <cellStyle name="Procent 2 4 4 4 3" xfId="4524"/>
    <cellStyle name="Procent 2 4 4 4 3 2" xfId="9510"/>
    <cellStyle name="Procent 2 4 4 4 4" xfId="6187"/>
    <cellStyle name="Procent 2 4 4 5" xfId="2030"/>
    <cellStyle name="Procent 2 4 4 5 2" xfId="7019"/>
    <cellStyle name="Procent 2 4 4 6" xfId="3695"/>
    <cellStyle name="Procent 2 4 4 6 2" xfId="8681"/>
    <cellStyle name="Procent 2 4 4 7" xfId="5358"/>
    <cellStyle name="Procent 2 4 4 8" xfId="10342"/>
    <cellStyle name="Procent 2 4 5" xfId="320"/>
    <cellStyle name="Procent 2 4 5 2" xfId="692"/>
    <cellStyle name="Procent 2 4 5 2 2" xfId="1527"/>
    <cellStyle name="Procent 2 4 5 2 2 2" xfId="3195"/>
    <cellStyle name="Procent 2 4 5 2 2 2 2" xfId="8184"/>
    <cellStyle name="Procent 2 4 5 2 2 3" xfId="4859"/>
    <cellStyle name="Procent 2 4 5 2 2 3 2" xfId="9845"/>
    <cellStyle name="Procent 2 4 5 2 2 4" xfId="6522"/>
    <cellStyle name="Procent 2 4 5 2 3" xfId="2364"/>
    <cellStyle name="Procent 2 4 5 2 3 2" xfId="7353"/>
    <cellStyle name="Procent 2 4 5 2 4" xfId="4028"/>
    <cellStyle name="Procent 2 4 5 2 4 2" xfId="9014"/>
    <cellStyle name="Procent 2 4 5 2 5" xfId="5691"/>
    <cellStyle name="Procent 2 4 5 2 6" xfId="10678"/>
    <cellStyle name="Procent 2 4 5 3" xfId="967"/>
    <cellStyle name="Procent 2 4 5 3 2" xfId="1801"/>
    <cellStyle name="Procent 2 4 5 3 2 2" xfId="3469"/>
    <cellStyle name="Procent 2 4 5 3 2 2 2" xfId="8458"/>
    <cellStyle name="Procent 2 4 5 3 2 3" xfId="5133"/>
    <cellStyle name="Procent 2 4 5 3 2 3 2" xfId="10119"/>
    <cellStyle name="Procent 2 4 5 3 2 4" xfId="6796"/>
    <cellStyle name="Procent 2 4 5 3 3" xfId="2638"/>
    <cellStyle name="Procent 2 4 5 3 3 2" xfId="7627"/>
    <cellStyle name="Procent 2 4 5 3 4" xfId="4302"/>
    <cellStyle name="Procent 2 4 5 3 4 2" xfId="9288"/>
    <cellStyle name="Procent 2 4 5 3 5" xfId="5965"/>
    <cellStyle name="Procent 2 4 5 3 6" xfId="10952"/>
    <cellStyle name="Procent 2 4 5 4" xfId="1248"/>
    <cellStyle name="Procent 2 4 5 4 2" xfId="2916"/>
    <cellStyle name="Procent 2 4 5 4 2 2" xfId="7905"/>
    <cellStyle name="Procent 2 4 5 4 3" xfId="4580"/>
    <cellStyle name="Procent 2 4 5 4 3 2" xfId="9566"/>
    <cellStyle name="Procent 2 4 5 4 4" xfId="6243"/>
    <cellStyle name="Procent 2 4 5 5" xfId="2086"/>
    <cellStyle name="Procent 2 4 5 5 2" xfId="7075"/>
    <cellStyle name="Procent 2 4 5 6" xfId="3751"/>
    <cellStyle name="Procent 2 4 5 6 2" xfId="8737"/>
    <cellStyle name="Procent 2 4 5 7" xfId="5414"/>
    <cellStyle name="Procent 2 4 5 8" xfId="10398"/>
    <cellStyle name="Procent 2 4 6" xfId="473"/>
    <cellStyle name="Procent 2 4 6 2" xfId="1308"/>
    <cellStyle name="Procent 2 4 6 2 2" xfId="2976"/>
    <cellStyle name="Procent 2 4 6 2 2 2" xfId="7965"/>
    <cellStyle name="Procent 2 4 6 2 3" xfId="4640"/>
    <cellStyle name="Procent 2 4 6 2 3 2" xfId="9626"/>
    <cellStyle name="Procent 2 4 6 2 4" xfId="6303"/>
    <cellStyle name="Procent 2 4 6 3" xfId="2147"/>
    <cellStyle name="Procent 2 4 6 3 2" xfId="7136"/>
    <cellStyle name="Procent 2 4 6 4" xfId="3811"/>
    <cellStyle name="Procent 2 4 6 4 2" xfId="8797"/>
    <cellStyle name="Procent 2 4 6 5" xfId="5474"/>
    <cellStyle name="Procent 2 4 6 6" xfId="10417"/>
    <cellStyle name="Procent 2 4 7" xfId="748"/>
    <cellStyle name="Procent 2 4 7 2" xfId="1582"/>
    <cellStyle name="Procent 2 4 7 2 2" xfId="3250"/>
    <cellStyle name="Procent 2 4 7 2 2 2" xfId="8239"/>
    <cellStyle name="Procent 2 4 7 2 3" xfId="4914"/>
    <cellStyle name="Procent 2 4 7 2 3 2" xfId="9900"/>
    <cellStyle name="Procent 2 4 7 2 4" xfId="6577"/>
    <cellStyle name="Procent 2 4 7 3" xfId="2419"/>
    <cellStyle name="Procent 2 4 7 3 2" xfId="7408"/>
    <cellStyle name="Procent 2 4 7 4" xfId="4083"/>
    <cellStyle name="Procent 2 4 7 4 2" xfId="9069"/>
    <cellStyle name="Procent 2 4 7 5" xfId="5746"/>
    <cellStyle name="Procent 2 4 7 6" xfId="10733"/>
    <cellStyle name="Procent 2 4 8" xfId="1029"/>
    <cellStyle name="Procent 2 4 8 2" xfId="2697"/>
    <cellStyle name="Procent 2 4 8 2 2" xfId="7686"/>
    <cellStyle name="Procent 2 4 8 3" xfId="4361"/>
    <cellStyle name="Procent 2 4 8 3 2" xfId="9347"/>
    <cellStyle name="Procent 2 4 8 4" xfId="6024"/>
    <cellStyle name="Procent 2 4 9" xfId="1865"/>
    <cellStyle name="Procent 2 4 9 2" xfId="6857"/>
    <cellStyle name="Procent 2 5" xfId="65"/>
    <cellStyle name="Procent 2 5 10" xfId="5177"/>
    <cellStyle name="Procent 2 5 11" xfId="10160"/>
    <cellStyle name="Procent 2 5 2" xfId="190"/>
    <cellStyle name="Procent 2 5 2 2" xfId="562"/>
    <cellStyle name="Procent 2 5 2 2 2" xfId="1397"/>
    <cellStyle name="Procent 2 5 2 2 2 2" xfId="3065"/>
    <cellStyle name="Procent 2 5 2 2 2 2 2" xfId="8054"/>
    <cellStyle name="Procent 2 5 2 2 2 3" xfId="4729"/>
    <cellStyle name="Procent 2 5 2 2 2 3 2" xfId="9715"/>
    <cellStyle name="Procent 2 5 2 2 2 4" xfId="6392"/>
    <cellStyle name="Procent 2 5 2 2 3" xfId="2234"/>
    <cellStyle name="Procent 2 5 2 2 3 2" xfId="7223"/>
    <cellStyle name="Procent 2 5 2 2 4" xfId="3898"/>
    <cellStyle name="Procent 2 5 2 2 4 2" xfId="8884"/>
    <cellStyle name="Procent 2 5 2 2 5" xfId="5561"/>
    <cellStyle name="Procent 2 5 2 2 6" xfId="10548"/>
    <cellStyle name="Procent 2 5 2 3" xfId="837"/>
    <cellStyle name="Procent 2 5 2 3 2" xfId="1671"/>
    <cellStyle name="Procent 2 5 2 3 2 2" xfId="3339"/>
    <cellStyle name="Procent 2 5 2 3 2 2 2" xfId="8328"/>
    <cellStyle name="Procent 2 5 2 3 2 3" xfId="5003"/>
    <cellStyle name="Procent 2 5 2 3 2 3 2" xfId="9989"/>
    <cellStyle name="Procent 2 5 2 3 2 4" xfId="6666"/>
    <cellStyle name="Procent 2 5 2 3 3" xfId="2508"/>
    <cellStyle name="Procent 2 5 2 3 3 2" xfId="7497"/>
    <cellStyle name="Procent 2 5 2 3 4" xfId="4172"/>
    <cellStyle name="Procent 2 5 2 3 4 2" xfId="9158"/>
    <cellStyle name="Procent 2 5 2 3 5" xfId="5835"/>
    <cellStyle name="Procent 2 5 2 3 6" xfId="10822"/>
    <cellStyle name="Procent 2 5 2 4" xfId="1118"/>
    <cellStyle name="Procent 2 5 2 4 2" xfId="2786"/>
    <cellStyle name="Procent 2 5 2 4 2 2" xfId="7775"/>
    <cellStyle name="Procent 2 5 2 4 3" xfId="4450"/>
    <cellStyle name="Procent 2 5 2 4 3 2" xfId="9436"/>
    <cellStyle name="Procent 2 5 2 4 4" xfId="6113"/>
    <cellStyle name="Procent 2 5 2 5" xfId="1956"/>
    <cellStyle name="Procent 2 5 2 5 2" xfId="6945"/>
    <cellStyle name="Procent 2 5 2 6" xfId="3621"/>
    <cellStyle name="Procent 2 5 2 6 2" xfId="8607"/>
    <cellStyle name="Procent 2 5 2 7" xfId="5284"/>
    <cellStyle name="Procent 2 5 2 8" xfId="10268"/>
    <cellStyle name="Procent 2 5 3" xfId="245"/>
    <cellStyle name="Procent 2 5 3 2" xfId="617"/>
    <cellStyle name="Procent 2 5 3 2 2" xfId="1452"/>
    <cellStyle name="Procent 2 5 3 2 2 2" xfId="3120"/>
    <cellStyle name="Procent 2 5 3 2 2 2 2" xfId="8109"/>
    <cellStyle name="Procent 2 5 3 2 2 3" xfId="4784"/>
    <cellStyle name="Procent 2 5 3 2 2 3 2" xfId="9770"/>
    <cellStyle name="Procent 2 5 3 2 2 4" xfId="6447"/>
    <cellStyle name="Procent 2 5 3 2 3" xfId="2289"/>
    <cellStyle name="Procent 2 5 3 2 3 2" xfId="7278"/>
    <cellStyle name="Procent 2 5 3 2 4" xfId="3953"/>
    <cellStyle name="Procent 2 5 3 2 4 2" xfId="8939"/>
    <cellStyle name="Procent 2 5 3 2 5" xfId="5616"/>
    <cellStyle name="Procent 2 5 3 2 6" xfId="10603"/>
    <cellStyle name="Procent 2 5 3 3" xfId="892"/>
    <cellStyle name="Procent 2 5 3 3 2" xfId="1726"/>
    <cellStyle name="Procent 2 5 3 3 2 2" xfId="3394"/>
    <cellStyle name="Procent 2 5 3 3 2 2 2" xfId="8383"/>
    <cellStyle name="Procent 2 5 3 3 2 3" xfId="5058"/>
    <cellStyle name="Procent 2 5 3 3 2 3 2" xfId="10044"/>
    <cellStyle name="Procent 2 5 3 3 2 4" xfId="6721"/>
    <cellStyle name="Procent 2 5 3 3 3" xfId="2563"/>
    <cellStyle name="Procent 2 5 3 3 3 2" xfId="7552"/>
    <cellStyle name="Procent 2 5 3 3 4" xfId="4227"/>
    <cellStyle name="Procent 2 5 3 3 4 2" xfId="9213"/>
    <cellStyle name="Procent 2 5 3 3 5" xfId="5890"/>
    <cellStyle name="Procent 2 5 3 3 6" xfId="10877"/>
    <cellStyle name="Procent 2 5 3 4" xfId="1173"/>
    <cellStyle name="Procent 2 5 3 4 2" xfId="2841"/>
    <cellStyle name="Procent 2 5 3 4 2 2" xfId="7830"/>
    <cellStyle name="Procent 2 5 3 4 3" xfId="4505"/>
    <cellStyle name="Procent 2 5 3 4 3 2" xfId="9491"/>
    <cellStyle name="Procent 2 5 3 4 4" xfId="6168"/>
    <cellStyle name="Procent 2 5 3 5" xfId="2011"/>
    <cellStyle name="Procent 2 5 3 5 2" xfId="7000"/>
    <cellStyle name="Procent 2 5 3 6" xfId="3676"/>
    <cellStyle name="Procent 2 5 3 6 2" xfId="8662"/>
    <cellStyle name="Procent 2 5 3 7" xfId="5339"/>
    <cellStyle name="Procent 2 5 3 8" xfId="10323"/>
    <cellStyle name="Procent 2 5 4" xfId="301"/>
    <cellStyle name="Procent 2 5 4 2" xfId="673"/>
    <cellStyle name="Procent 2 5 4 2 2" xfId="1508"/>
    <cellStyle name="Procent 2 5 4 2 2 2" xfId="3176"/>
    <cellStyle name="Procent 2 5 4 2 2 2 2" xfId="8165"/>
    <cellStyle name="Procent 2 5 4 2 2 3" xfId="4840"/>
    <cellStyle name="Procent 2 5 4 2 2 3 2" xfId="9826"/>
    <cellStyle name="Procent 2 5 4 2 2 4" xfId="6503"/>
    <cellStyle name="Procent 2 5 4 2 3" xfId="2345"/>
    <cellStyle name="Procent 2 5 4 2 3 2" xfId="7334"/>
    <cellStyle name="Procent 2 5 4 2 4" xfId="4009"/>
    <cellStyle name="Procent 2 5 4 2 4 2" xfId="8995"/>
    <cellStyle name="Procent 2 5 4 2 5" xfId="5672"/>
    <cellStyle name="Procent 2 5 4 2 6" xfId="10659"/>
    <cellStyle name="Procent 2 5 4 3" xfId="948"/>
    <cellStyle name="Procent 2 5 4 3 2" xfId="1782"/>
    <cellStyle name="Procent 2 5 4 3 2 2" xfId="3450"/>
    <cellStyle name="Procent 2 5 4 3 2 2 2" xfId="8439"/>
    <cellStyle name="Procent 2 5 4 3 2 3" xfId="5114"/>
    <cellStyle name="Procent 2 5 4 3 2 3 2" xfId="10100"/>
    <cellStyle name="Procent 2 5 4 3 2 4" xfId="6777"/>
    <cellStyle name="Procent 2 5 4 3 3" xfId="2619"/>
    <cellStyle name="Procent 2 5 4 3 3 2" xfId="7608"/>
    <cellStyle name="Procent 2 5 4 3 4" xfId="4283"/>
    <cellStyle name="Procent 2 5 4 3 4 2" xfId="9269"/>
    <cellStyle name="Procent 2 5 4 3 5" xfId="5946"/>
    <cellStyle name="Procent 2 5 4 3 6" xfId="10933"/>
    <cellStyle name="Procent 2 5 4 4" xfId="1229"/>
    <cellStyle name="Procent 2 5 4 4 2" xfId="2897"/>
    <cellStyle name="Procent 2 5 4 4 2 2" xfId="7886"/>
    <cellStyle name="Procent 2 5 4 4 3" xfId="4561"/>
    <cellStyle name="Procent 2 5 4 4 3 2" xfId="9547"/>
    <cellStyle name="Procent 2 5 4 4 4" xfId="6224"/>
    <cellStyle name="Procent 2 5 4 5" xfId="2067"/>
    <cellStyle name="Procent 2 5 4 5 2" xfId="7056"/>
    <cellStyle name="Procent 2 5 4 6" xfId="3732"/>
    <cellStyle name="Procent 2 5 4 6 2" xfId="8718"/>
    <cellStyle name="Procent 2 5 4 7" xfId="5395"/>
    <cellStyle name="Procent 2 5 4 8" xfId="10379"/>
    <cellStyle name="Procent 2 5 5" xfId="454"/>
    <cellStyle name="Procent 2 5 5 2" xfId="1289"/>
    <cellStyle name="Procent 2 5 5 2 2" xfId="2957"/>
    <cellStyle name="Procent 2 5 5 2 2 2" xfId="7946"/>
    <cellStyle name="Procent 2 5 5 2 3" xfId="4621"/>
    <cellStyle name="Procent 2 5 5 2 3 2" xfId="9607"/>
    <cellStyle name="Procent 2 5 5 2 4" xfId="6284"/>
    <cellStyle name="Procent 2 5 5 3" xfId="2128"/>
    <cellStyle name="Procent 2 5 5 3 2" xfId="7117"/>
    <cellStyle name="Procent 2 5 5 4" xfId="3792"/>
    <cellStyle name="Procent 2 5 5 4 2" xfId="8778"/>
    <cellStyle name="Procent 2 5 5 5" xfId="5455"/>
    <cellStyle name="Procent 2 5 5 6" xfId="10442"/>
    <cellStyle name="Procent 2 5 6" xfId="729"/>
    <cellStyle name="Procent 2 5 6 2" xfId="1563"/>
    <cellStyle name="Procent 2 5 6 2 2" xfId="3231"/>
    <cellStyle name="Procent 2 5 6 2 2 2" xfId="8220"/>
    <cellStyle name="Procent 2 5 6 2 3" xfId="4895"/>
    <cellStyle name="Procent 2 5 6 2 3 2" xfId="9881"/>
    <cellStyle name="Procent 2 5 6 2 4" xfId="6558"/>
    <cellStyle name="Procent 2 5 6 3" xfId="2400"/>
    <cellStyle name="Procent 2 5 6 3 2" xfId="7389"/>
    <cellStyle name="Procent 2 5 6 4" xfId="4064"/>
    <cellStyle name="Procent 2 5 6 4 2" xfId="9050"/>
    <cellStyle name="Procent 2 5 6 5" xfId="5727"/>
    <cellStyle name="Procent 2 5 6 6" xfId="10714"/>
    <cellStyle name="Procent 2 5 7" xfId="1010"/>
    <cellStyle name="Procent 2 5 7 2" xfId="2678"/>
    <cellStyle name="Procent 2 5 7 2 2" xfId="7667"/>
    <cellStyle name="Procent 2 5 7 3" xfId="4342"/>
    <cellStyle name="Procent 2 5 7 3 2" xfId="9328"/>
    <cellStyle name="Procent 2 5 7 4" xfId="6005"/>
    <cellStyle name="Procent 2 5 8" xfId="1846"/>
    <cellStyle name="Procent 2 5 8 2" xfId="6838"/>
    <cellStyle name="Procent 2 5 9" xfId="3514"/>
    <cellStyle name="Procent 2 5 9 2" xfId="8500"/>
    <cellStyle name="Procent 2 6" xfId="386"/>
    <cellStyle name="Procent 2 7" xfId="395"/>
    <cellStyle name="Procent 3" xfId="91"/>
    <cellStyle name="Procent 3 2" xfId="408"/>
    <cellStyle name="Procent 4" xfId="69"/>
    <cellStyle name="Procent 4 10" xfId="3517"/>
    <cellStyle name="Procent 4 10 2" xfId="8503"/>
    <cellStyle name="Procent 4 11" xfId="5180"/>
    <cellStyle name="Procent 4 12" xfId="10163"/>
    <cellStyle name="Procent 4 2" xfId="138"/>
    <cellStyle name="Procent 4 2 2" xfId="511"/>
    <cellStyle name="Procent 4 2 2 2" xfId="1346"/>
    <cellStyle name="Procent 4 2 2 2 2" xfId="3014"/>
    <cellStyle name="Procent 4 2 2 2 2 2" xfId="8003"/>
    <cellStyle name="Procent 4 2 2 2 3" xfId="4678"/>
    <cellStyle name="Procent 4 2 2 2 3 2" xfId="9664"/>
    <cellStyle name="Procent 4 2 2 2 4" xfId="6341"/>
    <cellStyle name="Procent 4 2 2 3" xfId="2183"/>
    <cellStyle name="Procent 4 2 2 3 2" xfId="7172"/>
    <cellStyle name="Procent 4 2 2 4" xfId="3847"/>
    <cellStyle name="Procent 4 2 2 4 2" xfId="8833"/>
    <cellStyle name="Procent 4 2 2 5" xfId="5510"/>
    <cellStyle name="Procent 4 2 2 6" xfId="10497"/>
    <cellStyle name="Procent 4 2 3" xfId="786"/>
    <cellStyle name="Procent 4 2 3 2" xfId="1620"/>
    <cellStyle name="Procent 4 2 3 2 2" xfId="3288"/>
    <cellStyle name="Procent 4 2 3 2 2 2" xfId="8277"/>
    <cellStyle name="Procent 4 2 3 2 3" xfId="4952"/>
    <cellStyle name="Procent 4 2 3 2 3 2" xfId="9938"/>
    <cellStyle name="Procent 4 2 3 2 4" xfId="6615"/>
    <cellStyle name="Procent 4 2 3 3" xfId="2457"/>
    <cellStyle name="Procent 4 2 3 3 2" xfId="7446"/>
    <cellStyle name="Procent 4 2 3 4" xfId="4121"/>
    <cellStyle name="Procent 4 2 3 4 2" xfId="9107"/>
    <cellStyle name="Procent 4 2 3 5" xfId="5784"/>
    <cellStyle name="Procent 4 2 3 6" xfId="10771"/>
    <cellStyle name="Procent 4 2 4" xfId="1067"/>
    <cellStyle name="Procent 4 2 4 2" xfId="2735"/>
    <cellStyle name="Procent 4 2 4 2 2" xfId="7724"/>
    <cellStyle name="Procent 4 2 4 3" xfId="4399"/>
    <cellStyle name="Procent 4 2 4 3 2" xfId="9385"/>
    <cellStyle name="Procent 4 2 4 4" xfId="6062"/>
    <cellStyle name="Procent 4 2 5" xfId="1905"/>
    <cellStyle name="Procent 4 2 5 2" xfId="6894"/>
    <cellStyle name="Procent 4 2 6" xfId="3570"/>
    <cellStyle name="Procent 4 2 6 2" xfId="8556"/>
    <cellStyle name="Procent 4 2 7" xfId="5233"/>
    <cellStyle name="Procent 4 2 8" xfId="10217"/>
    <cellStyle name="Procent 4 3" xfId="193"/>
    <cellStyle name="Procent 4 3 2" xfId="565"/>
    <cellStyle name="Procent 4 3 2 2" xfId="1400"/>
    <cellStyle name="Procent 4 3 2 2 2" xfId="3068"/>
    <cellStyle name="Procent 4 3 2 2 2 2" xfId="8057"/>
    <cellStyle name="Procent 4 3 2 2 3" xfId="4732"/>
    <cellStyle name="Procent 4 3 2 2 3 2" xfId="9718"/>
    <cellStyle name="Procent 4 3 2 2 4" xfId="6395"/>
    <cellStyle name="Procent 4 3 2 3" xfId="2237"/>
    <cellStyle name="Procent 4 3 2 3 2" xfId="7226"/>
    <cellStyle name="Procent 4 3 2 4" xfId="3901"/>
    <cellStyle name="Procent 4 3 2 4 2" xfId="8887"/>
    <cellStyle name="Procent 4 3 2 5" xfId="5564"/>
    <cellStyle name="Procent 4 3 2 6" xfId="10551"/>
    <cellStyle name="Procent 4 3 3" xfId="840"/>
    <cellStyle name="Procent 4 3 3 2" xfId="1674"/>
    <cellStyle name="Procent 4 3 3 2 2" xfId="3342"/>
    <cellStyle name="Procent 4 3 3 2 2 2" xfId="8331"/>
    <cellStyle name="Procent 4 3 3 2 3" xfId="5006"/>
    <cellStyle name="Procent 4 3 3 2 3 2" xfId="9992"/>
    <cellStyle name="Procent 4 3 3 2 4" xfId="6669"/>
    <cellStyle name="Procent 4 3 3 3" xfId="2511"/>
    <cellStyle name="Procent 4 3 3 3 2" xfId="7500"/>
    <cellStyle name="Procent 4 3 3 4" xfId="4175"/>
    <cellStyle name="Procent 4 3 3 4 2" xfId="9161"/>
    <cellStyle name="Procent 4 3 3 5" xfId="5838"/>
    <cellStyle name="Procent 4 3 3 6" xfId="10825"/>
    <cellStyle name="Procent 4 3 4" xfId="1121"/>
    <cellStyle name="Procent 4 3 4 2" xfId="2789"/>
    <cellStyle name="Procent 4 3 4 2 2" xfId="7778"/>
    <cellStyle name="Procent 4 3 4 3" xfId="4453"/>
    <cellStyle name="Procent 4 3 4 3 2" xfId="9439"/>
    <cellStyle name="Procent 4 3 4 4" xfId="6116"/>
    <cellStyle name="Procent 4 3 5" xfId="1959"/>
    <cellStyle name="Procent 4 3 5 2" xfId="6948"/>
    <cellStyle name="Procent 4 3 6" xfId="3624"/>
    <cellStyle name="Procent 4 3 6 2" xfId="8610"/>
    <cellStyle name="Procent 4 3 7" xfId="5287"/>
    <cellStyle name="Procent 4 3 8" xfId="10271"/>
    <cellStyle name="Procent 4 4" xfId="248"/>
    <cellStyle name="Procent 4 4 2" xfId="620"/>
    <cellStyle name="Procent 4 4 2 2" xfId="1455"/>
    <cellStyle name="Procent 4 4 2 2 2" xfId="3123"/>
    <cellStyle name="Procent 4 4 2 2 2 2" xfId="8112"/>
    <cellStyle name="Procent 4 4 2 2 3" xfId="4787"/>
    <cellStyle name="Procent 4 4 2 2 3 2" xfId="9773"/>
    <cellStyle name="Procent 4 4 2 2 4" xfId="6450"/>
    <cellStyle name="Procent 4 4 2 3" xfId="2292"/>
    <cellStyle name="Procent 4 4 2 3 2" xfId="7281"/>
    <cellStyle name="Procent 4 4 2 4" xfId="3956"/>
    <cellStyle name="Procent 4 4 2 4 2" xfId="8942"/>
    <cellStyle name="Procent 4 4 2 5" xfId="5619"/>
    <cellStyle name="Procent 4 4 2 6" xfId="10606"/>
    <cellStyle name="Procent 4 4 3" xfId="895"/>
    <cellStyle name="Procent 4 4 3 2" xfId="1729"/>
    <cellStyle name="Procent 4 4 3 2 2" xfId="3397"/>
    <cellStyle name="Procent 4 4 3 2 2 2" xfId="8386"/>
    <cellStyle name="Procent 4 4 3 2 3" xfId="5061"/>
    <cellStyle name="Procent 4 4 3 2 3 2" xfId="10047"/>
    <cellStyle name="Procent 4 4 3 2 4" xfId="6724"/>
    <cellStyle name="Procent 4 4 3 3" xfId="2566"/>
    <cellStyle name="Procent 4 4 3 3 2" xfId="7555"/>
    <cellStyle name="Procent 4 4 3 4" xfId="4230"/>
    <cellStyle name="Procent 4 4 3 4 2" xfId="9216"/>
    <cellStyle name="Procent 4 4 3 5" xfId="5893"/>
    <cellStyle name="Procent 4 4 3 6" xfId="10880"/>
    <cellStyle name="Procent 4 4 4" xfId="1176"/>
    <cellStyle name="Procent 4 4 4 2" xfId="2844"/>
    <cellStyle name="Procent 4 4 4 2 2" xfId="7833"/>
    <cellStyle name="Procent 4 4 4 3" xfId="4508"/>
    <cellStyle name="Procent 4 4 4 3 2" xfId="9494"/>
    <cellStyle name="Procent 4 4 4 4" xfId="6171"/>
    <cellStyle name="Procent 4 4 5" xfId="2014"/>
    <cellStyle name="Procent 4 4 5 2" xfId="7003"/>
    <cellStyle name="Procent 4 4 6" xfId="3679"/>
    <cellStyle name="Procent 4 4 6 2" xfId="8665"/>
    <cellStyle name="Procent 4 4 7" xfId="5342"/>
    <cellStyle name="Procent 4 4 8" xfId="10326"/>
    <cellStyle name="Procent 4 5" xfId="304"/>
    <cellStyle name="Procent 4 5 2" xfId="676"/>
    <cellStyle name="Procent 4 5 2 2" xfId="1511"/>
    <cellStyle name="Procent 4 5 2 2 2" xfId="3179"/>
    <cellStyle name="Procent 4 5 2 2 2 2" xfId="8168"/>
    <cellStyle name="Procent 4 5 2 2 3" xfId="4843"/>
    <cellStyle name="Procent 4 5 2 2 3 2" xfId="9829"/>
    <cellStyle name="Procent 4 5 2 2 4" xfId="6506"/>
    <cellStyle name="Procent 4 5 2 3" xfId="2348"/>
    <cellStyle name="Procent 4 5 2 3 2" xfId="7337"/>
    <cellStyle name="Procent 4 5 2 4" xfId="4012"/>
    <cellStyle name="Procent 4 5 2 4 2" xfId="8998"/>
    <cellStyle name="Procent 4 5 2 5" xfId="5675"/>
    <cellStyle name="Procent 4 5 2 6" xfId="10662"/>
    <cellStyle name="Procent 4 5 3" xfId="951"/>
    <cellStyle name="Procent 4 5 3 2" xfId="1785"/>
    <cellStyle name="Procent 4 5 3 2 2" xfId="3453"/>
    <cellStyle name="Procent 4 5 3 2 2 2" xfId="8442"/>
    <cellStyle name="Procent 4 5 3 2 3" xfId="5117"/>
    <cellStyle name="Procent 4 5 3 2 3 2" xfId="10103"/>
    <cellStyle name="Procent 4 5 3 2 4" xfId="6780"/>
    <cellStyle name="Procent 4 5 3 3" xfId="2622"/>
    <cellStyle name="Procent 4 5 3 3 2" xfId="7611"/>
    <cellStyle name="Procent 4 5 3 4" xfId="4286"/>
    <cellStyle name="Procent 4 5 3 4 2" xfId="9272"/>
    <cellStyle name="Procent 4 5 3 5" xfId="5949"/>
    <cellStyle name="Procent 4 5 3 6" xfId="10936"/>
    <cellStyle name="Procent 4 5 4" xfId="1232"/>
    <cellStyle name="Procent 4 5 4 2" xfId="2900"/>
    <cellStyle name="Procent 4 5 4 2 2" xfId="7889"/>
    <cellStyle name="Procent 4 5 4 3" xfId="4564"/>
    <cellStyle name="Procent 4 5 4 3 2" xfId="9550"/>
    <cellStyle name="Procent 4 5 4 4" xfId="6227"/>
    <cellStyle name="Procent 4 5 5" xfId="2070"/>
    <cellStyle name="Procent 4 5 5 2" xfId="7059"/>
    <cellStyle name="Procent 4 5 6" xfId="3735"/>
    <cellStyle name="Procent 4 5 6 2" xfId="8721"/>
    <cellStyle name="Procent 4 5 7" xfId="5398"/>
    <cellStyle name="Procent 4 5 8" xfId="10382"/>
    <cellStyle name="Procent 4 6" xfId="457"/>
    <cellStyle name="Procent 4 6 2" xfId="1292"/>
    <cellStyle name="Procent 4 6 2 2" xfId="2960"/>
    <cellStyle name="Procent 4 6 2 2 2" xfId="7949"/>
    <cellStyle name="Procent 4 6 2 3" xfId="4624"/>
    <cellStyle name="Procent 4 6 2 3 2" xfId="9610"/>
    <cellStyle name="Procent 4 6 2 4" xfId="6287"/>
    <cellStyle name="Procent 4 6 3" xfId="2131"/>
    <cellStyle name="Procent 4 6 3 2" xfId="7120"/>
    <cellStyle name="Procent 4 6 4" xfId="3795"/>
    <cellStyle name="Procent 4 6 4 2" xfId="8781"/>
    <cellStyle name="Procent 4 6 5" xfId="5458"/>
    <cellStyle name="Procent 4 6 6" xfId="10421"/>
    <cellStyle name="Procent 4 7" xfId="732"/>
    <cellStyle name="Procent 4 7 2" xfId="1566"/>
    <cellStyle name="Procent 4 7 2 2" xfId="3234"/>
    <cellStyle name="Procent 4 7 2 2 2" xfId="8223"/>
    <cellStyle name="Procent 4 7 2 3" xfId="4898"/>
    <cellStyle name="Procent 4 7 2 3 2" xfId="9884"/>
    <cellStyle name="Procent 4 7 2 4" xfId="6561"/>
    <cellStyle name="Procent 4 7 3" xfId="2403"/>
    <cellStyle name="Procent 4 7 3 2" xfId="7392"/>
    <cellStyle name="Procent 4 7 4" xfId="4067"/>
    <cellStyle name="Procent 4 7 4 2" xfId="9053"/>
    <cellStyle name="Procent 4 7 5" xfId="5730"/>
    <cellStyle name="Procent 4 7 6" xfId="10717"/>
    <cellStyle name="Procent 4 8" xfId="1013"/>
    <cellStyle name="Procent 4 8 2" xfId="2681"/>
    <cellStyle name="Procent 4 8 2 2" xfId="7670"/>
    <cellStyle name="Procent 4 8 3" xfId="4345"/>
    <cellStyle name="Procent 4 8 3 2" xfId="9331"/>
    <cellStyle name="Procent 4 8 4" xfId="6008"/>
    <cellStyle name="Procent 4 9" xfId="1849"/>
    <cellStyle name="Procent 4 9 2" xfId="6841"/>
    <cellStyle name="Procent 5" xfId="105"/>
    <cellStyle name="Procent 5 10" xfId="1040"/>
    <cellStyle name="Procent 5 10 2" xfId="2708"/>
    <cellStyle name="Procent 5 10 2 2" xfId="7697"/>
    <cellStyle name="Procent 5 10 3" xfId="4372"/>
    <cellStyle name="Procent 5 10 3 2" xfId="9358"/>
    <cellStyle name="Procent 5 10 4" xfId="6035"/>
    <cellStyle name="Procent 5 11" xfId="1876"/>
    <cellStyle name="Procent 5 11 2" xfId="6868"/>
    <cellStyle name="Procent 5 12" xfId="3544"/>
    <cellStyle name="Procent 5 12 2" xfId="8530"/>
    <cellStyle name="Procent 5 13" xfId="5207"/>
    <cellStyle name="Procent 5 14" xfId="10190"/>
    <cellStyle name="Procent 5 2" xfId="165"/>
    <cellStyle name="Procent 5 2 2" xfId="538"/>
    <cellStyle name="Procent 5 2 2 2" xfId="1373"/>
    <cellStyle name="Procent 5 2 2 2 2" xfId="3041"/>
    <cellStyle name="Procent 5 2 2 2 2 2" xfId="8030"/>
    <cellStyle name="Procent 5 2 2 2 3" xfId="4705"/>
    <cellStyle name="Procent 5 2 2 2 3 2" xfId="9691"/>
    <cellStyle name="Procent 5 2 2 2 4" xfId="6368"/>
    <cellStyle name="Procent 5 2 2 3" xfId="2210"/>
    <cellStyle name="Procent 5 2 2 3 2" xfId="7199"/>
    <cellStyle name="Procent 5 2 2 4" xfId="3874"/>
    <cellStyle name="Procent 5 2 2 4 2" xfId="8860"/>
    <cellStyle name="Procent 5 2 2 5" xfId="5537"/>
    <cellStyle name="Procent 5 2 2 6" xfId="10524"/>
    <cellStyle name="Procent 5 2 3" xfId="813"/>
    <cellStyle name="Procent 5 2 3 2" xfId="1647"/>
    <cellStyle name="Procent 5 2 3 2 2" xfId="3315"/>
    <cellStyle name="Procent 5 2 3 2 2 2" xfId="8304"/>
    <cellStyle name="Procent 5 2 3 2 3" xfId="4979"/>
    <cellStyle name="Procent 5 2 3 2 3 2" xfId="9965"/>
    <cellStyle name="Procent 5 2 3 2 4" xfId="6642"/>
    <cellStyle name="Procent 5 2 3 3" xfId="2484"/>
    <cellStyle name="Procent 5 2 3 3 2" xfId="7473"/>
    <cellStyle name="Procent 5 2 3 4" xfId="4148"/>
    <cellStyle name="Procent 5 2 3 4 2" xfId="9134"/>
    <cellStyle name="Procent 5 2 3 5" xfId="5811"/>
    <cellStyle name="Procent 5 2 3 6" xfId="10798"/>
    <cellStyle name="Procent 5 2 4" xfId="1094"/>
    <cellStyle name="Procent 5 2 4 2" xfId="2762"/>
    <cellStyle name="Procent 5 2 4 2 2" xfId="7751"/>
    <cellStyle name="Procent 5 2 4 3" xfId="4426"/>
    <cellStyle name="Procent 5 2 4 3 2" xfId="9412"/>
    <cellStyle name="Procent 5 2 4 4" xfId="6089"/>
    <cellStyle name="Procent 5 2 5" xfId="1932"/>
    <cellStyle name="Procent 5 2 5 2" xfId="6921"/>
    <cellStyle name="Procent 5 2 6" xfId="3597"/>
    <cellStyle name="Procent 5 2 6 2" xfId="8583"/>
    <cellStyle name="Procent 5 2 7" xfId="5260"/>
    <cellStyle name="Procent 5 2 8" xfId="10244"/>
    <cellStyle name="Procent 5 3" xfId="220"/>
    <cellStyle name="Procent 5 3 2" xfId="592"/>
    <cellStyle name="Procent 5 3 2 2" xfId="1427"/>
    <cellStyle name="Procent 5 3 2 2 2" xfId="3095"/>
    <cellStyle name="Procent 5 3 2 2 2 2" xfId="8084"/>
    <cellStyle name="Procent 5 3 2 2 3" xfId="4759"/>
    <cellStyle name="Procent 5 3 2 2 3 2" xfId="9745"/>
    <cellStyle name="Procent 5 3 2 2 4" xfId="6422"/>
    <cellStyle name="Procent 5 3 2 3" xfId="2264"/>
    <cellStyle name="Procent 5 3 2 3 2" xfId="7253"/>
    <cellStyle name="Procent 5 3 2 4" xfId="3928"/>
    <cellStyle name="Procent 5 3 2 4 2" xfId="8914"/>
    <cellStyle name="Procent 5 3 2 5" xfId="5591"/>
    <cellStyle name="Procent 5 3 2 6" xfId="10578"/>
    <cellStyle name="Procent 5 3 3" xfId="867"/>
    <cellStyle name="Procent 5 3 3 2" xfId="1701"/>
    <cellStyle name="Procent 5 3 3 2 2" xfId="3369"/>
    <cellStyle name="Procent 5 3 3 2 2 2" xfId="8358"/>
    <cellStyle name="Procent 5 3 3 2 3" xfId="5033"/>
    <cellStyle name="Procent 5 3 3 2 3 2" xfId="10019"/>
    <cellStyle name="Procent 5 3 3 2 4" xfId="6696"/>
    <cellStyle name="Procent 5 3 3 3" xfId="2538"/>
    <cellStyle name="Procent 5 3 3 3 2" xfId="7527"/>
    <cellStyle name="Procent 5 3 3 4" xfId="4202"/>
    <cellStyle name="Procent 5 3 3 4 2" xfId="9188"/>
    <cellStyle name="Procent 5 3 3 5" xfId="5865"/>
    <cellStyle name="Procent 5 3 3 6" xfId="10852"/>
    <cellStyle name="Procent 5 3 4" xfId="1148"/>
    <cellStyle name="Procent 5 3 4 2" xfId="2816"/>
    <cellStyle name="Procent 5 3 4 2 2" xfId="7805"/>
    <cellStyle name="Procent 5 3 4 3" xfId="4480"/>
    <cellStyle name="Procent 5 3 4 3 2" xfId="9466"/>
    <cellStyle name="Procent 5 3 4 4" xfId="6143"/>
    <cellStyle name="Procent 5 3 5" xfId="1986"/>
    <cellStyle name="Procent 5 3 5 2" xfId="6975"/>
    <cellStyle name="Procent 5 3 6" xfId="3651"/>
    <cellStyle name="Procent 5 3 6 2" xfId="8637"/>
    <cellStyle name="Procent 5 3 7" xfId="5314"/>
    <cellStyle name="Procent 5 3 8" xfId="10298"/>
    <cellStyle name="Procent 5 4" xfId="275"/>
    <cellStyle name="Procent 5 4 2" xfId="647"/>
    <cellStyle name="Procent 5 4 2 2" xfId="1482"/>
    <cellStyle name="Procent 5 4 2 2 2" xfId="3150"/>
    <cellStyle name="Procent 5 4 2 2 2 2" xfId="8139"/>
    <cellStyle name="Procent 5 4 2 2 3" xfId="4814"/>
    <cellStyle name="Procent 5 4 2 2 3 2" xfId="9800"/>
    <cellStyle name="Procent 5 4 2 2 4" xfId="6477"/>
    <cellStyle name="Procent 5 4 2 3" xfId="2319"/>
    <cellStyle name="Procent 5 4 2 3 2" xfId="7308"/>
    <cellStyle name="Procent 5 4 2 4" xfId="3983"/>
    <cellStyle name="Procent 5 4 2 4 2" xfId="8969"/>
    <cellStyle name="Procent 5 4 2 5" xfId="5646"/>
    <cellStyle name="Procent 5 4 2 6" xfId="10633"/>
    <cellStyle name="Procent 5 4 3" xfId="922"/>
    <cellStyle name="Procent 5 4 3 2" xfId="1756"/>
    <cellStyle name="Procent 5 4 3 2 2" xfId="3424"/>
    <cellStyle name="Procent 5 4 3 2 2 2" xfId="8413"/>
    <cellStyle name="Procent 5 4 3 2 3" xfId="5088"/>
    <cellStyle name="Procent 5 4 3 2 3 2" xfId="10074"/>
    <cellStyle name="Procent 5 4 3 2 4" xfId="6751"/>
    <cellStyle name="Procent 5 4 3 3" xfId="2593"/>
    <cellStyle name="Procent 5 4 3 3 2" xfId="7582"/>
    <cellStyle name="Procent 5 4 3 4" xfId="4257"/>
    <cellStyle name="Procent 5 4 3 4 2" xfId="9243"/>
    <cellStyle name="Procent 5 4 3 5" xfId="5920"/>
    <cellStyle name="Procent 5 4 3 6" xfId="10907"/>
    <cellStyle name="Procent 5 4 4" xfId="1203"/>
    <cellStyle name="Procent 5 4 4 2" xfId="2871"/>
    <cellStyle name="Procent 5 4 4 2 2" xfId="7860"/>
    <cellStyle name="Procent 5 4 4 3" xfId="4535"/>
    <cellStyle name="Procent 5 4 4 3 2" xfId="9521"/>
    <cellStyle name="Procent 5 4 4 4" xfId="6198"/>
    <cellStyle name="Procent 5 4 5" xfId="2041"/>
    <cellStyle name="Procent 5 4 5 2" xfId="7030"/>
    <cellStyle name="Procent 5 4 6" xfId="3706"/>
    <cellStyle name="Procent 5 4 6 2" xfId="8692"/>
    <cellStyle name="Procent 5 4 7" xfId="5369"/>
    <cellStyle name="Procent 5 4 8" xfId="10353"/>
    <cellStyle name="Procent 5 5" xfId="331"/>
    <cellStyle name="Procent 5 5 2" xfId="703"/>
    <cellStyle name="Procent 5 5 2 2" xfId="1538"/>
    <cellStyle name="Procent 5 5 2 2 2" xfId="3206"/>
    <cellStyle name="Procent 5 5 2 2 2 2" xfId="8195"/>
    <cellStyle name="Procent 5 5 2 2 3" xfId="4870"/>
    <cellStyle name="Procent 5 5 2 2 3 2" xfId="9856"/>
    <cellStyle name="Procent 5 5 2 2 4" xfId="6533"/>
    <cellStyle name="Procent 5 5 2 3" xfId="2375"/>
    <cellStyle name="Procent 5 5 2 3 2" xfId="7364"/>
    <cellStyle name="Procent 5 5 2 4" xfId="4039"/>
    <cellStyle name="Procent 5 5 2 4 2" xfId="9025"/>
    <cellStyle name="Procent 5 5 2 5" xfId="5702"/>
    <cellStyle name="Procent 5 5 2 6" xfId="10689"/>
    <cellStyle name="Procent 5 5 3" xfId="978"/>
    <cellStyle name="Procent 5 5 3 2" xfId="1812"/>
    <cellStyle name="Procent 5 5 3 2 2" xfId="3480"/>
    <cellStyle name="Procent 5 5 3 2 2 2" xfId="8469"/>
    <cellStyle name="Procent 5 5 3 2 3" xfId="5144"/>
    <cellStyle name="Procent 5 5 3 2 3 2" xfId="10130"/>
    <cellStyle name="Procent 5 5 3 2 4" xfId="6807"/>
    <cellStyle name="Procent 5 5 3 3" xfId="2649"/>
    <cellStyle name="Procent 5 5 3 3 2" xfId="7638"/>
    <cellStyle name="Procent 5 5 3 4" xfId="4313"/>
    <cellStyle name="Procent 5 5 3 4 2" xfId="9299"/>
    <cellStyle name="Procent 5 5 3 5" xfId="5976"/>
    <cellStyle name="Procent 5 5 3 6" xfId="10963"/>
    <cellStyle name="Procent 5 5 4" xfId="1259"/>
    <cellStyle name="Procent 5 5 4 2" xfId="2927"/>
    <cellStyle name="Procent 5 5 4 2 2" xfId="7916"/>
    <cellStyle name="Procent 5 5 4 3" xfId="4591"/>
    <cellStyle name="Procent 5 5 4 3 2" xfId="9577"/>
    <cellStyle name="Procent 5 5 4 4" xfId="6254"/>
    <cellStyle name="Procent 5 5 5" xfId="2097"/>
    <cellStyle name="Procent 5 5 5 2" xfId="7086"/>
    <cellStyle name="Procent 5 5 6" xfId="3762"/>
    <cellStyle name="Procent 5 5 6 2" xfId="8748"/>
    <cellStyle name="Procent 5 5 7" xfId="5425"/>
    <cellStyle name="Procent 5 5 8" xfId="10409"/>
    <cellStyle name="Procent 5 6" xfId="421"/>
    <cellStyle name="Procent 5 6 2" xfId="982"/>
    <cellStyle name="Procent 5 6 2 2" xfId="1816"/>
    <cellStyle name="Procent 5 6 2 2 2" xfId="3484"/>
    <cellStyle name="Procent 5 6 2 2 2 2" xfId="8473"/>
    <cellStyle name="Procent 5 6 2 2 3" xfId="5148"/>
    <cellStyle name="Procent 5 6 2 2 3 2" xfId="10134"/>
    <cellStyle name="Procent 5 6 2 2 4" xfId="6811"/>
    <cellStyle name="Procent 5 6 2 3" xfId="2653"/>
    <cellStyle name="Procent 5 6 2 3 2" xfId="7642"/>
    <cellStyle name="Procent 5 6 2 4" xfId="4317"/>
    <cellStyle name="Procent 5 6 2 4 2" xfId="9303"/>
    <cellStyle name="Procent 5 6 2 5" xfId="5980"/>
    <cellStyle name="Procent 5 6 2 6" xfId="10967"/>
    <cellStyle name="Procent 5 6 3" xfId="1262"/>
    <cellStyle name="Procent 5 6 3 2" xfId="2930"/>
    <cellStyle name="Procent 5 6 3 2 2" xfId="7919"/>
    <cellStyle name="Procent 5 6 3 3" xfId="4594"/>
    <cellStyle name="Procent 5 6 3 3 2" xfId="9580"/>
    <cellStyle name="Procent 5 6 3 4" xfId="6257"/>
    <cellStyle name="Procent 5 6 4" xfId="2100"/>
    <cellStyle name="Procent 5 6 4 2" xfId="7089"/>
    <cellStyle name="Procent 5 6 5" xfId="3765"/>
    <cellStyle name="Procent 5 6 5 2" xfId="8751"/>
    <cellStyle name="Procent 5 6 6" xfId="5428"/>
    <cellStyle name="Procent 5 6 7" xfId="10413"/>
    <cellStyle name="Procent 5 7" xfId="416"/>
    <cellStyle name="Procent 5 8" xfId="484"/>
    <cellStyle name="Procent 5 8 2" xfId="1319"/>
    <cellStyle name="Procent 5 8 2 2" xfId="2987"/>
    <cellStyle name="Procent 5 8 2 2 2" xfId="7976"/>
    <cellStyle name="Procent 5 8 2 3" xfId="4651"/>
    <cellStyle name="Procent 5 8 2 3 2" xfId="9637"/>
    <cellStyle name="Procent 5 8 2 4" xfId="6314"/>
    <cellStyle name="Procent 5 8 3" xfId="2158"/>
    <cellStyle name="Procent 5 8 3 2" xfId="7147"/>
    <cellStyle name="Procent 5 8 4" xfId="3822"/>
    <cellStyle name="Procent 5 8 4 2" xfId="8808"/>
    <cellStyle name="Procent 5 8 5" xfId="5485"/>
    <cellStyle name="Procent 5 8 6" xfId="10470"/>
    <cellStyle name="Procent 5 9" xfId="759"/>
    <cellStyle name="Procent 5 9 2" xfId="1593"/>
    <cellStyle name="Procent 5 9 2 2" xfId="3261"/>
    <cellStyle name="Procent 5 9 2 2 2" xfId="8250"/>
    <cellStyle name="Procent 5 9 2 3" xfId="4925"/>
    <cellStyle name="Procent 5 9 2 3 2" xfId="9911"/>
    <cellStyle name="Procent 5 9 2 4" xfId="6588"/>
    <cellStyle name="Procent 5 9 3" xfId="2430"/>
    <cellStyle name="Procent 5 9 3 2" xfId="7419"/>
    <cellStyle name="Procent 5 9 4" xfId="4094"/>
    <cellStyle name="Procent 5 9 4 2" xfId="9080"/>
    <cellStyle name="Procent 5 9 5" xfId="5757"/>
    <cellStyle name="Procent 5 9 6" xfId="10744"/>
    <cellStyle name="Procent 6" xfId="64"/>
    <cellStyle name="Procent 6 2" xfId="400"/>
    <cellStyle name="Procent 7" xfId="128"/>
    <cellStyle name="Procent 7 2" xfId="501"/>
    <cellStyle name="Procent 7 2 2" xfId="1336"/>
    <cellStyle name="Procent 7 2 2 2" xfId="3004"/>
    <cellStyle name="Procent 7 2 2 2 2" xfId="7993"/>
    <cellStyle name="Procent 7 2 2 3" xfId="4668"/>
    <cellStyle name="Procent 7 2 2 3 2" xfId="9654"/>
    <cellStyle name="Procent 7 2 2 4" xfId="6331"/>
    <cellStyle name="Procent 7 2 3" xfId="2175"/>
    <cellStyle name="Procent 7 2 3 2" xfId="7164"/>
    <cellStyle name="Procent 7 2 4" xfId="3839"/>
    <cellStyle name="Procent 7 2 4 2" xfId="8825"/>
    <cellStyle name="Procent 7 2 5" xfId="5502"/>
    <cellStyle name="Procent 7 2 6" xfId="10487"/>
    <cellStyle name="Procent 7 3" xfId="776"/>
    <cellStyle name="Procent 7 3 2" xfId="1610"/>
    <cellStyle name="Procent 7 3 2 2" xfId="3278"/>
    <cellStyle name="Procent 7 3 2 2 2" xfId="8267"/>
    <cellStyle name="Procent 7 3 2 3" xfId="4942"/>
    <cellStyle name="Procent 7 3 2 3 2" xfId="9928"/>
    <cellStyle name="Procent 7 3 2 4" xfId="6605"/>
    <cellStyle name="Procent 7 3 3" xfId="2447"/>
    <cellStyle name="Procent 7 3 3 2" xfId="7436"/>
    <cellStyle name="Procent 7 3 4" xfId="4111"/>
    <cellStyle name="Procent 7 3 4 2" xfId="9097"/>
    <cellStyle name="Procent 7 3 5" xfId="5774"/>
    <cellStyle name="Procent 7 3 6" xfId="10761"/>
    <cellStyle name="Procent 7 4" xfId="1057"/>
    <cellStyle name="Procent 7 4 2" xfId="2725"/>
    <cellStyle name="Procent 7 4 2 2" xfId="7714"/>
    <cellStyle name="Procent 7 4 3" xfId="4389"/>
    <cellStyle name="Procent 7 4 3 2" xfId="9375"/>
    <cellStyle name="Procent 7 4 4" xfId="6052"/>
    <cellStyle name="Procent 7 5" xfId="1895"/>
    <cellStyle name="Procent 7 5 2" xfId="6884"/>
    <cellStyle name="Procent 7 6" xfId="3560"/>
    <cellStyle name="Procent 7 6 2" xfId="8546"/>
    <cellStyle name="Procent 7 7" xfId="5223"/>
    <cellStyle name="Procent 7 8" xfId="10207"/>
    <cellStyle name="Procent 8" xfId="181"/>
    <cellStyle name="Procent 8 2" xfId="554"/>
    <cellStyle name="Procent 8 2 2" xfId="1389"/>
    <cellStyle name="Procent 8 2 2 2" xfId="3057"/>
    <cellStyle name="Procent 8 2 2 2 2" xfId="8046"/>
    <cellStyle name="Procent 8 2 2 3" xfId="4721"/>
    <cellStyle name="Procent 8 2 2 3 2" xfId="9707"/>
    <cellStyle name="Procent 8 2 2 4" xfId="6384"/>
    <cellStyle name="Procent 8 2 3" xfId="2226"/>
    <cellStyle name="Procent 8 2 3 2" xfId="7215"/>
    <cellStyle name="Procent 8 2 4" xfId="3890"/>
    <cellStyle name="Procent 8 2 4 2" xfId="8876"/>
    <cellStyle name="Procent 8 2 5" xfId="5553"/>
    <cellStyle name="Procent 8 2 6" xfId="10540"/>
    <cellStyle name="Procent 8 3" xfId="829"/>
    <cellStyle name="Procent 8 3 2" xfId="1663"/>
    <cellStyle name="Procent 8 3 2 2" xfId="3331"/>
    <cellStyle name="Procent 8 3 2 2 2" xfId="8320"/>
    <cellStyle name="Procent 8 3 2 3" xfId="4995"/>
    <cellStyle name="Procent 8 3 2 3 2" xfId="9981"/>
    <cellStyle name="Procent 8 3 2 4" xfId="6658"/>
    <cellStyle name="Procent 8 3 3" xfId="2500"/>
    <cellStyle name="Procent 8 3 3 2" xfId="7489"/>
    <cellStyle name="Procent 8 3 4" xfId="4164"/>
    <cellStyle name="Procent 8 3 4 2" xfId="9150"/>
    <cellStyle name="Procent 8 3 5" xfId="5827"/>
    <cellStyle name="Procent 8 3 6" xfId="10814"/>
    <cellStyle name="Procent 8 4" xfId="1110"/>
    <cellStyle name="Procent 8 4 2" xfId="2778"/>
    <cellStyle name="Procent 8 4 2 2" xfId="7767"/>
    <cellStyle name="Procent 8 4 3" xfId="4442"/>
    <cellStyle name="Procent 8 4 3 2" xfId="9428"/>
    <cellStyle name="Procent 8 4 4" xfId="6105"/>
    <cellStyle name="Procent 8 5" xfId="1948"/>
    <cellStyle name="Procent 8 5 2" xfId="6937"/>
    <cellStyle name="Procent 8 6" xfId="3613"/>
    <cellStyle name="Procent 8 6 2" xfId="8599"/>
    <cellStyle name="Procent 8 7" xfId="5276"/>
    <cellStyle name="Procent 8 8" xfId="10260"/>
    <cellStyle name="Procent 9" xfId="223"/>
    <cellStyle name="Procent 9 2" xfId="595"/>
    <cellStyle name="Procent 9 2 2" xfId="1430"/>
    <cellStyle name="Procent 9 2 2 2" xfId="3098"/>
    <cellStyle name="Procent 9 2 2 2 2" xfId="8087"/>
    <cellStyle name="Procent 9 2 2 3" xfId="4762"/>
    <cellStyle name="Procent 9 2 2 3 2" xfId="9748"/>
    <cellStyle name="Procent 9 2 2 4" xfId="6425"/>
    <cellStyle name="Procent 9 2 3" xfId="2267"/>
    <cellStyle name="Procent 9 2 3 2" xfId="7256"/>
    <cellStyle name="Procent 9 2 4" xfId="3931"/>
    <cellStyle name="Procent 9 2 4 2" xfId="8917"/>
    <cellStyle name="Procent 9 2 5" xfId="5594"/>
    <cellStyle name="Procent 9 2 6" xfId="10581"/>
    <cellStyle name="Procent 9 3" xfId="870"/>
    <cellStyle name="Procent 9 3 2" xfId="1704"/>
    <cellStyle name="Procent 9 3 2 2" xfId="3372"/>
    <cellStyle name="Procent 9 3 2 2 2" xfId="8361"/>
    <cellStyle name="Procent 9 3 2 3" xfId="5036"/>
    <cellStyle name="Procent 9 3 2 3 2" xfId="10022"/>
    <cellStyle name="Procent 9 3 2 4" xfId="6699"/>
    <cellStyle name="Procent 9 3 3" xfId="2541"/>
    <cellStyle name="Procent 9 3 3 2" xfId="7530"/>
    <cellStyle name="Procent 9 3 4" xfId="4205"/>
    <cellStyle name="Procent 9 3 4 2" xfId="9191"/>
    <cellStyle name="Procent 9 3 5" xfId="5868"/>
    <cellStyle name="Procent 9 3 6" xfId="10855"/>
    <cellStyle name="Procent 9 4" xfId="1151"/>
    <cellStyle name="Procent 9 4 2" xfId="2819"/>
    <cellStyle name="Procent 9 4 2 2" xfId="7808"/>
    <cellStyle name="Procent 9 4 3" xfId="4483"/>
    <cellStyle name="Procent 9 4 3 2" xfId="9469"/>
    <cellStyle name="Procent 9 4 4" xfId="6146"/>
    <cellStyle name="Procent 9 5" xfId="1989"/>
    <cellStyle name="Procent 9 5 2" xfId="6978"/>
    <cellStyle name="Procent 9 6" xfId="3654"/>
    <cellStyle name="Procent 9 6 2" xfId="8640"/>
    <cellStyle name="Procent 9 7" xfId="5317"/>
    <cellStyle name="Procent 9 8" xfId="10301"/>
    <cellStyle name="Sammenkædet celle" xfId="13" builtinId="24" customBuiltin="1"/>
    <cellStyle name="Titel" xfId="2" builtinId="15" customBuiltin="1"/>
    <cellStyle name="Title" xfId="387"/>
    <cellStyle name="Total" xfId="18" builtinId="25" customBuiltin="1"/>
    <cellStyle name="Total (negative)" xfId="341"/>
    <cellStyle name="Total 1000" xfId="342"/>
    <cellStyle name="Total 1000 (negative)" xfId="343"/>
    <cellStyle name="Total 2" xfId="388"/>
    <cellStyle name="Total 3" xfId="340"/>
    <cellStyle name="Ugyldig" xfId="8" builtinId="27" customBuiltin="1"/>
    <cellStyle name="Warning Text" xfId="389"/>
  </cellStyles>
  <dxfs count="9">
    <dxf>
      <font>
        <color rgb="FFFF0000"/>
      </font>
      <fill>
        <patternFill>
          <bgColor rgb="FFFF9999"/>
        </patternFill>
      </fill>
    </dxf>
    <dxf>
      <font>
        <color rgb="FFFF0000"/>
      </font>
      <fill>
        <patternFill>
          <bgColor rgb="FFFF9999"/>
        </patternFill>
      </fill>
    </dxf>
    <dxf>
      <font>
        <color rgb="FFFF0000"/>
      </font>
      <fill>
        <patternFill>
          <bgColor rgb="FFFF9999"/>
        </patternFill>
      </fill>
    </dxf>
    <dxf>
      <font>
        <color rgb="FFFF0000"/>
      </font>
      <fill>
        <patternFill>
          <bgColor rgb="FFFF9999"/>
        </patternFill>
      </fill>
    </dxf>
    <dxf>
      <font>
        <color rgb="FFFF0000"/>
      </font>
      <fill>
        <patternFill>
          <bgColor rgb="FFFF9999"/>
        </patternFill>
      </fill>
    </dxf>
    <dxf>
      <font>
        <color rgb="FFFF0000"/>
      </font>
      <fill>
        <patternFill>
          <bgColor rgb="FFFF9999"/>
        </patternFill>
      </fill>
    </dxf>
    <dxf>
      <font>
        <color rgb="FFFF0000"/>
      </font>
      <fill>
        <patternFill>
          <bgColor rgb="FFFF9999"/>
        </patternFill>
      </fill>
    </dxf>
    <dxf>
      <font>
        <color rgb="FFFF0000"/>
      </font>
      <fill>
        <patternFill>
          <bgColor rgb="FFFF9999"/>
        </patternFill>
      </fill>
    </dxf>
    <dxf>
      <font>
        <color rgb="FFFF0000"/>
      </font>
      <fill>
        <patternFill>
          <bgColor rgb="FFFF9999"/>
        </patternFill>
      </fill>
    </dxf>
  </dxfs>
  <tableStyles count="0" defaultTableStyle="TableStyleMedium2" defaultPivotStyle="PivotStyleMedium9"/>
  <colors>
    <mruColors>
      <color rgb="FFFF99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4.bin"/><Relationship Id="rId3" Type="http://schemas.openxmlformats.org/officeDocument/2006/relationships/printerSettings" Target="../printerSettings/printerSettings9.bin"/><Relationship Id="rId7" Type="http://schemas.openxmlformats.org/officeDocument/2006/relationships/printerSettings" Target="../printerSettings/printerSettings13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6" Type="http://schemas.openxmlformats.org/officeDocument/2006/relationships/printerSettings" Target="../printerSettings/printerSettings12.bin"/><Relationship Id="rId5" Type="http://schemas.openxmlformats.org/officeDocument/2006/relationships/printerSettings" Target="../printerSettings/printerSettings11.bin"/><Relationship Id="rId4" Type="http://schemas.openxmlformats.org/officeDocument/2006/relationships/printerSettings" Target="../printerSettings/printerSettings10.bin"/><Relationship Id="rId9" Type="http://schemas.openxmlformats.org/officeDocument/2006/relationships/printerSettings" Target="../printerSettings/printerSettings15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3.bin"/><Relationship Id="rId3" Type="http://schemas.openxmlformats.org/officeDocument/2006/relationships/printerSettings" Target="../printerSettings/printerSettings18.bin"/><Relationship Id="rId7" Type="http://schemas.openxmlformats.org/officeDocument/2006/relationships/printerSettings" Target="../printerSettings/printerSettings22.bin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Relationship Id="rId6" Type="http://schemas.openxmlformats.org/officeDocument/2006/relationships/printerSettings" Target="../printerSettings/printerSettings21.bin"/><Relationship Id="rId11" Type="http://schemas.openxmlformats.org/officeDocument/2006/relationships/comments" Target="../comments1.xml"/><Relationship Id="rId5" Type="http://schemas.openxmlformats.org/officeDocument/2006/relationships/printerSettings" Target="../printerSettings/printerSettings20.bin"/><Relationship Id="rId10" Type="http://schemas.openxmlformats.org/officeDocument/2006/relationships/vmlDrawing" Target="../drawings/vmlDrawing1.vml"/><Relationship Id="rId4" Type="http://schemas.openxmlformats.org/officeDocument/2006/relationships/printerSettings" Target="../printerSettings/printerSettings19.bin"/><Relationship Id="rId9" Type="http://schemas.openxmlformats.org/officeDocument/2006/relationships/printerSettings" Target="../printerSettings/printerSettings24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2.bin"/><Relationship Id="rId3" Type="http://schemas.openxmlformats.org/officeDocument/2006/relationships/printerSettings" Target="../printerSettings/printerSettings27.bin"/><Relationship Id="rId7" Type="http://schemas.openxmlformats.org/officeDocument/2006/relationships/printerSettings" Target="../printerSettings/printerSettings31.bin"/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Relationship Id="rId6" Type="http://schemas.openxmlformats.org/officeDocument/2006/relationships/printerSettings" Target="../printerSettings/printerSettings30.bin"/><Relationship Id="rId11" Type="http://schemas.openxmlformats.org/officeDocument/2006/relationships/comments" Target="../comments2.xml"/><Relationship Id="rId5" Type="http://schemas.openxmlformats.org/officeDocument/2006/relationships/printerSettings" Target="../printerSettings/printerSettings29.bin"/><Relationship Id="rId10" Type="http://schemas.openxmlformats.org/officeDocument/2006/relationships/vmlDrawing" Target="../drawings/vmlDrawing2.vml"/><Relationship Id="rId4" Type="http://schemas.openxmlformats.org/officeDocument/2006/relationships/printerSettings" Target="../printerSettings/printerSettings28.bin"/><Relationship Id="rId9" Type="http://schemas.openxmlformats.org/officeDocument/2006/relationships/printerSettings" Target="../printerSettings/printerSettings3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8"/>
  <sheetViews>
    <sheetView tabSelected="1" zoomScaleNormal="85" workbookViewId="0">
      <pane xSplit="1" ySplit="1" topLeftCell="H44" activePane="bottomRight" state="frozen"/>
      <selection pane="topRight" activeCell="B1" sqref="B1"/>
      <selection pane="bottomLeft" activeCell="A2" sqref="A2"/>
      <selection pane="bottomRight" activeCell="J57" sqref="J57"/>
    </sheetView>
  </sheetViews>
  <sheetFormatPr defaultRowHeight="14.4" x14ac:dyDescent="0.3"/>
  <cols>
    <col min="1" max="1" width="35" style="27" customWidth="1"/>
    <col min="2" max="2" width="7.6640625" bestFit="1" customWidth="1"/>
    <col min="3" max="3" width="12.5546875" style="19" customWidth="1"/>
    <col min="4" max="4" width="10.33203125" style="28" customWidth="1"/>
    <col min="5" max="5" width="11.5546875" style="28" customWidth="1"/>
    <col min="6" max="6" width="13.88671875" style="28" customWidth="1"/>
    <col min="7" max="7" width="12.5546875" style="28" customWidth="1"/>
    <col min="8" max="8" width="12.6640625" style="28" customWidth="1"/>
    <col min="9" max="9" width="18.6640625" style="20" customWidth="1"/>
    <col min="10" max="10" width="16.6640625" style="19" customWidth="1"/>
    <col min="11" max="11" width="15.109375" style="20" customWidth="1"/>
    <col min="12" max="12" width="14.5546875" style="20" customWidth="1"/>
    <col min="13" max="13" width="19" style="36" customWidth="1"/>
    <col min="14" max="14" width="14.109375" style="19" customWidth="1"/>
    <col min="15" max="15" width="17.44140625" style="19" customWidth="1"/>
    <col min="16" max="16" width="17.44140625" style="28" customWidth="1"/>
    <col min="17" max="17" width="14.6640625" style="20" customWidth="1"/>
    <col min="18" max="18" width="9.109375" style="20"/>
    <col min="19" max="19" width="14.44140625" style="19" customWidth="1"/>
  </cols>
  <sheetData>
    <row r="1" spans="1:20" ht="68.25" customHeight="1" x14ac:dyDescent="0.3">
      <c r="A1" s="241" t="s">
        <v>98</v>
      </c>
      <c r="B1" s="242" t="s">
        <v>110</v>
      </c>
      <c r="C1" s="229" t="s">
        <v>133</v>
      </c>
      <c r="D1" s="245" t="s">
        <v>121</v>
      </c>
      <c r="E1" s="246" t="s">
        <v>122</v>
      </c>
      <c r="F1" s="249" t="s">
        <v>141</v>
      </c>
      <c r="G1" s="250" t="s">
        <v>119</v>
      </c>
      <c r="H1" s="251" t="s">
        <v>120</v>
      </c>
      <c r="I1" s="245" t="s">
        <v>123</v>
      </c>
      <c r="J1" s="246" t="s">
        <v>124</v>
      </c>
      <c r="K1" s="252" t="s">
        <v>142</v>
      </c>
      <c r="L1" s="254" t="s">
        <v>143</v>
      </c>
      <c r="M1" s="253" t="s">
        <v>144</v>
      </c>
      <c r="N1" s="254" t="s">
        <v>145</v>
      </c>
      <c r="O1" s="259" t="s">
        <v>146</v>
      </c>
      <c r="P1" s="251" t="s">
        <v>147</v>
      </c>
      <c r="Q1" s="250" t="s">
        <v>111</v>
      </c>
      <c r="R1" s="262" t="s">
        <v>112</v>
      </c>
      <c r="S1" s="251" t="s">
        <v>148</v>
      </c>
      <c r="T1" s="10"/>
    </row>
    <row r="2" spans="1:20" x14ac:dyDescent="0.3">
      <c r="A2" s="219" t="s">
        <v>39</v>
      </c>
      <c r="B2" s="236"/>
      <c r="C2" s="215">
        <v>17209691.000000004</v>
      </c>
      <c r="D2" s="227">
        <v>0.41881086152140901</v>
      </c>
      <c r="E2" s="226">
        <f>C2*D2</f>
        <v>7207605.5142272403</v>
      </c>
      <c r="F2" s="236">
        <v>0</v>
      </c>
      <c r="G2" s="227">
        <v>0.41881086152140901</v>
      </c>
      <c r="H2" s="226">
        <f>G2*C2</f>
        <v>7207605.5142272403</v>
      </c>
      <c r="I2" s="227">
        <v>0.29257830843728205</v>
      </c>
      <c r="J2" s="226">
        <f>C2*I2</f>
        <v>5035182.2815083181</v>
      </c>
      <c r="K2" s="239">
        <f>IF(Netvolumenmål!AS3&lt;Netvolumenmål!$AG$55,(Netvolumenmål!AS3-Netvolumenmål!$AG$55),0)</f>
        <v>0</v>
      </c>
      <c r="L2" s="240">
        <f>Netvolumenmål!AT3*0.8</f>
        <v>0</v>
      </c>
      <c r="M2" s="237">
        <f>IF(I2=0,0,IF(I2&lt;-L2,0,I2+L2))</f>
        <v>0.29257830843728205</v>
      </c>
      <c r="N2" s="217">
        <f>M2*C2</f>
        <v>5035182.2815083181</v>
      </c>
      <c r="O2" s="238">
        <f>IF(G2&gt;0,C2-H2,"Over fronten")</f>
        <v>10002085.485772762</v>
      </c>
      <c r="P2" s="226">
        <f>IF(O2&gt;C2*1.031,O2-C2*1.031,0)</f>
        <v>0</v>
      </c>
      <c r="Q2" s="233">
        <f>M2/4</f>
        <v>7.3144577109320513E-2</v>
      </c>
      <c r="R2" s="234">
        <f>IF(Q2&gt;0.01,IF(Q2&gt;0.05,0.05,Q2),0)</f>
        <v>0.05</v>
      </c>
      <c r="S2" s="235">
        <f>R2*C2</f>
        <v>860484.55000000028</v>
      </c>
      <c r="T2" s="18"/>
    </row>
    <row r="3" spans="1:20" x14ac:dyDescent="0.3">
      <c r="A3" s="210" t="s">
        <v>104</v>
      </c>
      <c r="B3" s="221"/>
      <c r="C3" s="214">
        <v>51633572.695802636</v>
      </c>
      <c r="D3" s="225">
        <v>0.499346098069536</v>
      </c>
      <c r="E3" s="224">
        <f t="shared" ref="E3:E16" si="0">C3*D3</f>
        <v>25783023.05503878</v>
      </c>
      <c r="F3" s="221">
        <v>0</v>
      </c>
      <c r="G3" s="225">
        <v>0.499346098069536</v>
      </c>
      <c r="H3" s="224">
        <f t="shared" ref="H3:H16" si="1">G3*C3</f>
        <v>25783023.05503878</v>
      </c>
      <c r="I3" s="225">
        <v>0.36307210484756103</v>
      </c>
      <c r="J3" s="224">
        <f t="shared" ref="J3:J16" si="2">C3*I3</f>
        <v>18746709.919464618</v>
      </c>
      <c r="K3" s="255">
        <f>IF(Netvolumenmål!AS4&lt;Netvolumenmål!$AG$55,(Netvolumenmål!AS4-Netvolumenmål!$AG$55),0)</f>
        <v>0</v>
      </c>
      <c r="L3" s="257">
        <f>Netvolumenmål!AT4*0.8</f>
        <v>0</v>
      </c>
      <c r="M3" s="247">
        <f t="shared" ref="M3:M49" si="3">IF(I3=0,0,IF(I3&lt;-L3,0,I3+L3))</f>
        <v>0.36307210484756103</v>
      </c>
      <c r="N3" s="209">
        <f t="shared" ref="N3:N49" si="4">M3*C3</f>
        <v>18746709.919464618</v>
      </c>
      <c r="O3" s="260">
        <f t="shared" ref="O3:O49" si="5">IF(G3&gt;0,C3-H3,"Over fronten")</f>
        <v>25850549.640763856</v>
      </c>
      <c r="P3" s="224">
        <f t="shared" ref="P3:P49" si="6">IF(O3&gt;C3*1.031,O3-C3*1.031,0)</f>
        <v>0</v>
      </c>
      <c r="Q3" s="230">
        <f t="shared" ref="Q3:Q49" si="7">M3/4</f>
        <v>9.0768026211890257E-2</v>
      </c>
      <c r="R3" s="222">
        <f t="shared" ref="R3:R49" si="8">IF(Q3&gt;0.01,IF(Q3&gt;0.05,0.05,Q3),0)</f>
        <v>0.05</v>
      </c>
      <c r="S3" s="243">
        <f t="shared" ref="S3:S49" si="9">R3*C3</f>
        <v>2581678.6347901318</v>
      </c>
      <c r="T3" s="18"/>
    </row>
    <row r="4" spans="1:20" ht="15" x14ac:dyDescent="0.25">
      <c r="A4" s="210" t="s">
        <v>40</v>
      </c>
      <c r="B4" s="221"/>
      <c r="C4" s="214">
        <v>21132367.652713891</v>
      </c>
      <c r="D4" s="225">
        <v>0.27713382617603499</v>
      </c>
      <c r="E4" s="224">
        <f t="shared" si="0"/>
        <v>5856493.9037552765</v>
      </c>
      <c r="F4" s="221">
        <v>0</v>
      </c>
      <c r="G4" s="225">
        <v>0.27713382617603499</v>
      </c>
      <c r="H4" s="224">
        <f t="shared" si="1"/>
        <v>5856493.9037552765</v>
      </c>
      <c r="I4" s="225">
        <v>0.14085984438207899</v>
      </c>
      <c r="J4" s="224">
        <f t="shared" si="2"/>
        <v>2976702.0189861585</v>
      </c>
      <c r="K4" s="255">
        <f>IF(Netvolumenmål!AS5&lt;Netvolumenmål!$AG$55,(Netvolumenmål!AS5-Netvolumenmål!$AG$55),0)</f>
        <v>0</v>
      </c>
      <c r="L4" s="257">
        <f>Netvolumenmål!AT5*0.8</f>
        <v>0</v>
      </c>
      <c r="M4" s="247">
        <f t="shared" si="3"/>
        <v>0.14085984438207899</v>
      </c>
      <c r="N4" s="209">
        <f t="shared" si="4"/>
        <v>2976702.0189861585</v>
      </c>
      <c r="O4" s="260">
        <f>IF(G4&gt;0,C4-H4,"Over fronten")</f>
        <v>15275873.748958614</v>
      </c>
      <c r="P4" s="224">
        <f t="shared" si="6"/>
        <v>0</v>
      </c>
      <c r="Q4" s="230">
        <f t="shared" si="7"/>
        <v>3.5214961095519748E-2</v>
      </c>
      <c r="R4" s="222">
        <f t="shared" si="8"/>
        <v>3.5214961095519748E-2</v>
      </c>
      <c r="S4" s="243">
        <f t="shared" si="9"/>
        <v>744175.50474653963</v>
      </c>
      <c r="T4" s="18"/>
    </row>
    <row r="5" spans="1:20" ht="15" x14ac:dyDescent="0.25">
      <c r="A5" s="210" t="s">
        <v>41</v>
      </c>
      <c r="B5" s="221"/>
      <c r="C5" s="214">
        <v>31687121.799105406</v>
      </c>
      <c r="D5" s="225">
        <v>0.31578738580788701</v>
      </c>
      <c r="E5" s="224">
        <f t="shared" si="0"/>
        <v>10006393.356715605</v>
      </c>
      <c r="F5" s="221">
        <v>0</v>
      </c>
      <c r="G5" s="225">
        <v>0.31578738580788701</v>
      </c>
      <c r="H5" s="224">
        <f t="shared" si="1"/>
        <v>10006393.356715605</v>
      </c>
      <c r="I5" s="225">
        <v>0.18811458506479695</v>
      </c>
      <c r="J5" s="224">
        <f t="shared" si="2"/>
        <v>5960809.7691363953</v>
      </c>
      <c r="K5" s="255">
        <f>IF(Netvolumenmål!AS6&lt;Netvolumenmål!$AG$55,(Netvolumenmål!AS6-Netvolumenmål!$AG$55),0)</f>
        <v>0</v>
      </c>
      <c r="L5" s="257">
        <f>Netvolumenmål!AT6*0.8</f>
        <v>0</v>
      </c>
      <c r="M5" s="247">
        <f t="shared" si="3"/>
        <v>0.18811458506479695</v>
      </c>
      <c r="N5" s="209">
        <f t="shared" si="4"/>
        <v>5960809.7691363953</v>
      </c>
      <c r="O5" s="260">
        <f t="shared" si="5"/>
        <v>21680728.442389801</v>
      </c>
      <c r="P5" s="224">
        <f t="shared" si="6"/>
        <v>0</v>
      </c>
      <c r="Q5" s="230">
        <f t="shared" si="7"/>
        <v>4.7028646266199237E-2</v>
      </c>
      <c r="R5" s="222">
        <f t="shared" si="8"/>
        <v>4.7028646266199237E-2</v>
      </c>
      <c r="S5" s="243">
        <f t="shared" si="9"/>
        <v>1490202.4422840988</v>
      </c>
      <c r="T5" s="18"/>
    </row>
    <row r="6" spans="1:20" ht="15" x14ac:dyDescent="0.25">
      <c r="A6" s="210" t="s">
        <v>42</v>
      </c>
      <c r="B6" s="221"/>
      <c r="C6" s="214">
        <v>59742878</v>
      </c>
      <c r="D6" s="225">
        <f>1-0.7716024</f>
        <v>0.22839759999999998</v>
      </c>
      <c r="E6" s="224">
        <f t="shared" si="0"/>
        <v>13645129.952292798</v>
      </c>
      <c r="F6" s="221">
        <v>0</v>
      </c>
      <c r="G6" s="225">
        <f>1-0.7716024</f>
        <v>0.22839759999999998</v>
      </c>
      <c r="H6" s="224">
        <f t="shared" si="1"/>
        <v>13645129.952292798</v>
      </c>
      <c r="I6" s="225">
        <f>1-0.9078764</f>
        <v>9.2123599999999972E-2</v>
      </c>
      <c r="J6" s="224">
        <f t="shared" si="2"/>
        <v>5503728.9957207981</v>
      </c>
      <c r="K6" s="255">
        <f>IF(Netvolumenmål!AS7&lt;Netvolumenmål!$AG$55,(Netvolumenmål!AS7-Netvolumenmål!$AG$55),0)</f>
        <v>0</v>
      </c>
      <c r="L6" s="257">
        <f>Netvolumenmål!AT7*0.8</f>
        <v>0</v>
      </c>
      <c r="M6" s="247">
        <f t="shared" si="3"/>
        <v>9.2123599999999972E-2</v>
      </c>
      <c r="N6" s="209">
        <f t="shared" si="4"/>
        <v>5503728.9957207981</v>
      </c>
      <c r="O6" s="260">
        <f t="shared" si="5"/>
        <v>46097748.0477072</v>
      </c>
      <c r="P6" s="224">
        <f t="shared" si="6"/>
        <v>0</v>
      </c>
      <c r="Q6" s="230">
        <f t="shared" si="7"/>
        <v>2.3030899999999993E-2</v>
      </c>
      <c r="R6" s="222">
        <f t="shared" si="8"/>
        <v>2.3030899999999993E-2</v>
      </c>
      <c r="S6" s="243">
        <f t="shared" si="9"/>
        <v>1375932.2489301995</v>
      </c>
      <c r="T6" s="18"/>
    </row>
    <row r="7" spans="1:20" ht="15" x14ac:dyDescent="0.25">
      <c r="A7" s="210" t="s">
        <v>43</v>
      </c>
      <c r="B7" s="221"/>
      <c r="C7" s="214">
        <v>70511819.399666756</v>
      </c>
      <c r="D7" s="225">
        <v>0.21682615243562398</v>
      </c>
      <c r="E7" s="224">
        <f t="shared" si="0"/>
        <v>15288806.501665331</v>
      </c>
      <c r="F7" s="221">
        <v>0</v>
      </c>
      <c r="G7" s="225">
        <v>0.21682615243562398</v>
      </c>
      <c r="H7" s="224">
        <f>G7*C7</f>
        <v>15288806.501665331</v>
      </c>
      <c r="I7" s="225">
        <v>9.9363440066983055E-2</v>
      </c>
      <c r="J7" s="224">
        <f t="shared" si="2"/>
        <v>7006296.9409327209</v>
      </c>
      <c r="K7" s="255">
        <f>IF(Netvolumenmål!AS8&lt;Netvolumenmål!$AG$55,(Netvolumenmål!AS8-Netvolumenmål!$AG$55),0)</f>
        <v>0</v>
      </c>
      <c r="L7" s="257">
        <f>Netvolumenmål!AT8*0.8</f>
        <v>0</v>
      </c>
      <c r="M7" s="247">
        <f t="shared" si="3"/>
        <v>9.9363440066983055E-2</v>
      </c>
      <c r="N7" s="209">
        <f t="shared" si="4"/>
        <v>7006296.9409327209</v>
      </c>
      <c r="O7" s="260">
        <f t="shared" si="5"/>
        <v>55223012.898001425</v>
      </c>
      <c r="P7" s="224">
        <f t="shared" si="6"/>
        <v>0</v>
      </c>
      <c r="Q7" s="230">
        <f t="shared" si="7"/>
        <v>2.4840860016745764E-2</v>
      </c>
      <c r="R7" s="222">
        <f t="shared" si="8"/>
        <v>2.4840860016745764E-2</v>
      </c>
      <c r="S7" s="243">
        <f t="shared" si="9"/>
        <v>1751574.2352331802</v>
      </c>
      <c r="T7" s="18"/>
    </row>
    <row r="8" spans="1:20" x14ac:dyDescent="0.3">
      <c r="A8" s="210" t="s">
        <v>44</v>
      </c>
      <c r="B8" s="221"/>
      <c r="C8" s="214">
        <v>2396716.1955546634</v>
      </c>
      <c r="D8" s="225">
        <v>0.492147109375074</v>
      </c>
      <c r="E8" s="224">
        <f t="shared" si="0"/>
        <v>1179536.9476346523</v>
      </c>
      <c r="F8" s="221">
        <v>0</v>
      </c>
      <c r="G8" s="225">
        <v>0.492147109375074</v>
      </c>
      <c r="H8" s="224">
        <f t="shared" si="1"/>
        <v>1179536.9476346523</v>
      </c>
      <c r="I8" s="225">
        <v>0.37468444768215003</v>
      </c>
      <c r="J8" s="224">
        <f t="shared" si="2"/>
        <v>898012.28398226295</v>
      </c>
      <c r="K8" s="255">
        <f>IF(Netvolumenmål!AS9&lt;Netvolumenmål!$AG$55,(Netvolumenmål!AS9-Netvolumenmål!$AG$55),0)</f>
        <v>0</v>
      </c>
      <c r="L8" s="257">
        <f>Netvolumenmål!AT9*0.8</f>
        <v>0</v>
      </c>
      <c r="M8" s="247">
        <f t="shared" si="3"/>
        <v>0.37468444768215003</v>
      </c>
      <c r="N8" s="209">
        <f t="shared" si="4"/>
        <v>898012.28398226295</v>
      </c>
      <c r="O8" s="260">
        <f t="shared" si="5"/>
        <v>1217179.2479200112</v>
      </c>
      <c r="P8" s="224">
        <f t="shared" si="6"/>
        <v>0</v>
      </c>
      <c r="Q8" s="230">
        <f t="shared" si="7"/>
        <v>9.3671111920537509E-2</v>
      </c>
      <c r="R8" s="222">
        <f t="shared" si="8"/>
        <v>0.05</v>
      </c>
      <c r="S8" s="243">
        <f t="shared" si="9"/>
        <v>119835.80977773317</v>
      </c>
      <c r="T8" s="18"/>
    </row>
    <row r="9" spans="1:20" ht="15" x14ac:dyDescent="0.25">
      <c r="A9" s="210" t="s">
        <v>45</v>
      </c>
      <c r="B9" s="221"/>
      <c r="C9" s="214">
        <v>42245952.734908856</v>
      </c>
      <c r="D9" s="225">
        <v>0.33168521361485004</v>
      </c>
      <c r="E9" s="224">
        <f t="shared" si="0"/>
        <v>14012357.857241102</v>
      </c>
      <c r="F9" s="221">
        <v>0</v>
      </c>
      <c r="G9" s="225">
        <v>0.33168521361485004</v>
      </c>
      <c r="H9" s="224">
        <f t="shared" si="1"/>
        <v>14012357.857241102</v>
      </c>
      <c r="I9" s="225">
        <v>0.195411222152308</v>
      </c>
      <c r="J9" s="224">
        <f t="shared" si="2"/>
        <v>8255333.2549171783</v>
      </c>
      <c r="K9" s="255">
        <f>IF(Netvolumenmål!AS10&lt;Netvolumenmål!$AG$55,(Netvolumenmål!AS10-Netvolumenmål!$AG$55),0)</f>
        <v>0</v>
      </c>
      <c r="L9" s="257">
        <f>Netvolumenmål!AT10*0.8</f>
        <v>0</v>
      </c>
      <c r="M9" s="247">
        <f t="shared" si="3"/>
        <v>0.195411222152308</v>
      </c>
      <c r="N9" s="209">
        <f t="shared" si="4"/>
        <v>8255333.2549171783</v>
      </c>
      <c r="O9" s="260">
        <f t="shared" si="5"/>
        <v>28233594.877667755</v>
      </c>
      <c r="P9" s="224">
        <f t="shared" si="6"/>
        <v>0</v>
      </c>
      <c r="Q9" s="230">
        <f t="shared" si="7"/>
        <v>4.8852805538076999E-2</v>
      </c>
      <c r="R9" s="222">
        <f t="shared" si="8"/>
        <v>4.8852805538076999E-2</v>
      </c>
      <c r="S9" s="243">
        <f t="shared" si="9"/>
        <v>2063833.3137292946</v>
      </c>
      <c r="T9" s="18"/>
    </row>
    <row r="10" spans="1:20" ht="15" x14ac:dyDescent="0.25">
      <c r="A10" s="210" t="s">
        <v>46</v>
      </c>
      <c r="B10" s="221"/>
      <c r="C10" s="214">
        <v>25686179.914697602</v>
      </c>
      <c r="D10" s="225">
        <v>0.634423814572875</v>
      </c>
      <c r="E10" s="224">
        <f t="shared" si="0"/>
        <v>16295924.243287617</v>
      </c>
      <c r="F10" s="221">
        <v>674312</v>
      </c>
      <c r="G10" s="225">
        <v>0.61604372266172402</v>
      </c>
      <c r="H10" s="224">
        <f t="shared" si="1"/>
        <v>15823809.895609116</v>
      </c>
      <c r="I10" s="225">
        <v>0.49006457409999998</v>
      </c>
      <c r="J10" s="224">
        <f t="shared" si="2"/>
        <v>12587886.820152255</v>
      </c>
      <c r="K10" s="255">
        <f>IF(Netvolumenmål!AS11&lt;Netvolumenmål!$AG$55,(Netvolumenmål!AS11-Netvolumenmål!$AG$55),0)</f>
        <v>0</v>
      </c>
      <c r="L10" s="257">
        <f>Netvolumenmål!AT11*0.8</f>
        <v>0</v>
      </c>
      <c r="M10" s="247">
        <f t="shared" si="3"/>
        <v>0.49006457409999998</v>
      </c>
      <c r="N10" s="209">
        <f t="shared" si="4"/>
        <v>12587886.820152255</v>
      </c>
      <c r="O10" s="260">
        <f t="shared" si="5"/>
        <v>9862370.0190884862</v>
      </c>
      <c r="P10" s="224">
        <f t="shared" si="6"/>
        <v>0</v>
      </c>
      <c r="Q10" s="230">
        <f t="shared" si="7"/>
        <v>0.122516143525</v>
      </c>
      <c r="R10" s="222">
        <f t="shared" si="8"/>
        <v>0.05</v>
      </c>
      <c r="S10" s="243">
        <f t="shared" si="9"/>
        <v>1284308.9957348802</v>
      </c>
      <c r="T10" s="18"/>
    </row>
    <row r="11" spans="1:20" ht="15" x14ac:dyDescent="0.25">
      <c r="A11" s="210" t="s">
        <v>47</v>
      </c>
      <c r="B11" s="221"/>
      <c r="C11" s="214">
        <v>54671856.610305719</v>
      </c>
      <c r="D11" s="225">
        <v>0.36584068911727996</v>
      </c>
      <c r="E11" s="224">
        <f t="shared" si="0"/>
        <v>20001189.697635364</v>
      </c>
      <c r="F11" s="221">
        <v>0</v>
      </c>
      <c r="G11" s="225">
        <v>0.36584068911727996</v>
      </c>
      <c r="H11" s="224">
        <f t="shared" si="1"/>
        <v>20001189.697635364</v>
      </c>
      <c r="I11" s="225">
        <v>0.22956669296271004</v>
      </c>
      <c r="J11" s="224">
        <f t="shared" si="2"/>
        <v>12550837.320159363</v>
      </c>
      <c r="K11" s="255">
        <f>IF(Netvolumenmål!AS12&lt;Netvolumenmål!$AG$55,(Netvolumenmål!AS12-Netvolumenmål!$AG$55),0)</f>
        <v>0</v>
      </c>
      <c r="L11" s="257">
        <f>Netvolumenmål!AT12*0.8</f>
        <v>0</v>
      </c>
      <c r="M11" s="247">
        <f t="shared" si="3"/>
        <v>0.22956669296271004</v>
      </c>
      <c r="N11" s="209">
        <f t="shared" si="4"/>
        <v>12550837.320159363</v>
      </c>
      <c r="O11" s="260">
        <f t="shared" si="5"/>
        <v>34670666.912670359</v>
      </c>
      <c r="P11" s="224">
        <f t="shared" si="6"/>
        <v>0</v>
      </c>
      <c r="Q11" s="230">
        <f t="shared" si="7"/>
        <v>5.739167324067751E-2</v>
      </c>
      <c r="R11" s="222">
        <f t="shared" si="8"/>
        <v>0.05</v>
      </c>
      <c r="S11" s="243">
        <f t="shared" si="9"/>
        <v>2733592.830515286</v>
      </c>
      <c r="T11" s="18"/>
    </row>
    <row r="12" spans="1:20" ht="15" x14ac:dyDescent="0.25">
      <c r="A12" s="210" t="s">
        <v>51</v>
      </c>
      <c r="B12" s="221"/>
      <c r="C12" s="214">
        <v>68051138.422059685</v>
      </c>
      <c r="D12" s="225">
        <v>0.19620666302808398</v>
      </c>
      <c r="E12" s="224">
        <f t="shared" si="0"/>
        <v>13352086.785054563</v>
      </c>
      <c r="F12" s="221">
        <v>0</v>
      </c>
      <c r="G12" s="225">
        <v>0.19620666302808398</v>
      </c>
      <c r="H12" s="224">
        <f t="shared" si="1"/>
        <v>13352086.785054563</v>
      </c>
      <c r="I12" s="225">
        <v>5.9932657883308038E-2</v>
      </c>
      <c r="J12" s="224">
        <f>C12*I12</f>
        <v>4078485.5976189417</v>
      </c>
      <c r="K12" s="255">
        <f>IF(Netvolumenmål!AS13&lt;Netvolumenmål!$AG$55,(Netvolumenmål!AS13-Netvolumenmål!$AG$55),0)</f>
        <v>0</v>
      </c>
      <c r="L12" s="257">
        <f>Netvolumenmål!AT13*0.8</f>
        <v>0</v>
      </c>
      <c r="M12" s="247">
        <f t="shared" si="3"/>
        <v>5.9932657883308038E-2</v>
      </c>
      <c r="N12" s="209">
        <f t="shared" si="4"/>
        <v>4078485.5976189417</v>
      </c>
      <c r="O12" s="260">
        <f t="shared" si="5"/>
        <v>54699051.637005121</v>
      </c>
      <c r="P12" s="224">
        <f t="shared" si="6"/>
        <v>0</v>
      </c>
      <c r="Q12" s="230">
        <f t="shared" si="7"/>
        <v>1.498316447082701E-2</v>
      </c>
      <c r="R12" s="222">
        <f t="shared" si="8"/>
        <v>1.498316447082701E-2</v>
      </c>
      <c r="S12" s="243">
        <f t="shared" si="9"/>
        <v>1019621.3994047354</v>
      </c>
      <c r="T12" s="18"/>
    </row>
    <row r="13" spans="1:20" ht="15" x14ac:dyDescent="0.25">
      <c r="A13" s="210" t="s">
        <v>48</v>
      </c>
      <c r="B13" s="221"/>
      <c r="C13" s="214">
        <v>24219448.918308266</v>
      </c>
      <c r="D13" s="225">
        <v>0.520517776620812</v>
      </c>
      <c r="E13" s="224">
        <f t="shared" si="0"/>
        <v>12606653.701939149</v>
      </c>
      <c r="F13" s="221">
        <v>758780</v>
      </c>
      <c r="G13" s="225">
        <v>0.492189049833343</v>
      </c>
      <c r="H13" s="224">
        <f t="shared" si="1"/>
        <v>11920547.550589332</v>
      </c>
      <c r="I13" s="225">
        <v>0.37472633428000002</v>
      </c>
      <c r="J13" s="224">
        <f t="shared" si="2"/>
        <v>9075665.311439367</v>
      </c>
      <c r="K13" s="255">
        <f>IF(Netvolumenmål!AS14&lt;Netvolumenmål!$AG$55,(Netvolumenmål!AS14-Netvolumenmål!$AG$55),0)</f>
        <v>-0.21643082699140506</v>
      </c>
      <c r="L13" s="257">
        <f>Netvolumenmål!AT14*0.8</f>
        <v>-6.6123946262414079E-2</v>
      </c>
      <c r="M13" s="247">
        <f t="shared" si="3"/>
        <v>0.30860238801758594</v>
      </c>
      <c r="N13" s="209">
        <f t="shared" si="4"/>
        <v>7474179.7726598689</v>
      </c>
      <c r="O13" s="260">
        <f t="shared" si="5"/>
        <v>12298901.367718933</v>
      </c>
      <c r="P13" s="224">
        <f t="shared" si="6"/>
        <v>0</v>
      </c>
      <c r="Q13" s="230">
        <f t="shared" si="7"/>
        <v>7.7150597004396484E-2</v>
      </c>
      <c r="R13" s="222">
        <f t="shared" si="8"/>
        <v>0.05</v>
      </c>
      <c r="S13" s="243">
        <f t="shared" si="9"/>
        <v>1210972.4459154133</v>
      </c>
      <c r="T13" s="18"/>
    </row>
    <row r="14" spans="1:20" ht="15" x14ac:dyDescent="0.25">
      <c r="A14" s="210" t="s">
        <v>49</v>
      </c>
      <c r="B14" s="221"/>
      <c r="C14" s="214">
        <v>33626341</v>
      </c>
      <c r="D14" s="225">
        <v>0.15708718222804896</v>
      </c>
      <c r="E14" s="224">
        <f t="shared" si="0"/>
        <v>5282267.1563295145</v>
      </c>
      <c r="F14" s="221">
        <v>872015</v>
      </c>
      <c r="G14" s="225">
        <v>0.13704279449429702</v>
      </c>
      <c r="H14" s="224">
        <f t="shared" si="1"/>
        <v>4608247.7392581543</v>
      </c>
      <c r="I14" s="225">
        <v>1.9583303369999999E-2</v>
      </c>
      <c r="J14" s="224">
        <f t="shared" si="2"/>
        <v>658514.83702606917</v>
      </c>
      <c r="K14" s="255">
        <f>IF(Netvolumenmål!AS15&lt;Netvolumenmål!$AG$55,(Netvolumenmål!AS15-Netvolumenmål!$AG$55),0)</f>
        <v>0</v>
      </c>
      <c r="L14" s="257">
        <f>Netvolumenmål!AT15*0.8</f>
        <v>0</v>
      </c>
      <c r="M14" s="247">
        <f t="shared" si="3"/>
        <v>1.9583303369999999E-2</v>
      </c>
      <c r="N14" s="209">
        <f t="shared" si="4"/>
        <v>658514.83702606917</v>
      </c>
      <c r="O14" s="260">
        <f t="shared" si="5"/>
        <v>29018093.260741845</v>
      </c>
      <c r="P14" s="224">
        <f t="shared" si="6"/>
        <v>0</v>
      </c>
      <c r="Q14" s="230">
        <f t="shared" si="7"/>
        <v>4.8958258424999998E-3</v>
      </c>
      <c r="R14" s="222">
        <f t="shared" si="8"/>
        <v>0</v>
      </c>
      <c r="S14" s="243">
        <f t="shared" si="9"/>
        <v>0</v>
      </c>
      <c r="T14" s="18"/>
    </row>
    <row r="15" spans="1:20" ht="15" x14ac:dyDescent="0.25">
      <c r="A15" s="210" t="s">
        <v>50</v>
      </c>
      <c r="B15" s="221"/>
      <c r="C15" s="214">
        <v>43159139.275048248</v>
      </c>
      <c r="D15" s="225">
        <f>1-0.8082115</f>
        <v>0.19178850000000003</v>
      </c>
      <c r="E15" s="224">
        <f t="shared" si="0"/>
        <v>8277426.5828525927</v>
      </c>
      <c r="F15" s="221">
        <v>0</v>
      </c>
      <c r="G15" s="225">
        <f>1-0.8082115</f>
        <v>0.19178850000000003</v>
      </c>
      <c r="H15" s="224">
        <f t="shared" si="1"/>
        <v>8277426.5828525927</v>
      </c>
      <c r="I15" s="225">
        <f>1-0.9444855</f>
        <v>5.5514500000000022E-2</v>
      </c>
      <c r="J15" s="224">
        <f t="shared" si="2"/>
        <v>2395958.0372846671</v>
      </c>
      <c r="K15" s="255">
        <f>IF(Netvolumenmål!AS16&lt;Netvolumenmål!$AG$55,(Netvolumenmål!AS16-Netvolumenmål!$AG$55),0)</f>
        <v>0</v>
      </c>
      <c r="L15" s="257">
        <f>Netvolumenmål!AT16*0.8</f>
        <v>0</v>
      </c>
      <c r="M15" s="247">
        <f t="shared" si="3"/>
        <v>5.5514500000000022E-2</v>
      </c>
      <c r="N15" s="209">
        <f t="shared" si="4"/>
        <v>2395958.0372846671</v>
      </c>
      <c r="O15" s="260">
        <f t="shared" si="5"/>
        <v>34881712.692195654</v>
      </c>
      <c r="P15" s="243">
        <f>IF(O15&gt;C15*1.031,O15-C15*1.031,0)</f>
        <v>0</v>
      </c>
      <c r="Q15" s="230">
        <f t="shared" si="7"/>
        <v>1.3878625000000006E-2</v>
      </c>
      <c r="R15" s="222">
        <f t="shared" si="8"/>
        <v>1.3878625000000006E-2</v>
      </c>
      <c r="S15" s="243">
        <f t="shared" si="9"/>
        <v>598989.50932116678</v>
      </c>
      <c r="T15" s="18"/>
    </row>
    <row r="16" spans="1:20" ht="15" x14ac:dyDescent="0.25">
      <c r="A16" s="210" t="s">
        <v>52</v>
      </c>
      <c r="B16" s="221"/>
      <c r="C16" s="214">
        <v>31515020.608594194</v>
      </c>
      <c r="D16" s="225">
        <v>0.45450409406713899</v>
      </c>
      <c r="E16" s="224">
        <f t="shared" si="0"/>
        <v>14323705.891216319</v>
      </c>
      <c r="F16" s="221">
        <v>0</v>
      </c>
      <c r="G16" s="225">
        <v>0.45450409406713899</v>
      </c>
      <c r="H16" s="224">
        <f t="shared" si="1"/>
        <v>14323705.891216319</v>
      </c>
      <c r="I16" s="225">
        <v>0.33416024736808503</v>
      </c>
      <c r="J16" s="224">
        <f t="shared" si="2"/>
        <v>10531067.082378134</v>
      </c>
      <c r="K16" s="255">
        <f>IF(Netvolumenmål!AS17&lt;Netvolumenmål!$AG$55,(Netvolumenmål!AS17-Netvolumenmål!$AG$55),0)</f>
        <v>0</v>
      </c>
      <c r="L16" s="257">
        <f>Netvolumenmål!AT17*0.8</f>
        <v>0</v>
      </c>
      <c r="M16" s="247">
        <f t="shared" si="3"/>
        <v>0.33416024736808503</v>
      </c>
      <c r="N16" s="209">
        <f t="shared" si="4"/>
        <v>10531067.082378134</v>
      </c>
      <c r="O16" s="260">
        <f t="shared" si="5"/>
        <v>17191314.717377875</v>
      </c>
      <c r="P16" s="224">
        <f t="shared" si="6"/>
        <v>0</v>
      </c>
      <c r="Q16" s="230">
        <f t="shared" si="7"/>
        <v>8.3540061842021257E-2</v>
      </c>
      <c r="R16" s="222">
        <f t="shared" si="8"/>
        <v>0.05</v>
      </c>
      <c r="S16" s="243">
        <f t="shared" si="9"/>
        <v>1575751.0304297097</v>
      </c>
      <c r="T16" s="18"/>
    </row>
    <row r="17" spans="1:20" x14ac:dyDescent="0.3">
      <c r="A17" s="210" t="s">
        <v>53</v>
      </c>
      <c r="B17" s="221"/>
      <c r="C17" s="214">
        <v>38805173.278154857</v>
      </c>
      <c r="D17" s="225">
        <v>0.23791780170376997</v>
      </c>
      <c r="E17" s="224">
        <f t="shared" ref="E17:E32" si="10">C17*D17</f>
        <v>9232441.5210724808</v>
      </c>
      <c r="F17" s="221">
        <v>634398</v>
      </c>
      <c r="G17" s="225">
        <v>0.22497657438010998</v>
      </c>
      <c r="H17" s="224">
        <f t="shared" ref="H17:H32" si="11">G17*C17</f>
        <v>8730254.952345863</v>
      </c>
      <c r="I17" s="225">
        <v>0.10751385762</v>
      </c>
      <c r="J17" s="224">
        <f t="shared" ref="J17:J30" si="12">C17*I17</f>
        <v>4172093.8747469699</v>
      </c>
      <c r="K17" s="255">
        <f>IF(Netvolumenmål!AS18&lt;Netvolumenmål!$AG$55,(Netvolumenmål!AS18-Netvolumenmål!$AG$55),0)</f>
        <v>0</v>
      </c>
      <c r="L17" s="257">
        <f>Netvolumenmål!AT18*0.8</f>
        <v>0</v>
      </c>
      <c r="M17" s="247">
        <f t="shared" si="3"/>
        <v>0.10751385762</v>
      </c>
      <c r="N17" s="209">
        <f t="shared" si="4"/>
        <v>4172093.8747469699</v>
      </c>
      <c r="O17" s="260">
        <f t="shared" si="5"/>
        <v>30074918.325808994</v>
      </c>
      <c r="P17" s="224">
        <f t="shared" si="6"/>
        <v>0</v>
      </c>
      <c r="Q17" s="230">
        <f t="shared" si="7"/>
        <v>2.6878464405E-2</v>
      </c>
      <c r="R17" s="222">
        <f t="shared" si="8"/>
        <v>2.6878464405E-2</v>
      </c>
      <c r="S17" s="243">
        <f t="shared" si="9"/>
        <v>1043023.4686867425</v>
      </c>
      <c r="T17" s="18"/>
    </row>
    <row r="18" spans="1:20" x14ac:dyDescent="0.3">
      <c r="A18" s="210" t="s">
        <v>105</v>
      </c>
      <c r="B18" s="221"/>
      <c r="C18" s="214">
        <v>8505790.0000000019</v>
      </c>
      <c r="D18" s="225">
        <v>0.26365419693254399</v>
      </c>
      <c r="E18" s="224">
        <f t="shared" si="10"/>
        <v>2242587.2317268639</v>
      </c>
      <c r="F18" s="221">
        <v>0</v>
      </c>
      <c r="G18" s="225">
        <v>0.26365419693254399</v>
      </c>
      <c r="H18" s="224">
        <f t="shared" si="11"/>
        <v>2242587.2317268639</v>
      </c>
      <c r="I18" s="225">
        <v>0.14619148622976197</v>
      </c>
      <c r="J18" s="224">
        <f t="shared" si="12"/>
        <v>1243474.0816582474</v>
      </c>
      <c r="K18" s="255">
        <f>IF(Netvolumenmål!AS19&lt;Netvolumenmål!$AG$55,(Netvolumenmål!AS19-Netvolumenmål!$AG$55),0)</f>
        <v>0</v>
      </c>
      <c r="L18" s="257">
        <f>Netvolumenmål!AT19*0.8</f>
        <v>0</v>
      </c>
      <c r="M18" s="247">
        <f t="shared" si="3"/>
        <v>0.14619148622976197</v>
      </c>
      <c r="N18" s="209">
        <f t="shared" si="4"/>
        <v>1243474.0816582474</v>
      </c>
      <c r="O18" s="260">
        <f t="shared" si="5"/>
        <v>6263202.7682731375</v>
      </c>
      <c r="P18" s="224">
        <f t="shared" si="6"/>
        <v>0</v>
      </c>
      <c r="Q18" s="230">
        <f t="shared" si="7"/>
        <v>3.6547871557440492E-2</v>
      </c>
      <c r="R18" s="222">
        <f t="shared" si="8"/>
        <v>3.6547871557440492E-2</v>
      </c>
      <c r="S18" s="243">
        <f t="shared" si="9"/>
        <v>310868.52041456185</v>
      </c>
      <c r="T18" s="18"/>
    </row>
    <row r="19" spans="1:20" x14ac:dyDescent="0.3">
      <c r="A19" s="210" t="s">
        <v>106</v>
      </c>
      <c r="B19" s="221"/>
      <c r="C19" s="214">
        <v>12403559</v>
      </c>
      <c r="D19" s="225">
        <v>0.63128494601582297</v>
      </c>
      <c r="E19" s="224">
        <f t="shared" si="10"/>
        <v>7830180.0737190749</v>
      </c>
      <c r="F19" s="221">
        <v>0</v>
      </c>
      <c r="G19" s="225">
        <v>0.63128494601582297</v>
      </c>
      <c r="H19" s="224">
        <f t="shared" si="11"/>
        <v>7830180.0737190749</v>
      </c>
      <c r="I19" s="225">
        <v>0.51382227319336504</v>
      </c>
      <c r="J19" s="224">
        <f t="shared" si="12"/>
        <v>6373224.881068022</v>
      </c>
      <c r="K19" s="255">
        <f>IF(Netvolumenmål!AS20&lt;Netvolumenmål!$AG$55,(Netvolumenmål!AS20-Netvolumenmål!$AG$55),0)</f>
        <v>-0.32344067302959922</v>
      </c>
      <c r="L19" s="257">
        <f>Netvolumenmål!AT20*0.8</f>
        <v>-9.8817594424003175E-2</v>
      </c>
      <c r="M19" s="247">
        <f t="shared" si="3"/>
        <v>0.41500467876936187</v>
      </c>
      <c r="N19" s="209">
        <f t="shared" si="4"/>
        <v>5147535.0183918271</v>
      </c>
      <c r="O19" s="260">
        <f t="shared" si="5"/>
        <v>4573378.9262809251</v>
      </c>
      <c r="P19" s="224">
        <f t="shared" si="6"/>
        <v>0</v>
      </c>
      <c r="Q19" s="230">
        <f t="shared" si="7"/>
        <v>0.10375116969234047</v>
      </c>
      <c r="R19" s="222">
        <f t="shared" si="8"/>
        <v>0.05</v>
      </c>
      <c r="S19" s="243">
        <f t="shared" si="9"/>
        <v>620177.95000000007</v>
      </c>
      <c r="T19" s="18"/>
    </row>
    <row r="20" spans="1:20" x14ac:dyDescent="0.3">
      <c r="A20" s="210" t="s">
        <v>108</v>
      </c>
      <c r="B20" s="221"/>
      <c r="C20" s="214">
        <v>20190121.000000004</v>
      </c>
      <c r="D20" s="225">
        <v>0.50567056394290399</v>
      </c>
      <c r="E20" s="224">
        <f t="shared" si="10"/>
        <v>10209549.87214547</v>
      </c>
      <c r="F20" s="221">
        <v>677233</v>
      </c>
      <c r="G20" s="225">
        <v>0.47947438932987096</v>
      </c>
      <c r="H20" s="224">
        <f t="shared" si="11"/>
        <v>9680645.9369712062</v>
      </c>
      <c r="I20" s="225">
        <v>0.36465495782000001</v>
      </c>
      <c r="J20" s="224">
        <f t="shared" si="12"/>
        <v>7362427.7216356974</v>
      </c>
      <c r="K20" s="255">
        <f>IF(Netvolumenmål!AS21&lt;Netvolumenmål!$AG$55,(Netvolumenmål!AS21-Netvolumenmål!$AG$55),0)</f>
        <v>-0.13792399927666979</v>
      </c>
      <c r="L20" s="257">
        <f>Netvolumenmål!AT21*0.8</f>
        <v>-4.2138540259008157E-2</v>
      </c>
      <c r="M20" s="247">
        <f t="shared" si="3"/>
        <v>0.32251641756099186</v>
      </c>
      <c r="N20" s="209">
        <f t="shared" si="4"/>
        <v>6511645.4950429518</v>
      </c>
      <c r="O20" s="260">
        <f t="shared" si="5"/>
        <v>10509475.063028798</v>
      </c>
      <c r="P20" s="224">
        <f t="shared" si="6"/>
        <v>0</v>
      </c>
      <c r="Q20" s="230">
        <f t="shared" si="7"/>
        <v>8.0629104390247966E-2</v>
      </c>
      <c r="R20" s="222">
        <f t="shared" si="8"/>
        <v>0.05</v>
      </c>
      <c r="S20" s="243">
        <f t="shared" si="9"/>
        <v>1009506.0500000003</v>
      </c>
      <c r="T20" s="18"/>
    </row>
    <row r="21" spans="1:20" x14ac:dyDescent="0.3">
      <c r="A21" s="210" t="s">
        <v>109</v>
      </c>
      <c r="B21" s="221"/>
      <c r="C21" s="214">
        <v>127485964</v>
      </c>
      <c r="D21" s="225">
        <v>0.42836405261999999</v>
      </c>
      <c r="E21" s="224">
        <f t="shared" si="10"/>
        <v>54610404.191207424</v>
      </c>
      <c r="F21" s="221">
        <v>13302748</v>
      </c>
      <c r="G21" s="225">
        <v>0.33738892164000001</v>
      </c>
      <c r="H21" s="224">
        <f t="shared" si="11"/>
        <v>43012351.918195859</v>
      </c>
      <c r="I21" s="225">
        <v>0.22419012024000001</v>
      </c>
      <c r="J21" s="224">
        <f t="shared" si="12"/>
        <v>28581093.598072313</v>
      </c>
      <c r="K21" s="255">
        <f>IF(Netvolumenmål!AS22&lt;Netvolumenmål!$AG$55,(Netvolumenmål!AS22-Netvolumenmål!$AG$55),0)</f>
        <v>-0.15066322902164245</v>
      </c>
      <c r="L21" s="257">
        <f>Netvolumenmål!AT22*0.8</f>
        <v>-4.6030629730692205E-2</v>
      </c>
      <c r="M21" s="247">
        <f t="shared" si="3"/>
        <v>0.17815949050930779</v>
      </c>
      <c r="N21" s="209">
        <f t="shared" si="4"/>
        <v>22712834.393327955</v>
      </c>
      <c r="O21" s="260">
        <f t="shared" si="5"/>
        <v>84473612.081804141</v>
      </c>
      <c r="P21" s="224">
        <f t="shared" si="6"/>
        <v>0</v>
      </c>
      <c r="Q21" s="230">
        <f t="shared" si="7"/>
        <v>4.4539872627326949E-2</v>
      </c>
      <c r="R21" s="222">
        <f t="shared" si="8"/>
        <v>4.4539872627326949E-2</v>
      </c>
      <c r="S21" s="243">
        <f t="shared" si="9"/>
        <v>5678208.5983319888</v>
      </c>
      <c r="T21" s="18"/>
    </row>
    <row r="22" spans="1:20" ht="15" x14ac:dyDescent="0.25">
      <c r="A22" s="210" t="s">
        <v>54</v>
      </c>
      <c r="B22" s="221"/>
      <c r="C22" s="214">
        <v>11439177.713607522</v>
      </c>
      <c r="D22" s="225">
        <v>0.12238436937050801</v>
      </c>
      <c r="E22" s="224">
        <f t="shared" si="10"/>
        <v>1399976.5505970262</v>
      </c>
      <c r="F22" s="221">
        <v>0</v>
      </c>
      <c r="G22" s="225">
        <v>0.12238436937050801</v>
      </c>
      <c r="H22" s="224">
        <f t="shared" si="11"/>
        <v>1399976.5505970262</v>
      </c>
      <c r="I22" s="225">
        <v>0</v>
      </c>
      <c r="J22" s="224">
        <f t="shared" si="12"/>
        <v>0</v>
      </c>
      <c r="K22" s="255">
        <f>IF(Netvolumenmål!AS23&lt;Netvolumenmål!$AG$55,(Netvolumenmål!AS23-Netvolumenmål!$AG$55),0)</f>
        <v>-0.14886853851663143</v>
      </c>
      <c r="L22" s="257">
        <f>Netvolumenmål!AT23*0.8</f>
        <v>-4.5482315887601238E-2</v>
      </c>
      <c r="M22" s="247">
        <f t="shared" si="3"/>
        <v>0</v>
      </c>
      <c r="N22" s="209">
        <f t="shared" si="4"/>
        <v>0</v>
      </c>
      <c r="O22" s="260">
        <f t="shared" si="5"/>
        <v>10039201.163010495</v>
      </c>
      <c r="P22" s="224">
        <f t="shared" si="6"/>
        <v>0</v>
      </c>
      <c r="Q22" s="230">
        <f t="shared" si="7"/>
        <v>0</v>
      </c>
      <c r="R22" s="222">
        <f t="shared" si="8"/>
        <v>0</v>
      </c>
      <c r="S22" s="243">
        <f t="shared" si="9"/>
        <v>0</v>
      </c>
      <c r="T22" s="18"/>
    </row>
    <row r="23" spans="1:20" x14ac:dyDescent="0.3">
      <c r="A23" s="210" t="s">
        <v>107</v>
      </c>
      <c r="B23" s="221"/>
      <c r="C23" s="214">
        <v>6445986</v>
      </c>
      <c r="D23" s="225">
        <v>6.9175622970000003E-2</v>
      </c>
      <c r="E23" s="224">
        <f t="shared" si="10"/>
        <v>445905.09720589843</v>
      </c>
      <c r="F23" s="221">
        <v>0</v>
      </c>
      <c r="G23" s="225">
        <v>6.9175622970000003E-2</v>
      </c>
      <c r="H23" s="224">
        <f t="shared" si="11"/>
        <v>445905.09720589843</v>
      </c>
      <c r="I23" s="225">
        <v>0</v>
      </c>
      <c r="J23" s="224">
        <f t="shared" si="12"/>
        <v>0</v>
      </c>
      <c r="K23" s="255">
        <f>IF(Netvolumenmål!AS24&lt;Netvolumenmål!$AG$55,(Netvolumenmål!AS24-Netvolumenmål!$AG$55),0)</f>
        <v>0</v>
      </c>
      <c r="L23" s="257">
        <f>Netvolumenmål!AT24*0.8</f>
        <v>0</v>
      </c>
      <c r="M23" s="247">
        <f t="shared" si="3"/>
        <v>0</v>
      </c>
      <c r="N23" s="209">
        <f t="shared" si="4"/>
        <v>0</v>
      </c>
      <c r="O23" s="260">
        <f t="shared" si="5"/>
        <v>6000080.9027941013</v>
      </c>
      <c r="P23" s="224">
        <f t="shared" si="6"/>
        <v>0</v>
      </c>
      <c r="Q23" s="230">
        <f t="shared" si="7"/>
        <v>0</v>
      </c>
      <c r="R23" s="222">
        <f t="shared" si="8"/>
        <v>0</v>
      </c>
      <c r="S23" s="243">
        <f t="shared" si="9"/>
        <v>0</v>
      </c>
      <c r="T23" s="18"/>
    </row>
    <row r="24" spans="1:20" ht="15" x14ac:dyDescent="0.25">
      <c r="A24" s="210" t="s">
        <v>55</v>
      </c>
      <c r="B24" s="221"/>
      <c r="C24" s="214">
        <v>25273831.959707733</v>
      </c>
      <c r="D24" s="225">
        <v>0.37410472994674704</v>
      </c>
      <c r="E24" s="224">
        <f t="shared" si="10"/>
        <v>9455060.0800059251</v>
      </c>
      <c r="F24" s="221">
        <v>0</v>
      </c>
      <c r="G24" s="225">
        <v>0.37410472994674704</v>
      </c>
      <c r="H24" s="224">
        <f t="shared" si="11"/>
        <v>9455060.0800059251</v>
      </c>
      <c r="I24" s="225">
        <v>0.23783073959082002</v>
      </c>
      <c r="J24" s="224">
        <f t="shared" si="12"/>
        <v>6010894.1472713938</v>
      </c>
      <c r="K24" s="255">
        <f>IF(Netvolumenmål!AS25&lt;Netvolumenmål!$AG$55,(Netvolumenmål!AS25-Netvolumenmål!$AG$55),0)</f>
        <v>0</v>
      </c>
      <c r="L24" s="257">
        <f>Netvolumenmål!AT25*0.8</f>
        <v>0</v>
      </c>
      <c r="M24" s="247">
        <f t="shared" si="3"/>
        <v>0.23783073959082002</v>
      </c>
      <c r="N24" s="209">
        <f t="shared" si="4"/>
        <v>6010894.1472713938</v>
      </c>
      <c r="O24" s="260">
        <f t="shared" si="5"/>
        <v>15818771.879701808</v>
      </c>
      <c r="P24" s="224">
        <f t="shared" si="6"/>
        <v>0</v>
      </c>
      <c r="Q24" s="230">
        <f t="shared" si="7"/>
        <v>5.9457684897705004E-2</v>
      </c>
      <c r="R24" s="222">
        <f t="shared" si="8"/>
        <v>0.05</v>
      </c>
      <c r="S24" s="243">
        <f t="shared" si="9"/>
        <v>1263691.5979853868</v>
      </c>
      <c r="T24" s="18"/>
    </row>
    <row r="25" spans="1:20" x14ac:dyDescent="0.3">
      <c r="A25" s="210" t="s">
        <v>63</v>
      </c>
      <c r="B25" s="221"/>
      <c r="C25" s="214">
        <v>8560859.1589260958</v>
      </c>
      <c r="D25" s="225">
        <v>0.61127308386665302</v>
      </c>
      <c r="E25" s="224">
        <f t="shared" si="10"/>
        <v>5233022.7786248364</v>
      </c>
      <c r="F25" s="221">
        <v>453500</v>
      </c>
      <c r="G25" s="225">
        <v>0.57517842355460502</v>
      </c>
      <c r="H25" s="224">
        <f t="shared" si="11"/>
        <v>4924021.4753041137</v>
      </c>
      <c r="I25" s="225">
        <v>0.43890440650000001</v>
      </c>
      <c r="J25" s="224">
        <f t="shared" si="12"/>
        <v>3757398.8082785471</v>
      </c>
      <c r="K25" s="255">
        <f>IF(Netvolumenmål!AS26&lt;Netvolumenmål!$AG$55,(Netvolumenmål!AS26-Netvolumenmål!$AG$55),0)</f>
        <v>-9.197879124613742E-2</v>
      </c>
      <c r="L25" s="257">
        <f>Netvolumenmål!AT26*0.8</f>
        <v>-2.8101360301519909E-2</v>
      </c>
      <c r="M25" s="247">
        <f t="shared" si="3"/>
        <v>0.41080304619848013</v>
      </c>
      <c r="N25" s="209">
        <f t="shared" si="4"/>
        <v>3516827.0205629985</v>
      </c>
      <c r="O25" s="260">
        <f t="shared" si="5"/>
        <v>3636837.6836219821</v>
      </c>
      <c r="P25" s="224">
        <f t="shared" si="6"/>
        <v>0</v>
      </c>
      <c r="Q25" s="230">
        <f t="shared" si="7"/>
        <v>0.10270076154962003</v>
      </c>
      <c r="R25" s="222">
        <f t="shared" si="8"/>
        <v>0.05</v>
      </c>
      <c r="S25" s="243">
        <f t="shared" si="9"/>
        <v>428042.95794630481</v>
      </c>
      <c r="T25" s="18"/>
    </row>
    <row r="26" spans="1:20" ht="15" x14ac:dyDescent="0.25">
      <c r="A26" s="210" t="s">
        <v>56</v>
      </c>
      <c r="B26" s="221"/>
      <c r="C26" s="214">
        <v>23120711.352789667</v>
      </c>
      <c r="D26" s="225">
        <f>1-0.9910344</f>
        <v>8.965600000000018E-3</v>
      </c>
      <c r="E26" s="224">
        <f t="shared" si="10"/>
        <v>207291.04970457146</v>
      </c>
      <c r="F26" s="221">
        <v>810726</v>
      </c>
      <c r="G26" s="225">
        <v>0</v>
      </c>
      <c r="H26" s="224">
        <f t="shared" si="11"/>
        <v>0</v>
      </c>
      <c r="I26" s="225">
        <v>0</v>
      </c>
      <c r="J26" s="224">
        <f t="shared" si="12"/>
        <v>0</v>
      </c>
      <c r="K26" s="255">
        <f>IF(Netvolumenmål!AS27&lt;Netvolumenmål!$AG$55,(Netvolumenmål!AS27-Netvolumenmål!$AG$55),0)</f>
        <v>0</v>
      </c>
      <c r="L26" s="257">
        <f>Netvolumenmål!AT27*0.8</f>
        <v>0</v>
      </c>
      <c r="M26" s="247">
        <f t="shared" si="3"/>
        <v>0</v>
      </c>
      <c r="N26" s="209">
        <f t="shared" si="4"/>
        <v>0</v>
      </c>
      <c r="O26" s="260">
        <f>1.0185327*C26</f>
        <v>23549200.560077511</v>
      </c>
      <c r="P26" s="224">
        <f t="shared" si="6"/>
        <v>0</v>
      </c>
      <c r="Q26" s="230">
        <f t="shared" si="7"/>
        <v>0</v>
      </c>
      <c r="R26" s="222">
        <f t="shared" si="8"/>
        <v>0</v>
      </c>
      <c r="S26" s="243">
        <f t="shared" si="9"/>
        <v>0</v>
      </c>
      <c r="T26" s="18"/>
    </row>
    <row r="27" spans="1:20" x14ac:dyDescent="0.3">
      <c r="A27" s="210" t="s">
        <v>57</v>
      </c>
      <c r="B27" s="221"/>
      <c r="C27" s="214">
        <v>16864337.75675818</v>
      </c>
      <c r="D27" s="225">
        <v>0.46381263274332896</v>
      </c>
      <c r="E27" s="224">
        <f t="shared" si="10"/>
        <v>7821892.894434738</v>
      </c>
      <c r="F27" s="221">
        <v>0</v>
      </c>
      <c r="G27" s="225">
        <v>0.46381263274332896</v>
      </c>
      <c r="H27" s="224">
        <f t="shared" si="11"/>
        <v>7821892.894434738</v>
      </c>
      <c r="I27" s="225">
        <v>0.32753861544239604</v>
      </c>
      <c r="J27" s="224">
        <f t="shared" si="12"/>
        <v>5523721.8392014969</v>
      </c>
      <c r="K27" s="255">
        <f>IF(Netvolumenmål!AS28&lt;Netvolumenmål!$AG$55,(Netvolumenmål!AS28-Netvolumenmål!$AG$55),0)</f>
        <v>-6.070175708477038E-3</v>
      </c>
      <c r="L27" s="257">
        <f>Netvolumenmål!AT28*0.8</f>
        <v>-1.8545600824539047E-3</v>
      </c>
      <c r="M27" s="247">
        <f t="shared" si="3"/>
        <v>0.32568405535994216</v>
      </c>
      <c r="N27" s="209">
        <f t="shared" si="4"/>
        <v>5492445.9115807936</v>
      </c>
      <c r="O27" s="260">
        <f t="shared" si="5"/>
        <v>9042444.8623234406</v>
      </c>
      <c r="P27" s="224">
        <f t="shared" si="6"/>
        <v>0</v>
      </c>
      <c r="Q27" s="230">
        <f t="shared" si="7"/>
        <v>8.142101383998554E-2</v>
      </c>
      <c r="R27" s="222">
        <f t="shared" si="8"/>
        <v>0.05</v>
      </c>
      <c r="S27" s="243">
        <f t="shared" si="9"/>
        <v>843216.88783790905</v>
      </c>
      <c r="T27" s="18"/>
    </row>
    <row r="28" spans="1:20" ht="15" x14ac:dyDescent="0.25">
      <c r="A28" s="210" t="s">
        <v>58</v>
      </c>
      <c r="B28" s="221"/>
      <c r="C28" s="214">
        <v>14966982.85163996</v>
      </c>
      <c r="D28" s="225">
        <v>0.44496761717076005</v>
      </c>
      <c r="E28" s="224">
        <f t="shared" si="10"/>
        <v>6659822.6957298601</v>
      </c>
      <c r="F28" s="221">
        <v>0</v>
      </c>
      <c r="G28" s="225">
        <v>0.44496761717076005</v>
      </c>
      <c r="H28" s="224">
        <f t="shared" si="11"/>
        <v>6659822.6957298601</v>
      </c>
      <c r="I28" s="225">
        <v>0.32750489077173395</v>
      </c>
      <c r="J28" s="224">
        <f t="shared" si="12"/>
        <v>4901760.0840087598</v>
      </c>
      <c r="K28" s="255">
        <f>IF(Netvolumenmål!AS29&lt;Netvolumenmål!$AG$55,(Netvolumenmål!AS29-Netvolumenmål!$AG$55),0)</f>
        <v>0</v>
      </c>
      <c r="L28" s="257">
        <f>Netvolumenmål!AT29*0.8</f>
        <v>0</v>
      </c>
      <c r="M28" s="247">
        <f t="shared" si="3"/>
        <v>0.32750489077173395</v>
      </c>
      <c r="N28" s="209">
        <f t="shared" si="4"/>
        <v>4901760.0840087598</v>
      </c>
      <c r="O28" s="260">
        <f t="shared" si="5"/>
        <v>8307160.1559100999</v>
      </c>
      <c r="P28" s="224">
        <f t="shared" si="6"/>
        <v>0</v>
      </c>
      <c r="Q28" s="230">
        <f t="shared" si="7"/>
        <v>8.1876222692933487E-2</v>
      </c>
      <c r="R28" s="222">
        <f t="shared" si="8"/>
        <v>0.05</v>
      </c>
      <c r="S28" s="243">
        <f t="shared" si="9"/>
        <v>748349.14258199802</v>
      </c>
      <c r="T28" s="18"/>
    </row>
    <row r="29" spans="1:20" ht="15" x14ac:dyDescent="0.25">
      <c r="A29" s="210" t="s">
        <v>59</v>
      </c>
      <c r="B29" s="221"/>
      <c r="C29" s="214">
        <v>75779652.090729177</v>
      </c>
      <c r="D29" s="225">
        <v>0.440024404860902</v>
      </c>
      <c r="E29" s="224">
        <f t="shared" si="10"/>
        <v>33344896.311789315</v>
      </c>
      <c r="F29" s="221">
        <v>0</v>
      </c>
      <c r="G29" s="225">
        <v>0.440024404860902</v>
      </c>
      <c r="H29" s="224">
        <f t="shared" si="11"/>
        <v>33344896.311789315</v>
      </c>
      <c r="I29" s="225">
        <v>0.30375039832629402</v>
      </c>
      <c r="J29" s="224">
        <f t="shared" si="12"/>
        <v>23018099.507586967</v>
      </c>
      <c r="K29" s="255">
        <f>IF(Netvolumenmål!AS30&lt;Netvolumenmål!$AG$55,(Netvolumenmål!AS30-Netvolumenmål!$AG$55),0)</f>
        <v>0</v>
      </c>
      <c r="L29" s="257">
        <f>Netvolumenmål!AT30*0.8</f>
        <v>0</v>
      </c>
      <c r="M29" s="247">
        <f t="shared" si="3"/>
        <v>0.30375039832629402</v>
      </c>
      <c r="N29" s="209">
        <f t="shared" si="4"/>
        <v>23018099.507586967</v>
      </c>
      <c r="O29" s="260">
        <f t="shared" si="5"/>
        <v>42434755.778939858</v>
      </c>
      <c r="P29" s="224">
        <f t="shared" si="6"/>
        <v>0</v>
      </c>
      <c r="Q29" s="230">
        <f t="shared" si="7"/>
        <v>7.5937599581573506E-2</v>
      </c>
      <c r="R29" s="222">
        <f t="shared" si="8"/>
        <v>0.05</v>
      </c>
      <c r="S29" s="243">
        <f t="shared" si="9"/>
        <v>3788982.6045364588</v>
      </c>
      <c r="T29" s="18"/>
    </row>
    <row r="30" spans="1:20" x14ac:dyDescent="0.3">
      <c r="A30" s="210" t="s">
        <v>60</v>
      </c>
      <c r="B30" s="221"/>
      <c r="C30" s="214">
        <v>39001930.961227365</v>
      </c>
      <c r="D30" s="225">
        <v>0.42187703731669601</v>
      </c>
      <c r="E30" s="224">
        <f t="shared" si="10"/>
        <v>16454019.083552919</v>
      </c>
      <c r="F30" s="221">
        <v>0</v>
      </c>
      <c r="G30" s="225">
        <v>0.42187703731669601</v>
      </c>
      <c r="H30" s="224">
        <f t="shared" si="11"/>
        <v>16454019.083552919</v>
      </c>
      <c r="I30" s="225">
        <v>0.28560303967099798</v>
      </c>
      <c r="J30" s="224">
        <f t="shared" si="12"/>
        <v>11139070.035564944</v>
      </c>
      <c r="K30" s="255">
        <f>IF(Netvolumenmål!AS31&lt;Netvolumenmål!$AG$55,(Netvolumenmål!AS31-Netvolumenmål!$AG$55),0)</f>
        <v>0</v>
      </c>
      <c r="L30" s="257">
        <f>Netvolumenmål!AT31*0.8</f>
        <v>0</v>
      </c>
      <c r="M30" s="247">
        <f t="shared" si="3"/>
        <v>0.28560303967099798</v>
      </c>
      <c r="N30" s="209">
        <f t="shared" si="4"/>
        <v>11139070.035564944</v>
      </c>
      <c r="O30" s="260">
        <f t="shared" si="5"/>
        <v>22547911.877674446</v>
      </c>
      <c r="P30" s="224">
        <f t="shared" si="6"/>
        <v>0</v>
      </c>
      <c r="Q30" s="230">
        <f t="shared" si="7"/>
        <v>7.1400759917749496E-2</v>
      </c>
      <c r="R30" s="222">
        <f t="shared" si="8"/>
        <v>0.05</v>
      </c>
      <c r="S30" s="243">
        <f t="shared" si="9"/>
        <v>1950096.5480613683</v>
      </c>
      <c r="T30" s="18"/>
    </row>
    <row r="31" spans="1:20" s="18" customFormat="1" ht="15" x14ac:dyDescent="0.25">
      <c r="A31" s="213" t="s">
        <v>99</v>
      </c>
      <c r="B31" s="221"/>
      <c r="C31" s="214">
        <v>33626731.706169456</v>
      </c>
      <c r="D31" s="225">
        <v>0.17254676430314397</v>
      </c>
      <c r="E31" s="224">
        <f t="shared" si="10"/>
        <v>5802183.7499894798</v>
      </c>
      <c r="F31" s="221">
        <v>0</v>
      </c>
      <c r="G31" s="225">
        <v>0.17254676430314397</v>
      </c>
      <c r="H31" s="224">
        <f t="shared" si="11"/>
        <v>5802183.7499894798</v>
      </c>
      <c r="I31" s="225">
        <v>3.6272771268513027E-2</v>
      </c>
      <c r="J31" s="224">
        <f t="shared" ref="J31:J32" si="13">C31*I31</f>
        <v>1219734.7476855395</v>
      </c>
      <c r="K31" s="255">
        <f>IF(Netvolumenmål!AS32&lt;Netvolumenmål!$AG$55,(Netvolumenmål!AS32-Netvolumenmål!$AG$55),0)</f>
        <v>0</v>
      </c>
      <c r="L31" s="257">
        <f>Netvolumenmål!AT32*0.8</f>
        <v>0</v>
      </c>
      <c r="M31" s="247">
        <f t="shared" si="3"/>
        <v>3.6272771268513027E-2</v>
      </c>
      <c r="N31" s="209">
        <f t="shared" si="4"/>
        <v>1219734.7476855395</v>
      </c>
      <c r="O31" s="260">
        <f t="shared" si="5"/>
        <v>27824547.956179976</v>
      </c>
      <c r="P31" s="224">
        <f t="shared" si="6"/>
        <v>0</v>
      </c>
      <c r="Q31" s="230">
        <f t="shared" si="7"/>
        <v>9.0681928171282566E-3</v>
      </c>
      <c r="R31" s="222">
        <f t="shared" si="8"/>
        <v>0</v>
      </c>
      <c r="S31" s="243">
        <f t="shared" si="9"/>
        <v>0</v>
      </c>
    </row>
    <row r="32" spans="1:20" x14ac:dyDescent="0.3">
      <c r="A32" s="210" t="s">
        <v>61</v>
      </c>
      <c r="B32" s="221"/>
      <c r="C32" s="214">
        <v>23034608</v>
      </c>
      <c r="D32" s="225">
        <v>0.51895576102999996</v>
      </c>
      <c r="E32" s="224">
        <f t="shared" si="10"/>
        <v>11953942.524667725</v>
      </c>
      <c r="F32" s="221">
        <v>22351</v>
      </c>
      <c r="G32" s="225">
        <v>0.51821759917999999</v>
      </c>
      <c r="H32" s="224">
        <f t="shared" si="11"/>
        <v>11936939.255812421</v>
      </c>
      <c r="I32" s="225">
        <v>0.40501880843999999</v>
      </c>
      <c r="J32" s="224">
        <f t="shared" si="13"/>
        <v>9329449.4850424919</v>
      </c>
      <c r="K32" s="255">
        <f>IF(Netvolumenmål!AS33&lt;Netvolumenmål!$AG$55,(Netvolumenmål!AS33-Netvolumenmål!$AG$55),0)</f>
        <v>-0.39494850003597948</v>
      </c>
      <c r="L32" s="257">
        <f>Netvolumenmål!AT33*0.8</f>
        <v>-0.12066466573099247</v>
      </c>
      <c r="M32" s="247">
        <f t="shared" si="3"/>
        <v>0.2843541427090075</v>
      </c>
      <c r="N32" s="209">
        <f t="shared" si="4"/>
        <v>6549986.210478046</v>
      </c>
      <c r="O32" s="260">
        <f t="shared" si="5"/>
        <v>11097668.744187579</v>
      </c>
      <c r="P32" s="224">
        <f t="shared" si="6"/>
        <v>0</v>
      </c>
      <c r="Q32" s="230">
        <f t="shared" si="7"/>
        <v>7.1088535677251874E-2</v>
      </c>
      <c r="R32" s="222">
        <f t="shared" si="8"/>
        <v>0.05</v>
      </c>
      <c r="S32" s="243">
        <f t="shared" si="9"/>
        <v>1151730.4000000001</v>
      </c>
      <c r="T32" s="18"/>
    </row>
    <row r="33" spans="1:20" x14ac:dyDescent="0.3">
      <c r="A33" s="218" t="s">
        <v>62</v>
      </c>
      <c r="B33" s="221"/>
      <c r="C33" s="214">
        <v>21354601</v>
      </c>
      <c r="D33" s="225">
        <v>0.24424080489382005</v>
      </c>
      <c r="E33" s="224">
        <f t="shared" ref="E33:E44" si="14">C33*D33</f>
        <v>5215664.9364263741</v>
      </c>
      <c r="F33" s="221">
        <v>0</v>
      </c>
      <c r="G33" s="225">
        <v>0.24424080489382005</v>
      </c>
      <c r="H33" s="224">
        <f t="shared" ref="H33:H44" si="15">G33*C33</f>
        <v>5215664.9364263741</v>
      </c>
      <c r="I33" s="225">
        <v>0.10796744716999999</v>
      </c>
      <c r="J33" s="224">
        <f t="shared" ref="J33:J49" si="16">C33*I33</f>
        <v>2305601.7553039291</v>
      </c>
      <c r="K33" s="255">
        <f>IF(Netvolumenmål!AS34&lt;Netvolumenmål!$AG$55,(Netvolumenmål!AS34-Netvolumenmål!$AG$55),0)</f>
        <v>0</v>
      </c>
      <c r="L33" s="257">
        <f>Netvolumenmål!AT34*0.8</f>
        <v>0</v>
      </c>
      <c r="M33" s="247">
        <f t="shared" si="3"/>
        <v>0.10796744716999999</v>
      </c>
      <c r="N33" s="209">
        <f t="shared" si="4"/>
        <v>2305601.7553039291</v>
      </c>
      <c r="O33" s="260">
        <f t="shared" si="5"/>
        <v>16138936.063573625</v>
      </c>
      <c r="P33" s="224">
        <f t="shared" si="6"/>
        <v>0</v>
      </c>
      <c r="Q33" s="230">
        <f t="shared" si="7"/>
        <v>2.6991861792499999E-2</v>
      </c>
      <c r="R33" s="222">
        <f t="shared" si="8"/>
        <v>2.6991861792499999E-2</v>
      </c>
      <c r="S33" s="243">
        <f t="shared" si="9"/>
        <v>576400.43882598227</v>
      </c>
      <c r="T33" s="18"/>
    </row>
    <row r="34" spans="1:20" ht="15" x14ac:dyDescent="0.25">
      <c r="A34" s="210" t="s">
        <v>64</v>
      </c>
      <c r="B34" s="221"/>
      <c r="C34" s="214">
        <v>25924543.158660404</v>
      </c>
      <c r="D34" s="225">
        <v>0.25637467541691805</v>
      </c>
      <c r="E34" s="224">
        <f t="shared" si="14"/>
        <v>6646396.3376334449</v>
      </c>
      <c r="F34" s="221">
        <v>0</v>
      </c>
      <c r="G34" s="225">
        <v>0.25637467541691805</v>
      </c>
      <c r="H34" s="224">
        <f t="shared" si="15"/>
        <v>6646396.3376334449</v>
      </c>
      <c r="I34" s="225">
        <v>0.12010066376406103</v>
      </c>
      <c r="J34" s="224">
        <f t="shared" si="16"/>
        <v>3113554.8411351619</v>
      </c>
      <c r="K34" s="255">
        <f>IF(Netvolumenmål!AS35&lt;Netvolumenmål!$AG$55,(Netvolumenmål!AS35-Netvolumenmål!$AG$55),0)</f>
        <v>0</v>
      </c>
      <c r="L34" s="257">
        <f>Netvolumenmål!AT35*0.8</f>
        <v>0</v>
      </c>
      <c r="M34" s="247">
        <f t="shared" si="3"/>
        <v>0.12010066376406103</v>
      </c>
      <c r="N34" s="209">
        <f t="shared" si="4"/>
        <v>3113554.8411351619</v>
      </c>
      <c r="O34" s="260">
        <f t="shared" si="5"/>
        <v>19278146.821026959</v>
      </c>
      <c r="P34" s="224">
        <f t="shared" si="6"/>
        <v>0</v>
      </c>
      <c r="Q34" s="230">
        <f t="shared" si="7"/>
        <v>3.0025165941015258E-2</v>
      </c>
      <c r="R34" s="222">
        <f t="shared" si="8"/>
        <v>3.0025165941015258E-2</v>
      </c>
      <c r="S34" s="243">
        <f t="shared" si="9"/>
        <v>778388.71028379048</v>
      </c>
      <c r="T34" s="18"/>
    </row>
    <row r="35" spans="1:20" ht="15" x14ac:dyDescent="0.25">
      <c r="A35" s="210" t="s">
        <v>71</v>
      </c>
      <c r="B35" s="221"/>
      <c r="C35" s="214">
        <v>51662076.017003261</v>
      </c>
      <c r="D35" s="225">
        <v>0.45603973530230402</v>
      </c>
      <c r="E35" s="224">
        <f t="shared" si="14"/>
        <v>23559959.471961677</v>
      </c>
      <c r="F35" s="221">
        <v>0</v>
      </c>
      <c r="G35" s="225">
        <v>0.45603973530230402</v>
      </c>
      <c r="H35" s="224">
        <f t="shared" si="15"/>
        <v>23559959.471961677</v>
      </c>
      <c r="I35" s="225">
        <v>0.31976572361139199</v>
      </c>
      <c r="J35" s="224">
        <f t="shared" si="16"/>
        <v>16519761.120843787</v>
      </c>
      <c r="K35" s="255">
        <f>IF(Netvolumenmål!AS36&lt;Netvolumenmål!$AG$55,(Netvolumenmål!AS36-Netvolumenmål!$AG$55),0)</f>
        <v>0</v>
      </c>
      <c r="L35" s="257">
        <f>Netvolumenmål!AT36*0.8</f>
        <v>0</v>
      </c>
      <c r="M35" s="247">
        <f t="shared" si="3"/>
        <v>0.31976572361139199</v>
      </c>
      <c r="N35" s="209">
        <f t="shared" si="4"/>
        <v>16519761.120843787</v>
      </c>
      <c r="O35" s="260">
        <f t="shared" si="5"/>
        <v>28102116.545041583</v>
      </c>
      <c r="P35" s="224">
        <f t="shared" si="6"/>
        <v>0</v>
      </c>
      <c r="Q35" s="230">
        <f t="shared" si="7"/>
        <v>7.9941430902847999E-2</v>
      </c>
      <c r="R35" s="222">
        <f t="shared" si="8"/>
        <v>0.05</v>
      </c>
      <c r="S35" s="243">
        <f t="shared" si="9"/>
        <v>2583103.8008501632</v>
      </c>
      <c r="T35" s="18"/>
    </row>
    <row r="36" spans="1:20" ht="15" x14ac:dyDescent="0.25">
      <c r="A36" s="210" t="s">
        <v>65</v>
      </c>
      <c r="B36" s="221"/>
      <c r="C36" s="214">
        <v>12800270.914999515</v>
      </c>
      <c r="D36" s="225">
        <v>0.32554154819813397</v>
      </c>
      <c r="E36" s="224">
        <f t="shared" si="14"/>
        <v>4167020.0110244867</v>
      </c>
      <c r="F36" s="221">
        <v>0</v>
      </c>
      <c r="G36" s="225">
        <v>0.32554154819813397</v>
      </c>
      <c r="H36" s="224">
        <f t="shared" si="15"/>
        <v>4167020.0110244867</v>
      </c>
      <c r="I36" s="225">
        <v>0.18926755770458503</v>
      </c>
      <c r="J36" s="224">
        <f t="shared" si="16"/>
        <v>2422676.0140389921</v>
      </c>
      <c r="K36" s="255">
        <f>IF(Netvolumenmål!AS37&lt;Netvolumenmål!$AG$55,(Netvolumenmål!AS37-Netvolumenmål!$AG$55),0)</f>
        <v>0</v>
      </c>
      <c r="L36" s="257">
        <f>Netvolumenmål!AT37*0.8</f>
        <v>0</v>
      </c>
      <c r="M36" s="247">
        <f t="shared" si="3"/>
        <v>0.18926755770458503</v>
      </c>
      <c r="N36" s="209">
        <f t="shared" si="4"/>
        <v>2422676.0140389921</v>
      </c>
      <c r="O36" s="260">
        <f t="shared" si="5"/>
        <v>8633250.9039750285</v>
      </c>
      <c r="P36" s="224">
        <f t="shared" si="6"/>
        <v>0</v>
      </c>
      <c r="Q36" s="230">
        <f t="shared" si="7"/>
        <v>4.7316889426146258E-2</v>
      </c>
      <c r="R36" s="222">
        <f t="shared" si="8"/>
        <v>4.7316889426146258E-2</v>
      </c>
      <c r="S36" s="243">
        <f t="shared" si="9"/>
        <v>605669.00350974803</v>
      </c>
      <c r="T36" s="18"/>
    </row>
    <row r="37" spans="1:20" ht="15" x14ac:dyDescent="0.25">
      <c r="A37" s="210" t="s">
        <v>73</v>
      </c>
      <c r="B37" s="221"/>
      <c r="C37" s="214">
        <v>25138391.481506474</v>
      </c>
      <c r="D37" s="225">
        <v>0.44255826836548295</v>
      </c>
      <c r="E37" s="224">
        <f t="shared" si="14"/>
        <v>11125203.003549112</v>
      </c>
      <c r="F37" s="221">
        <v>0</v>
      </c>
      <c r="G37" s="225">
        <v>0.44255826836548295</v>
      </c>
      <c r="H37" s="224">
        <f t="shared" si="15"/>
        <v>11125203.003549112</v>
      </c>
      <c r="I37" s="225">
        <v>0.32935947235615703</v>
      </c>
      <c r="J37" s="224">
        <f t="shared" si="16"/>
        <v>8279567.3542314852</v>
      </c>
      <c r="K37" s="255">
        <f>IF(Netvolumenmål!AS38&lt;Netvolumenmål!$AG$55,(Netvolumenmål!AS38-Netvolumenmål!$AG$55),0)</f>
        <v>0</v>
      </c>
      <c r="L37" s="257">
        <f>Netvolumenmål!AT38*0.8</f>
        <v>0</v>
      </c>
      <c r="M37" s="247">
        <f t="shared" si="3"/>
        <v>0.32935947235615703</v>
      </c>
      <c r="N37" s="209">
        <f t="shared" si="4"/>
        <v>8279567.3542314852</v>
      </c>
      <c r="O37" s="260">
        <f t="shared" si="5"/>
        <v>14013188.477957362</v>
      </c>
      <c r="P37" s="224">
        <f t="shared" si="6"/>
        <v>0</v>
      </c>
      <c r="Q37" s="230">
        <f t="shared" si="7"/>
        <v>8.2339868089039259E-2</v>
      </c>
      <c r="R37" s="222">
        <f t="shared" si="8"/>
        <v>0.05</v>
      </c>
      <c r="S37" s="243">
        <f t="shared" si="9"/>
        <v>1256919.5740753238</v>
      </c>
      <c r="T37" s="18"/>
    </row>
    <row r="38" spans="1:20" x14ac:dyDescent="0.3">
      <c r="A38" s="210" t="s">
        <v>66</v>
      </c>
      <c r="B38" s="221"/>
      <c r="C38" s="214">
        <v>5116342.0384439956</v>
      </c>
      <c r="D38" s="225">
        <v>0.36183110561459098</v>
      </c>
      <c r="E38" s="224">
        <f t="shared" si="14"/>
        <v>1851251.696472601</v>
      </c>
      <c r="F38" s="221">
        <v>0</v>
      </c>
      <c r="G38" s="225">
        <v>0.36183110561459098</v>
      </c>
      <c r="H38" s="224">
        <f t="shared" si="15"/>
        <v>1851251.696472601</v>
      </c>
      <c r="I38" s="225">
        <v>0.22555702456972504</v>
      </c>
      <c r="J38" s="224">
        <f t="shared" si="16"/>
        <v>1154026.8868724294</v>
      </c>
      <c r="K38" s="255">
        <f>IF(Netvolumenmål!AS39&lt;Netvolumenmål!$AG$55,(Netvolumenmål!AS39-Netvolumenmål!$AG$55),0)</f>
        <v>0</v>
      </c>
      <c r="L38" s="257">
        <f>Netvolumenmål!AT39*0.8</f>
        <v>0</v>
      </c>
      <c r="M38" s="247">
        <f t="shared" si="3"/>
        <v>0.22555702456972504</v>
      </c>
      <c r="N38" s="209">
        <f t="shared" si="4"/>
        <v>1154026.8868724294</v>
      </c>
      <c r="O38" s="260">
        <f t="shared" si="5"/>
        <v>3265090.3419713946</v>
      </c>
      <c r="P38" s="224">
        <f t="shared" si="6"/>
        <v>0</v>
      </c>
      <c r="Q38" s="230">
        <f t="shared" si="7"/>
        <v>5.638925614243126E-2</v>
      </c>
      <c r="R38" s="222">
        <f t="shared" si="8"/>
        <v>0.05</v>
      </c>
      <c r="S38" s="243">
        <f t="shared" si="9"/>
        <v>255817.1019221998</v>
      </c>
      <c r="T38" s="18"/>
    </row>
    <row r="39" spans="1:20" ht="15" x14ac:dyDescent="0.25">
      <c r="A39" s="210" t="s">
        <v>74</v>
      </c>
      <c r="B39" s="221"/>
      <c r="C39" s="214">
        <v>45052128.083937496</v>
      </c>
      <c r="D39" s="225">
        <v>0.23022700932870599</v>
      </c>
      <c r="E39" s="224">
        <f t="shared" si="14"/>
        <v>10372216.712658735</v>
      </c>
      <c r="F39" s="221">
        <v>0</v>
      </c>
      <c r="G39" s="225">
        <v>0.23022700932870599</v>
      </c>
      <c r="H39" s="224">
        <f t="shared" si="15"/>
        <v>10372216.712658735</v>
      </c>
      <c r="I39" s="225">
        <v>9.3953002139361974E-2</v>
      </c>
      <c r="J39" s="224">
        <f t="shared" si="16"/>
        <v>4232782.6862529889</v>
      </c>
      <c r="K39" s="255">
        <f>IF(Netvolumenmål!AS40&lt;Netvolumenmål!$AG$55,(Netvolumenmål!AS40-Netvolumenmål!$AG$55),0)</f>
        <v>0</v>
      </c>
      <c r="L39" s="257">
        <f>Netvolumenmål!AT40*0.8</f>
        <v>0</v>
      </c>
      <c r="M39" s="247">
        <f t="shared" si="3"/>
        <v>9.3953002139361974E-2</v>
      </c>
      <c r="N39" s="209">
        <f t="shared" si="4"/>
        <v>4232782.6862529889</v>
      </c>
      <c r="O39" s="260">
        <f t="shared" si="5"/>
        <v>34679911.371278763</v>
      </c>
      <c r="P39" s="224">
        <f t="shared" si="6"/>
        <v>0</v>
      </c>
      <c r="Q39" s="230">
        <f t="shared" si="7"/>
        <v>2.3488250534840494E-2</v>
      </c>
      <c r="R39" s="222">
        <f t="shared" si="8"/>
        <v>2.3488250534840494E-2</v>
      </c>
      <c r="S39" s="243">
        <f t="shared" si="9"/>
        <v>1058195.6715632472</v>
      </c>
      <c r="T39" s="18"/>
    </row>
    <row r="40" spans="1:20" ht="15" x14ac:dyDescent="0.25">
      <c r="A40" s="210" t="s">
        <v>75</v>
      </c>
      <c r="B40" s="221"/>
      <c r="C40" s="214">
        <v>32811068.353292115</v>
      </c>
      <c r="D40" s="225">
        <v>0.17737531354903602</v>
      </c>
      <c r="E40" s="224">
        <f t="shared" si="14"/>
        <v>5819873.5370440418</v>
      </c>
      <c r="F40" s="221">
        <v>0</v>
      </c>
      <c r="G40" s="225">
        <v>0.17737531354903602</v>
      </c>
      <c r="H40" s="224">
        <f t="shared" si="15"/>
        <v>5819873.5370440418</v>
      </c>
      <c r="I40" s="225">
        <v>4.110130410271895E-2</v>
      </c>
      <c r="J40" s="224">
        <f t="shared" si="16"/>
        <v>1348577.6983237572</v>
      </c>
      <c r="K40" s="255">
        <f>IF(Netvolumenmål!AS41&lt;Netvolumenmål!$AG$55,(Netvolumenmål!AS41-Netvolumenmål!$AG$55),0)</f>
        <v>0</v>
      </c>
      <c r="L40" s="257">
        <f>Netvolumenmål!AT41*0.8</f>
        <v>0</v>
      </c>
      <c r="M40" s="247">
        <f t="shared" si="3"/>
        <v>4.110130410271895E-2</v>
      </c>
      <c r="N40" s="209">
        <f t="shared" si="4"/>
        <v>1348577.6983237572</v>
      </c>
      <c r="O40" s="260">
        <f t="shared" si="5"/>
        <v>26991194.816248074</v>
      </c>
      <c r="P40" s="224">
        <f t="shared" si="6"/>
        <v>0</v>
      </c>
      <c r="Q40" s="230">
        <f t="shared" si="7"/>
        <v>1.0275326025679737E-2</v>
      </c>
      <c r="R40" s="222">
        <f t="shared" si="8"/>
        <v>1.0275326025679737E-2</v>
      </c>
      <c r="S40" s="243">
        <f t="shared" si="9"/>
        <v>337144.42458093929</v>
      </c>
      <c r="T40" s="18"/>
    </row>
    <row r="41" spans="1:20" ht="15" x14ac:dyDescent="0.25">
      <c r="A41" s="210" t="s">
        <v>76</v>
      </c>
      <c r="B41" s="221"/>
      <c r="C41" s="214">
        <v>31758816.107026223</v>
      </c>
      <c r="D41" s="225">
        <v>0.35188335602058596</v>
      </c>
      <c r="E41" s="224">
        <f t="shared" si="14"/>
        <v>11175398.794981029</v>
      </c>
      <c r="F41" s="221">
        <v>0</v>
      </c>
      <c r="G41" s="225">
        <v>0.35188335602058596</v>
      </c>
      <c r="H41" s="224">
        <f t="shared" si="15"/>
        <v>11175398.794981029</v>
      </c>
      <c r="I41" s="225">
        <v>0.21560935917175905</v>
      </c>
      <c r="J41" s="224">
        <f t="shared" si="16"/>
        <v>6847497.9888896635</v>
      </c>
      <c r="K41" s="255">
        <f>IF(Netvolumenmål!AS42&lt;Netvolumenmål!$AG$55,(Netvolumenmål!AS42-Netvolumenmål!$AG$55),0)</f>
        <v>0</v>
      </c>
      <c r="L41" s="257">
        <f>Netvolumenmål!AT42*0.8</f>
        <v>0</v>
      </c>
      <c r="M41" s="247">
        <f t="shared" si="3"/>
        <v>0.21560935917175905</v>
      </c>
      <c r="N41" s="209">
        <f t="shared" si="4"/>
        <v>6847497.9888896635</v>
      </c>
      <c r="O41" s="260">
        <f t="shared" si="5"/>
        <v>20583417.312045194</v>
      </c>
      <c r="P41" s="224">
        <f t="shared" si="6"/>
        <v>0</v>
      </c>
      <c r="Q41" s="230">
        <f t="shared" si="7"/>
        <v>5.3902339792939763E-2</v>
      </c>
      <c r="R41" s="222">
        <f t="shared" si="8"/>
        <v>0.05</v>
      </c>
      <c r="S41" s="243">
        <f t="shared" si="9"/>
        <v>1587940.8053513113</v>
      </c>
      <c r="T41" s="18"/>
    </row>
    <row r="42" spans="1:20" x14ac:dyDescent="0.3">
      <c r="A42" s="210" t="s">
        <v>77</v>
      </c>
      <c r="B42" s="221"/>
      <c r="C42" s="214">
        <v>10533048.603560433</v>
      </c>
      <c r="D42" s="225">
        <v>0.22055724331397097</v>
      </c>
      <c r="E42" s="224">
        <f t="shared" si="14"/>
        <v>2323140.1636933605</v>
      </c>
      <c r="F42" s="221">
        <v>0</v>
      </c>
      <c r="G42" s="225">
        <v>0.22055724331397097</v>
      </c>
      <c r="H42" s="224">
        <f t="shared" si="15"/>
        <v>2323140.1636933605</v>
      </c>
      <c r="I42" s="225">
        <v>9.1469937408871993E-2</v>
      </c>
      <c r="J42" s="224">
        <f t="shared" si="16"/>
        <v>963457.29649227939</v>
      </c>
      <c r="K42" s="255">
        <f>IF(Netvolumenmål!AS43&lt;Netvolumenmål!$AG$55,(Netvolumenmål!AS43-Netvolumenmål!$AG$55),0)</f>
        <v>0</v>
      </c>
      <c r="L42" s="257">
        <f>Netvolumenmål!AT43*0.8</f>
        <v>0</v>
      </c>
      <c r="M42" s="247">
        <f t="shared" si="3"/>
        <v>9.1469937408871993E-2</v>
      </c>
      <c r="N42" s="209">
        <f t="shared" si="4"/>
        <v>963457.29649227939</v>
      </c>
      <c r="O42" s="260">
        <f t="shared" si="5"/>
        <v>8209908.4398670718</v>
      </c>
      <c r="P42" s="224">
        <f t="shared" si="6"/>
        <v>0</v>
      </c>
      <c r="Q42" s="230">
        <f t="shared" si="7"/>
        <v>2.2867484352217998E-2</v>
      </c>
      <c r="R42" s="222">
        <f t="shared" si="8"/>
        <v>2.2867484352217998E-2</v>
      </c>
      <c r="S42" s="243">
        <f t="shared" si="9"/>
        <v>240864.32412306985</v>
      </c>
      <c r="T42" s="18"/>
    </row>
    <row r="43" spans="1:20" x14ac:dyDescent="0.3">
      <c r="A43" s="210" t="s">
        <v>78</v>
      </c>
      <c r="B43" s="221"/>
      <c r="C43" s="214">
        <v>54531699</v>
      </c>
      <c r="D43" s="225">
        <v>0.18717483706999999</v>
      </c>
      <c r="E43" s="224">
        <f t="shared" si="14"/>
        <v>10206961.875475282</v>
      </c>
      <c r="F43" s="221">
        <v>0</v>
      </c>
      <c r="G43" s="225">
        <v>0.18717483706999999</v>
      </c>
      <c r="H43" s="224">
        <f t="shared" si="15"/>
        <v>10206961.875475282</v>
      </c>
      <c r="I43" s="225">
        <v>5.090083343E-2</v>
      </c>
      <c r="J43" s="224">
        <f t="shared" si="16"/>
        <v>2775708.9274538974</v>
      </c>
      <c r="K43" s="255">
        <f>IF(Netvolumenmål!AS44&lt;Netvolumenmål!$AG$55,(Netvolumenmål!AS44-Netvolumenmål!$AG$55),0)</f>
        <v>0</v>
      </c>
      <c r="L43" s="257">
        <f>Netvolumenmål!AT44*0.8</f>
        <v>0</v>
      </c>
      <c r="M43" s="247">
        <f t="shared" si="3"/>
        <v>5.090083343E-2</v>
      </c>
      <c r="N43" s="209">
        <f t="shared" si="4"/>
        <v>2775708.9274538974</v>
      </c>
      <c r="O43" s="260">
        <f t="shared" si="5"/>
        <v>44324737.12452472</v>
      </c>
      <c r="P43" s="224">
        <f t="shared" si="6"/>
        <v>0</v>
      </c>
      <c r="Q43" s="230">
        <f t="shared" si="7"/>
        <v>1.27252083575E-2</v>
      </c>
      <c r="R43" s="222">
        <f t="shared" si="8"/>
        <v>1.27252083575E-2</v>
      </c>
      <c r="S43" s="243">
        <f t="shared" si="9"/>
        <v>693927.23186347436</v>
      </c>
      <c r="T43" s="18"/>
    </row>
    <row r="44" spans="1:20" ht="15" x14ac:dyDescent="0.25">
      <c r="A44" s="210" t="s">
        <v>67</v>
      </c>
      <c r="B44" s="221"/>
      <c r="C44" s="214">
        <v>26386174</v>
      </c>
      <c r="D44" s="225">
        <v>0.2238715</v>
      </c>
      <c r="E44" s="224">
        <f t="shared" si="14"/>
        <v>5907112.3526410004</v>
      </c>
      <c r="F44" s="221">
        <v>0</v>
      </c>
      <c r="G44" s="225">
        <v>0.2238715</v>
      </c>
      <c r="H44" s="224">
        <f t="shared" si="15"/>
        <v>5907112.3526410004</v>
      </c>
      <c r="I44" s="225">
        <v>9.24841E-2</v>
      </c>
      <c r="J44" s="224">
        <f t="shared" si="16"/>
        <v>2440301.5548334001</v>
      </c>
      <c r="K44" s="255">
        <f>IF(Netvolumenmål!AS45&lt;Netvolumenmål!$AG$55,(Netvolumenmål!AS45-Netvolumenmål!$AG$55),0)</f>
        <v>0</v>
      </c>
      <c r="L44" s="257">
        <f>Netvolumenmål!AT45*0.8</f>
        <v>0</v>
      </c>
      <c r="M44" s="247">
        <f t="shared" si="3"/>
        <v>9.24841E-2</v>
      </c>
      <c r="N44" s="209">
        <f t="shared" si="4"/>
        <v>2440301.5548334001</v>
      </c>
      <c r="O44" s="260">
        <f t="shared" si="5"/>
        <v>20479061.647358999</v>
      </c>
      <c r="P44" s="224">
        <f t="shared" si="6"/>
        <v>0</v>
      </c>
      <c r="Q44" s="230">
        <f t="shared" si="7"/>
        <v>2.3121025E-2</v>
      </c>
      <c r="R44" s="222">
        <f t="shared" si="8"/>
        <v>2.3121025E-2</v>
      </c>
      <c r="S44" s="243">
        <f t="shared" si="9"/>
        <v>610075.38870835002</v>
      </c>
      <c r="T44" s="18"/>
    </row>
    <row r="45" spans="1:20" ht="15" x14ac:dyDescent="0.25">
      <c r="A45" s="210" t="s">
        <v>68</v>
      </c>
      <c r="B45" s="221"/>
      <c r="C45" s="214">
        <v>126704618.83012076</v>
      </c>
      <c r="D45" s="225">
        <v>0.17255976098130699</v>
      </c>
      <c r="E45" s="224">
        <f t="shared" ref="E45:E49" si="17">C45*D45</f>
        <v>21864118.740553245</v>
      </c>
      <c r="F45" s="221">
        <v>0</v>
      </c>
      <c r="G45" s="225">
        <v>0.17255976098130699</v>
      </c>
      <c r="H45" s="224">
        <f t="shared" ref="H45:H49" si="18">G45*C45</f>
        <v>21864118.740553245</v>
      </c>
      <c r="I45" s="225">
        <v>5.5097049351465976E-2</v>
      </c>
      <c r="J45" s="224">
        <f t="shared" si="16"/>
        <v>6981050.6367418487</v>
      </c>
      <c r="K45" s="255">
        <f>IF(Netvolumenmål!AS46&lt;Netvolumenmål!$AG$55,(Netvolumenmål!AS46-Netvolumenmål!$AG$55),0)</f>
        <v>0</v>
      </c>
      <c r="L45" s="257">
        <f>Netvolumenmål!AT46*0.8</f>
        <v>0</v>
      </c>
      <c r="M45" s="247">
        <f t="shared" si="3"/>
        <v>5.5097049351465976E-2</v>
      </c>
      <c r="N45" s="209">
        <f t="shared" si="4"/>
        <v>6981050.6367418487</v>
      </c>
      <c r="O45" s="260">
        <f t="shared" si="5"/>
        <v>104840500.08956751</v>
      </c>
      <c r="P45" s="224">
        <f t="shared" si="6"/>
        <v>0</v>
      </c>
      <c r="Q45" s="230">
        <f t="shared" si="7"/>
        <v>1.3774262337866494E-2</v>
      </c>
      <c r="R45" s="222">
        <f t="shared" si="8"/>
        <v>1.3774262337866494E-2</v>
      </c>
      <c r="S45" s="243">
        <f t="shared" si="9"/>
        <v>1745262.6591854622</v>
      </c>
      <c r="T45" s="18"/>
    </row>
    <row r="46" spans="1:20" ht="15" x14ac:dyDescent="0.25">
      <c r="A46" s="210" t="s">
        <v>69</v>
      </c>
      <c r="B46" s="221"/>
      <c r="C46" s="214">
        <v>33664936</v>
      </c>
      <c r="D46" s="225">
        <f>1-0.6107679</f>
        <v>0.38923209999999997</v>
      </c>
      <c r="E46" s="224">
        <f t="shared" si="17"/>
        <v>13103473.7356456</v>
      </c>
      <c r="F46" s="221">
        <v>0</v>
      </c>
      <c r="G46" s="225">
        <f>1-0.6107679</f>
        <v>0.38923209999999997</v>
      </c>
      <c r="H46" s="224">
        <f t="shared" si="18"/>
        <v>13103473.7356456</v>
      </c>
      <c r="I46" s="225">
        <f>1-0.7470419</f>
        <v>0.25295809999999996</v>
      </c>
      <c r="J46" s="224">
        <f t="shared" si="16"/>
        <v>8515818.2471815981</v>
      </c>
      <c r="K46" s="255">
        <f>IF(Netvolumenmål!AS47&lt;Netvolumenmål!$AG$55,(Netvolumenmål!AS47-Netvolumenmål!$AG$55),0)</f>
        <v>0</v>
      </c>
      <c r="L46" s="257">
        <f>Netvolumenmål!AT47*0.8</f>
        <v>0</v>
      </c>
      <c r="M46" s="247">
        <f t="shared" si="3"/>
        <v>0.25295809999999996</v>
      </c>
      <c r="N46" s="209">
        <f t="shared" si="4"/>
        <v>8515818.2471815981</v>
      </c>
      <c r="O46" s="260">
        <f t="shared" si="5"/>
        <v>20561462.2643544</v>
      </c>
      <c r="P46" s="224">
        <f t="shared" si="6"/>
        <v>0</v>
      </c>
      <c r="Q46" s="230">
        <f t="shared" si="7"/>
        <v>6.3239524999999991E-2</v>
      </c>
      <c r="R46" s="222">
        <f t="shared" si="8"/>
        <v>0.05</v>
      </c>
      <c r="S46" s="243">
        <f t="shared" si="9"/>
        <v>1683246.8</v>
      </c>
      <c r="T46" s="18"/>
    </row>
    <row r="47" spans="1:20" ht="15" x14ac:dyDescent="0.25">
      <c r="A47" s="210" t="s">
        <v>79</v>
      </c>
      <c r="B47" s="221"/>
      <c r="C47" s="214">
        <v>23913941</v>
      </c>
      <c r="D47" s="225">
        <v>0.39371083452699696</v>
      </c>
      <c r="E47" s="224">
        <f t="shared" si="17"/>
        <v>9415177.6679393686</v>
      </c>
      <c r="F47" s="221">
        <v>0</v>
      </c>
      <c r="G47" s="225">
        <v>0.39371083452699696</v>
      </c>
      <c r="H47" s="224">
        <f t="shared" si="18"/>
        <v>9415177.6679393686</v>
      </c>
      <c r="I47" s="225">
        <v>0.25743681059319901</v>
      </c>
      <c r="J47" s="224">
        <f t="shared" si="16"/>
        <v>6156328.6997539364</v>
      </c>
      <c r="K47" s="255">
        <f>IF(Netvolumenmål!AS48&lt;Netvolumenmål!$AG$55,(Netvolumenmål!AS48-Netvolumenmål!$AG$55),0)</f>
        <v>0</v>
      </c>
      <c r="L47" s="257">
        <f>Netvolumenmål!AT48*0.8</f>
        <v>0</v>
      </c>
      <c r="M47" s="247">
        <f t="shared" si="3"/>
        <v>0.25743681059319901</v>
      </c>
      <c r="N47" s="209">
        <f t="shared" si="4"/>
        <v>6156328.6997539364</v>
      </c>
      <c r="O47" s="260">
        <f t="shared" si="5"/>
        <v>14498763.332060631</v>
      </c>
      <c r="P47" s="224">
        <f t="shared" si="6"/>
        <v>0</v>
      </c>
      <c r="Q47" s="230">
        <f t="shared" si="7"/>
        <v>6.4359202648299751E-2</v>
      </c>
      <c r="R47" s="222">
        <f t="shared" si="8"/>
        <v>0.05</v>
      </c>
      <c r="S47" s="243">
        <f t="shared" si="9"/>
        <v>1195697.05</v>
      </c>
      <c r="T47" s="18"/>
    </row>
    <row r="48" spans="1:20" ht="15" x14ac:dyDescent="0.25">
      <c r="A48" s="210" t="s">
        <v>70</v>
      </c>
      <c r="B48" s="221"/>
      <c r="C48" s="214">
        <v>75900078</v>
      </c>
      <c r="D48" s="225">
        <f>1-0.6320808</f>
        <v>0.3679192</v>
      </c>
      <c r="E48" s="224">
        <f t="shared" si="17"/>
        <v>27925095.9776976</v>
      </c>
      <c r="F48" s="221">
        <v>13249878</v>
      </c>
      <c r="G48" s="225">
        <f>1-0.7510275</f>
        <v>0.24897250000000004</v>
      </c>
      <c r="H48" s="224">
        <f t="shared" si="18"/>
        <v>18897032.169855002</v>
      </c>
      <c r="I48" s="225">
        <f>1-0.8873016</f>
        <v>0.11269839999999998</v>
      </c>
      <c r="J48" s="224">
        <f t="shared" si="16"/>
        <v>8553817.3504751977</v>
      </c>
      <c r="K48" s="255">
        <f>IF(Netvolumenmål!AS49&lt;Netvolumenmål!$AG$55,(Netvolumenmål!AS49-Netvolumenmål!$AG$55),0)</f>
        <v>0</v>
      </c>
      <c r="L48" s="257">
        <f>Netvolumenmål!AT49*0.8</f>
        <v>0</v>
      </c>
      <c r="M48" s="247">
        <f t="shared" si="3"/>
        <v>0.11269839999999998</v>
      </c>
      <c r="N48" s="209">
        <f t="shared" si="4"/>
        <v>8553817.3504751977</v>
      </c>
      <c r="O48" s="260">
        <f t="shared" si="5"/>
        <v>57003045.830145001</v>
      </c>
      <c r="P48" s="224">
        <f t="shared" si="6"/>
        <v>0</v>
      </c>
      <c r="Q48" s="230">
        <f t="shared" si="7"/>
        <v>2.8174599999999994E-2</v>
      </c>
      <c r="R48" s="222">
        <f t="shared" si="8"/>
        <v>2.8174599999999994E-2</v>
      </c>
      <c r="S48" s="243">
        <f t="shared" si="9"/>
        <v>2138454.3376187994</v>
      </c>
      <c r="T48" s="18"/>
    </row>
    <row r="49" spans="1:20" ht="15" x14ac:dyDescent="0.25">
      <c r="A49" s="216" t="s">
        <v>72</v>
      </c>
      <c r="B49" s="220"/>
      <c r="C49" s="212">
        <v>135733105.45711106</v>
      </c>
      <c r="D49" s="228">
        <v>0.18713084829269599</v>
      </c>
      <c r="E49" s="223">
        <f t="shared" si="17"/>
        <v>25399851.165591158</v>
      </c>
      <c r="F49" s="220">
        <v>0</v>
      </c>
      <c r="G49" s="228">
        <v>0.18713084829269599</v>
      </c>
      <c r="H49" s="223">
        <f t="shared" si="18"/>
        <v>25399851.165591158</v>
      </c>
      <c r="I49" s="228">
        <v>6.9668133262939969E-2</v>
      </c>
      <c r="J49" s="223">
        <f t="shared" si="16"/>
        <v>9456272.0791786984</v>
      </c>
      <c r="K49" s="256">
        <f>IF(Netvolumenmål!AS50&lt;Netvolumenmål!$AG$55,(Netvolumenmål!AS50-Netvolumenmål!$AG$55),0)</f>
        <v>0</v>
      </c>
      <c r="L49" s="258">
        <f>Netvolumenmål!AT50*0.8</f>
        <v>0</v>
      </c>
      <c r="M49" s="248">
        <f t="shared" si="3"/>
        <v>6.9668133262939969E-2</v>
      </c>
      <c r="N49" s="211">
        <f t="shared" si="4"/>
        <v>9456272.0791786984</v>
      </c>
      <c r="O49" s="261">
        <f t="shared" si="5"/>
        <v>110333254.29151991</v>
      </c>
      <c r="P49" s="223">
        <f t="shared" si="6"/>
        <v>0</v>
      </c>
      <c r="Q49" s="231">
        <f t="shared" si="7"/>
        <v>1.7417033315734992E-2</v>
      </c>
      <c r="R49" s="232">
        <f t="shared" si="8"/>
        <v>1.7417033315734992E-2</v>
      </c>
      <c r="S49" s="244">
        <f t="shared" si="9"/>
        <v>2364068.0197946746</v>
      </c>
      <c r="T49" s="18"/>
    </row>
    <row r="50" spans="1:20" s="18" customFormat="1" ht="15" x14ac:dyDescent="0.25">
      <c r="A50" s="27"/>
      <c r="B50" s="169"/>
      <c r="C50" s="40"/>
      <c r="D50" s="28"/>
      <c r="E50" s="28"/>
      <c r="F50" s="169"/>
      <c r="G50" s="28"/>
      <c r="H50" s="28"/>
      <c r="I50" s="20"/>
      <c r="J50" s="19"/>
      <c r="K50" s="20"/>
      <c r="L50" s="20"/>
      <c r="M50" s="36"/>
      <c r="N50" s="19"/>
      <c r="O50" s="19"/>
      <c r="P50" s="28"/>
      <c r="Q50" s="20"/>
      <c r="R50" s="20"/>
      <c r="S50" s="19"/>
    </row>
    <row r="52" spans="1:20" ht="15" x14ac:dyDescent="0.25">
      <c r="F52" s="35"/>
      <c r="G52" s="35"/>
      <c r="H52" s="35"/>
      <c r="I52" s="36"/>
      <c r="J52" s="35"/>
    </row>
    <row r="53" spans="1:20" ht="15" x14ac:dyDescent="0.25">
      <c r="F53" s="35"/>
      <c r="G53" s="11"/>
      <c r="H53" s="35"/>
      <c r="I53" s="36"/>
      <c r="J53" s="35"/>
    </row>
    <row r="54" spans="1:20" ht="15" x14ac:dyDescent="0.25">
      <c r="F54" s="35"/>
      <c r="G54" s="37"/>
      <c r="H54" s="35"/>
      <c r="I54" s="36"/>
      <c r="J54" s="35"/>
    </row>
    <row r="55" spans="1:20" ht="15" x14ac:dyDescent="0.25">
      <c r="F55" s="35"/>
      <c r="G55" s="11"/>
      <c r="H55" s="35"/>
      <c r="I55" s="36"/>
      <c r="J55" s="35"/>
    </row>
    <row r="56" spans="1:20" ht="15" x14ac:dyDescent="0.25">
      <c r="F56" s="35"/>
      <c r="G56" s="11"/>
      <c r="H56" s="35"/>
      <c r="I56" s="36"/>
      <c r="J56" s="35"/>
    </row>
    <row r="57" spans="1:20" ht="15" x14ac:dyDescent="0.25">
      <c r="F57" s="35"/>
      <c r="G57" s="35"/>
      <c r="H57" s="35"/>
      <c r="I57" s="36"/>
      <c r="J57" s="35"/>
    </row>
    <row r="58" spans="1:20" ht="15" x14ac:dyDescent="0.25">
      <c r="F58" s="35"/>
      <c r="G58" s="35"/>
      <c r="H58" s="35"/>
      <c r="I58" s="38"/>
      <c r="J58" s="35"/>
    </row>
  </sheetData>
  <sortState ref="A3:Q107">
    <sortCondition ref="A2"/>
  </sortState>
  <customSheetViews>
    <customSheetView guid="{CA125778-F8FD-4378-B746-C94ABF8D8556}">
      <pane xSplit="1" ySplit="1" topLeftCell="B46" activePane="bottomRight" state="frozen"/>
      <selection pane="bottomRight" activeCell="I67" sqref="I67"/>
      <pageMargins left="0.7" right="0.7" top="0.75" bottom="0.75" header="0.3" footer="0.3"/>
      <pageSetup paperSize="9" orientation="portrait" r:id="rId1"/>
    </customSheetView>
    <customSheetView guid="{671B1274-D827-4B17-9362-3AC860C70530}" hiddenColumns="1">
      <pane xSplit="1" ySplit="1" topLeftCell="H2" activePane="bottomRight" state="frozen"/>
      <selection pane="bottomRight" activeCell="L21" sqref="L21"/>
      <pageMargins left="0.7" right="0.7" top="0.75" bottom="0.75" header="0.3" footer="0.3"/>
      <pageSetup paperSize="9" orientation="portrait" r:id="rId2"/>
    </customSheetView>
    <customSheetView guid="{88D7A6C6-1D77-4300-8600-F7BD640C7FF4}" hiddenColumns="1">
      <pane xSplit="1" ySplit="1" topLeftCell="I42" activePane="bottomRight" state="frozen"/>
      <selection pane="bottomRight" activeCell="O56" sqref="O56"/>
      <pageMargins left="0.7" right="0.7" top="0.75" bottom="0.75" header="0.3" footer="0.3"/>
      <pageSetup paperSize="9" orientation="portrait" r:id="rId3"/>
    </customSheetView>
    <customSheetView guid="{630A50AD-37E0-4B13-8A0F-82608C065D57}" topLeftCell="A76">
      <pane xSplit="1" topLeftCell="K1" activePane="topRight" state="frozen"/>
      <selection pane="topRight" activeCell="P113" sqref="P113"/>
      <pageMargins left="0.7" right="0.7" top="0.75" bottom="0.75" header="0.3" footer="0.3"/>
    </customSheetView>
    <customSheetView guid="{80E426B4-B9D0-45E3-ACA1-6AA797532F97}">
      <pane xSplit="1" ySplit="2" topLeftCell="B80" activePane="bottomRight" state="frozen"/>
      <selection pane="bottomRight" activeCell="A109" sqref="A109:XFD109"/>
      <pageMargins left="0.7" right="0.7" top="0.75" bottom="0.75" header="0.3" footer="0.3"/>
    </customSheetView>
    <customSheetView guid="{A178F800-3B7E-4511-BF10-5AA233FDE985}" scale="80">
      <pane xSplit="1" ySplit="2" topLeftCell="B3" activePane="bottomRight" state="frozen"/>
      <selection pane="bottomRight" activeCell="P10" sqref="P10"/>
      <pageMargins left="0.7" right="0.7" top="0.75" bottom="0.75" header="0.3" footer="0.3"/>
    </customSheetView>
    <customSheetView guid="{1AAC2EB3-B963-4CB8-8604-06326666FF8C}">
      <pane xSplit="1" ySplit="2" topLeftCell="B43" activePane="bottomRight" state="frozen"/>
      <selection pane="bottomRight" activeCell="F44" sqref="F44"/>
      <pageMargins left="0.7" right="0.7" top="0.75" bottom="0.75" header="0.3" footer="0.3"/>
      <pageSetup paperSize="9" orientation="portrait" r:id="rId4"/>
    </customSheetView>
    <customSheetView guid="{898A57C7-EA84-4A1C-AA42-8284F31DD32C}">
      <pane xSplit="1" ySplit="2" topLeftCell="K37" activePane="bottomRight" state="frozen"/>
      <selection pane="bottomRight" activeCell="S60" sqref="S60"/>
      <pageMargins left="0.7" right="0.7" top="0.75" bottom="0.75" header="0.3" footer="0.3"/>
      <pageSetup paperSize="9" orientation="portrait" r:id="rId5"/>
    </customSheetView>
  </customSheetViews>
  <pageMargins left="0.7" right="0.7" top="0.75" bottom="0.75" header="0.3" footer="0.3"/>
  <pageSetup paperSize="9" orientation="portrait" r:id="rId6"/>
  <ignoredErrors>
    <ignoredError sqref="O26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AY61"/>
  <sheetViews>
    <sheetView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AT57" sqref="AT57"/>
    </sheetView>
  </sheetViews>
  <sheetFormatPr defaultRowHeight="14.4" x14ac:dyDescent="0.3"/>
  <cols>
    <col min="1" max="1" width="36.88671875" bestFit="1" customWidth="1"/>
    <col min="2" max="2" width="13.109375" customWidth="1"/>
    <col min="3" max="3" width="13" customWidth="1"/>
    <col min="4" max="4" width="12.5546875" customWidth="1"/>
    <col min="5" max="5" width="11.88671875" customWidth="1"/>
    <col min="6" max="6" width="11.33203125" customWidth="1"/>
    <col min="7" max="7" width="11.109375" customWidth="1"/>
    <col min="8" max="8" width="9.88671875" customWidth="1"/>
    <col min="9" max="9" width="11.109375" customWidth="1"/>
    <col min="12" max="12" width="15.88671875" customWidth="1"/>
    <col min="13" max="13" width="15.33203125" customWidth="1"/>
    <col min="14" max="14" width="18.44140625" customWidth="1"/>
    <col min="15" max="17" width="18.44140625" style="18" customWidth="1"/>
    <col min="18" max="18" width="15.6640625" style="18" customWidth="1"/>
    <col min="19" max="19" width="16.6640625" style="18" bestFit="1" customWidth="1"/>
    <col min="20" max="20" width="17.88671875" style="18" bestFit="1" customWidth="1"/>
    <col min="21" max="21" width="15.5546875" customWidth="1"/>
    <col min="22" max="22" width="13.5546875" customWidth="1"/>
    <col min="23" max="23" width="24.5546875" bestFit="1" customWidth="1"/>
    <col min="24" max="24" width="9.109375" bestFit="1" customWidth="1"/>
    <col min="25" max="25" width="10.88671875" bestFit="1" customWidth="1"/>
    <col min="26" max="26" width="11.33203125" customWidth="1"/>
    <col min="27" max="27" width="11.44140625" customWidth="1"/>
    <col min="28" max="28" width="12.109375" bestFit="1" customWidth="1"/>
    <col min="29" max="29" width="9.109375" bestFit="1" customWidth="1"/>
    <col min="30" max="30" width="10.5546875" bestFit="1" customWidth="1"/>
    <col min="31" max="31" width="9.109375" bestFit="1" customWidth="1"/>
    <col min="32" max="32" width="6.33203125" style="16" customWidth="1"/>
    <col min="33" max="33" width="17.88671875" style="16" customWidth="1"/>
    <col min="35" max="35" width="9.88671875" bestFit="1" customWidth="1"/>
    <col min="36" max="36" width="12.5546875" customWidth="1"/>
    <col min="37" max="37" width="11.5546875" customWidth="1"/>
    <col min="38" max="38" width="11.88671875" customWidth="1"/>
    <col min="39" max="40" width="9.88671875" bestFit="1" customWidth="1"/>
    <col min="41" max="41" width="9.33203125" bestFit="1" customWidth="1"/>
    <col min="42" max="42" width="9.88671875" bestFit="1" customWidth="1"/>
    <col min="44" max="44" width="17.6640625" customWidth="1"/>
    <col min="45" max="45" width="20.44140625" bestFit="1" customWidth="1"/>
    <col min="46" max="46" width="11" customWidth="1"/>
  </cols>
  <sheetData>
    <row r="1" spans="1:51" ht="15" thickBot="1" x14ac:dyDescent="0.35">
      <c r="A1" s="1"/>
      <c r="B1" s="266" t="s">
        <v>84</v>
      </c>
      <c r="C1" s="267"/>
      <c r="D1" s="267"/>
      <c r="E1" s="267"/>
      <c r="F1" s="267"/>
      <c r="G1" s="267"/>
      <c r="H1" s="267"/>
      <c r="I1" s="268"/>
      <c r="J1" s="2" t="s">
        <v>85</v>
      </c>
      <c r="K1" s="2" t="s">
        <v>86</v>
      </c>
      <c r="L1" s="266" t="s">
        <v>87</v>
      </c>
      <c r="M1" s="267"/>
      <c r="N1" s="269"/>
      <c r="O1" s="263" t="s">
        <v>128</v>
      </c>
      <c r="P1" s="264"/>
      <c r="Q1" s="265"/>
      <c r="R1" s="263" t="s">
        <v>132</v>
      </c>
      <c r="S1" s="264"/>
      <c r="T1" s="265"/>
      <c r="U1" s="3" t="s">
        <v>140</v>
      </c>
      <c r="V1" s="9"/>
      <c r="X1" s="263" t="s">
        <v>113</v>
      </c>
      <c r="Y1" s="264"/>
      <c r="Z1" s="264"/>
      <c r="AA1" s="264"/>
      <c r="AB1" s="264"/>
      <c r="AC1" s="264"/>
      <c r="AD1" s="264"/>
      <c r="AE1" s="265"/>
      <c r="AI1" s="263" t="s">
        <v>114</v>
      </c>
      <c r="AJ1" s="264"/>
      <c r="AK1" s="264"/>
      <c r="AL1" s="264"/>
      <c r="AM1" s="264"/>
      <c r="AN1" s="264"/>
      <c r="AO1" s="264"/>
      <c r="AP1" s="265"/>
    </row>
    <row r="2" spans="1:51" ht="58.2" thickBot="1" x14ac:dyDescent="0.35">
      <c r="A2" s="3" t="s">
        <v>0</v>
      </c>
      <c r="B2" s="32" t="s">
        <v>1</v>
      </c>
      <c r="C2" s="29" t="s">
        <v>92</v>
      </c>
      <c r="D2" s="29" t="s">
        <v>93</v>
      </c>
      <c r="E2" s="29" t="s">
        <v>97</v>
      </c>
      <c r="F2" s="29" t="s">
        <v>94</v>
      </c>
      <c r="G2" s="29" t="s">
        <v>95</v>
      </c>
      <c r="H2" s="29" t="s">
        <v>96</v>
      </c>
      <c r="I2" s="30" t="s">
        <v>7</v>
      </c>
      <c r="J2" s="9" t="s">
        <v>85</v>
      </c>
      <c r="K2" s="31" t="s">
        <v>88</v>
      </c>
      <c r="L2" s="13" t="s">
        <v>89</v>
      </c>
      <c r="M2" s="12" t="s">
        <v>90</v>
      </c>
      <c r="N2" s="4" t="s">
        <v>91</v>
      </c>
      <c r="O2" s="13" t="s">
        <v>125</v>
      </c>
      <c r="P2" s="12" t="s">
        <v>126</v>
      </c>
      <c r="Q2" s="4" t="s">
        <v>127</v>
      </c>
      <c r="R2" s="13" t="s">
        <v>129</v>
      </c>
      <c r="S2" s="12" t="s">
        <v>130</v>
      </c>
      <c r="T2" s="4" t="s">
        <v>131</v>
      </c>
      <c r="U2" s="44" t="s">
        <v>134</v>
      </c>
      <c r="V2" s="49" t="s">
        <v>135</v>
      </c>
      <c r="W2" s="8"/>
      <c r="X2" s="13" t="s">
        <v>1</v>
      </c>
      <c r="Y2" s="12" t="s">
        <v>92</v>
      </c>
      <c r="Z2" s="12" t="s">
        <v>93</v>
      </c>
      <c r="AA2" s="12" t="s">
        <v>97</v>
      </c>
      <c r="AB2" s="12" t="s">
        <v>136</v>
      </c>
      <c r="AC2" s="12" t="s">
        <v>95</v>
      </c>
      <c r="AD2" s="12" t="s">
        <v>96</v>
      </c>
      <c r="AE2" s="4" t="s">
        <v>7</v>
      </c>
      <c r="AF2" s="14"/>
      <c r="AG2" s="44" t="s">
        <v>137</v>
      </c>
      <c r="AI2" s="13" t="s">
        <v>1</v>
      </c>
      <c r="AJ2" s="12" t="s">
        <v>92</v>
      </c>
      <c r="AK2" s="12" t="s">
        <v>93</v>
      </c>
      <c r="AL2" s="12" t="s">
        <v>97</v>
      </c>
      <c r="AM2" s="12" t="s">
        <v>94</v>
      </c>
      <c r="AN2" s="12" t="s">
        <v>95</v>
      </c>
      <c r="AO2" s="12" t="s">
        <v>96</v>
      </c>
      <c r="AP2" s="4" t="s">
        <v>7</v>
      </c>
      <c r="AR2" s="202" t="s">
        <v>137</v>
      </c>
      <c r="AS2" s="203" t="s">
        <v>138</v>
      </c>
      <c r="AT2" s="204" t="s">
        <v>139</v>
      </c>
    </row>
    <row r="3" spans="1:51" x14ac:dyDescent="0.3">
      <c r="A3" s="33" t="s">
        <v>39</v>
      </c>
      <c r="B3" s="77">
        <f>VLOOKUP($A3,Costdrivere!$A$3:$I$50,2,FALSE)</f>
        <v>1339327</v>
      </c>
      <c r="C3" s="132">
        <f>VLOOKUP($A3,Costdrivere!$A$3:$I$50,3,FALSE)</f>
        <v>2588081</v>
      </c>
      <c r="D3" s="132">
        <f>VLOOKUP($A3,Costdrivere!$A$3:$I$50,4,FALSE)</f>
        <v>270460</v>
      </c>
      <c r="E3" s="132">
        <f>VLOOKUP($A3,Costdrivere!$A$3:$I$50,5,FALSE)</f>
        <v>296672.45999999996</v>
      </c>
      <c r="F3" s="132">
        <f>VLOOKUP($A3,Costdrivere!$A$3:$I$50,6,FALSE)</f>
        <v>6632348.3900470575</v>
      </c>
      <c r="G3" s="132">
        <f>VLOOKUP($A3,Costdrivere!$A$3:$I$50,7,FALSE)</f>
        <v>2406997.8000000003</v>
      </c>
      <c r="H3" s="132">
        <f>VLOOKUP($A3,Costdrivere!$A$3:$I$50,8,FALSE)</f>
        <v>0</v>
      </c>
      <c r="I3" s="60">
        <f>VLOOKUP($A3,Costdrivere!$A$3:$I$50,9,FALSE)</f>
        <v>891866.4</v>
      </c>
      <c r="J3" s="65">
        <v>34.027928749373615</v>
      </c>
      <c r="K3" s="65">
        <f>VLOOKUP(A3,Costdrivere!$A$3:$J$50,10,FALSE)</f>
        <v>2.3587859424920126E-2</v>
      </c>
      <c r="L3" s="96">
        <f>SUM(B3:I3)</f>
        <v>14425753.050047059</v>
      </c>
      <c r="M3" s="51">
        <f>(0.527+0.016*J3)*L3</f>
        <v>15456427.808463765</v>
      </c>
      <c r="N3" s="83">
        <f>(0.719+19.567*K3)*L3</f>
        <v>17030231.09287262</v>
      </c>
      <c r="O3" s="96">
        <f>L3+'Potentialer og krav'!$F2</f>
        <v>14425753.050047059</v>
      </c>
      <c r="P3" s="51">
        <f>(0.527+0.016*J3)*O3</f>
        <v>15456427.808463765</v>
      </c>
      <c r="Q3" s="83">
        <f>(0.719+19.567*K3)*O3</f>
        <v>17030231.09287262</v>
      </c>
      <c r="R3" s="167">
        <f>O3+(0.2*'Potentialer og krav'!$C2)</f>
        <v>17867691.250047058</v>
      </c>
      <c r="S3" s="184">
        <f>P3+(0.2*'Potentialer og krav'!$C2)</f>
        <v>18898366.008463766</v>
      </c>
      <c r="T3" s="60">
        <f>Q3+(0.2*'Potentialer og krav'!$C2)</f>
        <v>20472169.292872623</v>
      </c>
      <c r="U3" s="167">
        <v>16505569</v>
      </c>
      <c r="V3" s="140">
        <f>1.023*U3</f>
        <v>16885197.086999997</v>
      </c>
      <c r="X3" s="181">
        <f t="shared" ref="X3:AE3" si="0">B3/(SUM($B3:$I3))</f>
        <v>9.2842778838199441E-2</v>
      </c>
      <c r="Y3" s="182">
        <f t="shared" si="0"/>
        <v>0.17940699463114387</v>
      </c>
      <c r="Z3" s="182">
        <f t="shared" si="0"/>
        <v>1.8748414662423305E-2</v>
      </c>
      <c r="AA3" s="182">
        <f t="shared" si="0"/>
        <v>2.0565474743034797E-2</v>
      </c>
      <c r="AB3" s="182">
        <f t="shared" si="0"/>
        <v>0.45975751609205745</v>
      </c>
      <c r="AC3" s="182">
        <f t="shared" si="0"/>
        <v>0.16685422186623031</v>
      </c>
      <c r="AD3" s="182">
        <f t="shared" si="0"/>
        <v>0</v>
      </c>
      <c r="AE3" s="183">
        <f t="shared" si="0"/>
        <v>6.1824599166910778E-2</v>
      </c>
      <c r="AF3" s="176"/>
      <c r="AG3" s="194">
        <f>X3+Z3+AE3</f>
        <v>0.17341579266753351</v>
      </c>
      <c r="AH3" s="15"/>
      <c r="AI3" s="173">
        <f>X$52-X3</f>
        <v>0.12340357898521492</v>
      </c>
      <c r="AJ3" s="174">
        <f t="shared" ref="AJ3:AJ50" si="1">Y$52-Y3</f>
        <v>2.2102533309952654E-2</v>
      </c>
      <c r="AK3" s="174">
        <f t="shared" ref="AK3:AK50" si="2">Z$52-Z3</f>
        <v>1.5633933155256019E-3</v>
      </c>
      <c r="AL3" s="174">
        <f t="shared" ref="AL3:AL50" si="3">AA$52-AA3</f>
        <v>-5.6575108393242118E-3</v>
      </c>
      <c r="AM3" s="174">
        <f t="shared" ref="AM3:AM50" si="4">AB$52-AB3</f>
        <v>-0.45919006927180472</v>
      </c>
      <c r="AN3" s="174">
        <f t="shared" ref="AN3:AN50" si="5">AC$52-AC3</f>
        <v>0.17516242561905812</v>
      </c>
      <c r="AO3" s="174">
        <f t="shared" ref="AO3:AO50" si="6">AD$52-AD3</f>
        <v>0.13378819580148499</v>
      </c>
      <c r="AP3" s="175">
        <f t="shared" ref="AP3:AP50" si="7">AE$52-AE3</f>
        <v>8.827453079892654E-3</v>
      </c>
      <c r="AQ3" s="172"/>
      <c r="AR3" s="196">
        <f>X3+Z3+AE3</f>
        <v>0.17341579266753351</v>
      </c>
      <c r="AS3" s="197">
        <f>$AG$52-AR3</f>
        <v>0.13379442538063316</v>
      </c>
      <c r="AT3" s="198">
        <f>IF(AS3&lt;$AG$55,(AS3-$AG$55)*0.3819,0)</f>
        <v>0</v>
      </c>
      <c r="AV3" s="17"/>
      <c r="AW3" s="17"/>
      <c r="AX3" s="17"/>
      <c r="AY3" s="17"/>
    </row>
    <row r="4" spans="1:51" x14ac:dyDescent="0.3">
      <c r="A4" s="33" t="s">
        <v>104</v>
      </c>
      <c r="B4" s="121">
        <f>VLOOKUP($A4,Costdrivere!$A$3:$I$50,2,FALSE)</f>
        <v>6307246</v>
      </c>
      <c r="C4" s="51">
        <f>VLOOKUP($A4,Costdrivere!$A$3:$I$50,3,FALSE)</f>
        <v>7279316</v>
      </c>
      <c r="D4" s="51">
        <f>VLOOKUP($A4,Costdrivere!$A$3:$I$50,4,FALSE)</f>
        <v>1433438</v>
      </c>
      <c r="E4" s="51">
        <f>VLOOKUP($A4,Costdrivere!$A$3:$I$50,5,FALSE)</f>
        <v>42756.84</v>
      </c>
      <c r="F4" s="51">
        <f>VLOOKUP($A4,Costdrivere!$A$3:$I$50,6,FALSE)</f>
        <v>16409139.2283468</v>
      </c>
      <c r="G4" s="51">
        <f>VLOOKUP($A4,Costdrivere!$A$3:$I$50,7,FALSE)</f>
        <v>3470737.5</v>
      </c>
      <c r="H4" s="51">
        <f>VLOOKUP($A4,Costdrivere!$A$3:$I$50,8,FALSE)</f>
        <v>0</v>
      </c>
      <c r="I4" s="43">
        <f>VLOOKUP($A4,Costdrivere!$A$3:$I$50,9,FALSE)</f>
        <v>2996444</v>
      </c>
      <c r="J4" s="39">
        <v>31.857546127018598</v>
      </c>
      <c r="K4" s="39">
        <f>VLOOKUP(A4,Costdrivere!$A$3:$J$50,10,FALSE)</f>
        <v>1.6828358208955223E-2</v>
      </c>
      <c r="L4" s="96">
        <f t="shared" ref="L4:L17" si="8">SUM(B4:I4)</f>
        <v>37939077.568346798</v>
      </c>
      <c r="M4" s="51">
        <f>(0.527+0.016*J4)*L4</f>
        <v>39332228.496921077</v>
      </c>
      <c r="N4" s="83">
        <f t="shared" ref="N4:N17" si="9">(0.719+19.567*K4)*L4</f>
        <v>39770794.636630476</v>
      </c>
      <c r="O4" s="96">
        <f>L4+'Potentialer og krav'!$F3</f>
        <v>37939077.568346798</v>
      </c>
      <c r="P4" s="51">
        <f t="shared" ref="P4:P34" si="10">(0.527+0.016*J4)*O4</f>
        <v>39332228.496921077</v>
      </c>
      <c r="Q4" s="83">
        <f t="shared" ref="Q4:Q34" si="11">(0.719+19.567*K4)*O4</f>
        <v>39770794.636630476</v>
      </c>
      <c r="R4" s="96">
        <f>O4+(0.2*'Potentialer og krav'!$C3)</f>
        <v>48265792.107507326</v>
      </c>
      <c r="S4" s="83">
        <f>P4+(0.2*'Potentialer og krav'!$C3)</f>
        <v>49658943.036081605</v>
      </c>
      <c r="T4" s="43">
        <f>Q4+(0.2*'Potentialer og krav'!$C3)</f>
        <v>50097509.175791003</v>
      </c>
      <c r="U4" s="96">
        <v>46677007</v>
      </c>
      <c r="V4" s="68">
        <f t="shared" ref="V4:V50" si="12">1.023*U4</f>
        <v>47750578.160999998</v>
      </c>
      <c r="X4" s="173">
        <f t="shared" ref="X4:X50" si="13">B4/(SUM($B4:$I4))</f>
        <v>0.16624668822370736</v>
      </c>
      <c r="Y4" s="174">
        <f t="shared" ref="Y4:Y50" si="14">C4/(SUM($B4:$I4))</f>
        <v>0.19186855523533483</v>
      </c>
      <c r="Z4" s="174">
        <f t="shared" ref="Z4:Z50" si="15">D4/(SUM($B4:$I4))</f>
        <v>3.778262656538442E-2</v>
      </c>
      <c r="AA4" s="174">
        <f t="shared" ref="AA4:AA50" si="16">E4/(SUM($B4:$I4))</f>
        <v>1.1269868099184556E-3</v>
      </c>
      <c r="AB4" s="174">
        <f t="shared" ref="AB4:AB50" si="17">F4/(SUM($B4:$I4))</f>
        <v>0.43251286747248746</v>
      </c>
      <c r="AC4" s="174">
        <f t="shared" ref="AC4:AC50" si="18">G4/(SUM($B4:$I4))</f>
        <v>9.1481863093468938E-2</v>
      </c>
      <c r="AD4" s="174">
        <f t="shared" ref="AD4:AD50" si="19">H4/(SUM($B4:$I4))</f>
        <v>0</v>
      </c>
      <c r="AE4" s="175">
        <f t="shared" ref="AE4:AE50" si="20">I4/(SUM($B4:$I4))</f>
        <v>7.8980412599698596E-2</v>
      </c>
      <c r="AF4" s="176"/>
      <c r="AG4" s="194">
        <f t="shared" ref="AG4:AG34" si="21">X4+Z4+AE4</f>
        <v>0.28300972738879038</v>
      </c>
      <c r="AH4" s="15"/>
      <c r="AI4" s="173">
        <f t="shared" ref="AI4:AI49" si="22">X$52-X4</f>
        <v>4.9999669599707003E-2</v>
      </c>
      <c r="AJ4" s="174">
        <f t="shared" si="1"/>
        <v>9.6409727057616967E-3</v>
      </c>
      <c r="AK4" s="174">
        <f t="shared" si="2"/>
        <v>-1.7470818587435512E-2</v>
      </c>
      <c r="AL4" s="174">
        <f t="shared" si="3"/>
        <v>1.378097709379213E-2</v>
      </c>
      <c r="AM4" s="174">
        <f t="shared" si="4"/>
        <v>-0.43194542065223474</v>
      </c>
      <c r="AN4" s="174">
        <f t="shared" si="5"/>
        <v>0.25053478439181948</v>
      </c>
      <c r="AO4" s="174">
        <f t="shared" si="6"/>
        <v>0.13378819580148499</v>
      </c>
      <c r="AP4" s="175">
        <f t="shared" si="7"/>
        <v>-8.3283603528951644E-3</v>
      </c>
      <c r="AQ4" s="172"/>
      <c r="AR4" s="196">
        <f t="shared" ref="AR4:AR34" si="23">X4+Z4+AE4</f>
        <v>0.28300972738879038</v>
      </c>
      <c r="AS4" s="197">
        <f>$AG$52-AR4</f>
        <v>2.4200490659376295E-2</v>
      </c>
      <c r="AT4" s="198">
        <f t="shared" ref="AT4:AT50" si="24">IF(AS4&lt;$AG$55,(AS4-$AG$55)*0.3819,0)</f>
        <v>0</v>
      </c>
    </row>
    <row r="5" spans="1:51" ht="15" x14ac:dyDescent="0.25">
      <c r="A5" s="33" t="s">
        <v>40</v>
      </c>
      <c r="B5" s="121">
        <f>VLOOKUP($A5,Costdrivere!$A$3:$I$50,2,FALSE)</f>
        <v>1741553</v>
      </c>
      <c r="C5" s="51">
        <f>VLOOKUP($A5,Costdrivere!$A$3:$I$50,3,FALSE)</f>
        <v>1721250</v>
      </c>
      <c r="D5" s="51">
        <f>VLOOKUP($A5,Costdrivere!$A$3:$I$50,4,FALSE)</f>
        <v>189322</v>
      </c>
      <c r="E5" s="51">
        <f>VLOOKUP($A5,Costdrivere!$A$3:$I$50,5,FALSE)</f>
        <v>247046.09999999998</v>
      </c>
      <c r="F5" s="51">
        <f>VLOOKUP($A5,Costdrivere!$A$3:$I$50,6,FALSE)</f>
        <v>12641343.810135681</v>
      </c>
      <c r="G5" s="51">
        <f>VLOOKUP($A5,Costdrivere!$A$3:$I$50,7,FALSE)</f>
        <v>4770376.2</v>
      </c>
      <c r="H5" s="51">
        <f>VLOOKUP($A5,Costdrivere!$A$3:$I$50,8,FALSE)</f>
        <v>0</v>
      </c>
      <c r="I5" s="43">
        <f>VLOOKUP($A5,Costdrivere!$A$3:$I$50,9,FALSE)</f>
        <v>1108460.8</v>
      </c>
      <c r="J5" s="39">
        <v>42.99559459408021</v>
      </c>
      <c r="K5" s="39">
        <f>VLOOKUP(A5,Costdrivere!$A$3:$J$50,10,FALSE)</f>
        <v>2.2545454545454546E-2</v>
      </c>
      <c r="L5" s="96">
        <f t="shared" si="8"/>
        <v>22419351.910135683</v>
      </c>
      <c r="M5" s="51">
        <f t="shared" ref="M5:M17" si="25">(0.527+0.016*J5)*L5</f>
        <v>27237932.309284888</v>
      </c>
      <c r="N5" s="83">
        <f t="shared" si="9"/>
        <v>26009741.82236528</v>
      </c>
      <c r="O5" s="96">
        <f>L5+'Potentialer og krav'!$F4</f>
        <v>22419351.910135683</v>
      </c>
      <c r="P5" s="51">
        <f t="shared" si="10"/>
        <v>27237932.309284888</v>
      </c>
      <c r="Q5" s="83">
        <f t="shared" si="11"/>
        <v>26009741.82236528</v>
      </c>
      <c r="R5" s="96">
        <f>O5+(0.2*'Potentialer og krav'!$C4)</f>
        <v>26645825.440678462</v>
      </c>
      <c r="S5" s="83">
        <f>P5+(0.2*'Potentialer og krav'!$C4)</f>
        <v>31464405.839827668</v>
      </c>
      <c r="T5" s="43">
        <f>Q5+(0.2*'Potentialer og krav'!$C4)</f>
        <v>30236215.35290806</v>
      </c>
      <c r="U5" s="96">
        <v>14932428</v>
      </c>
      <c r="V5" s="68">
        <f t="shared" si="12"/>
        <v>15275873.843999999</v>
      </c>
      <c r="X5" s="173">
        <f t="shared" si="13"/>
        <v>7.7680791442175989E-2</v>
      </c>
      <c r="Y5" s="174">
        <f t="shared" si="14"/>
        <v>7.6775189885031028E-2</v>
      </c>
      <c r="Z5" s="174">
        <f t="shared" si="15"/>
        <v>8.4445795203566265E-3</v>
      </c>
      <c r="AA5" s="174">
        <f t="shared" si="16"/>
        <v>1.1019323885464843E-2</v>
      </c>
      <c r="AB5" s="174">
        <f t="shared" si="17"/>
        <v>0.56385857453892718</v>
      </c>
      <c r="AC5" s="174">
        <f t="shared" si="18"/>
        <v>0.21277939786668568</v>
      </c>
      <c r="AD5" s="174">
        <f t="shared" si="19"/>
        <v>0</v>
      </c>
      <c r="AE5" s="175">
        <f t="shared" si="20"/>
        <v>4.9442142861358548E-2</v>
      </c>
      <c r="AF5" s="176"/>
      <c r="AG5" s="194">
        <f t="shared" si="21"/>
        <v>0.13556751382389115</v>
      </c>
      <c r="AI5" s="173">
        <f t="shared" si="22"/>
        <v>0.13856556638123838</v>
      </c>
      <c r="AJ5" s="174">
        <f t="shared" si="1"/>
        <v>0.1247343380560655</v>
      </c>
      <c r="AK5" s="174">
        <f t="shared" si="2"/>
        <v>1.1867228457592281E-2</v>
      </c>
      <c r="AL5" s="174">
        <f t="shared" si="3"/>
        <v>3.8886400182457422E-3</v>
      </c>
      <c r="AM5" s="174">
        <f t="shared" si="4"/>
        <v>-0.56329112771867451</v>
      </c>
      <c r="AN5" s="174">
        <f t="shared" si="5"/>
        <v>0.12923724961860275</v>
      </c>
      <c r="AO5" s="174">
        <f t="shared" si="6"/>
        <v>0.13378819580148499</v>
      </c>
      <c r="AP5" s="175">
        <f t="shared" si="7"/>
        <v>2.1209909385444883E-2</v>
      </c>
      <c r="AQ5" s="172"/>
      <c r="AR5" s="196">
        <f t="shared" si="23"/>
        <v>0.13556751382389115</v>
      </c>
      <c r="AS5" s="197">
        <f t="shared" ref="AS5:AS49" si="26">$AG$52-AR5</f>
        <v>0.17164270422427552</v>
      </c>
      <c r="AT5" s="198">
        <f t="shared" si="24"/>
        <v>0</v>
      </c>
    </row>
    <row r="6" spans="1:51" ht="15" x14ac:dyDescent="0.25">
      <c r="A6" s="33" t="s">
        <v>41</v>
      </c>
      <c r="B6" s="121">
        <f>VLOOKUP($A6,Costdrivere!$A$3:$I$50,2,FALSE)</f>
        <v>3500221.9999999995</v>
      </c>
      <c r="C6" s="51">
        <f>VLOOKUP($A6,Costdrivere!$A$3:$I$50,3,FALSE)</f>
        <v>3207707</v>
      </c>
      <c r="D6" s="51">
        <f>VLOOKUP($A6,Costdrivere!$A$3:$I$50,4,FALSE)</f>
        <v>40569</v>
      </c>
      <c r="E6" s="51">
        <f>VLOOKUP($A6,Costdrivere!$A$3:$I$50,5,FALSE)</f>
        <v>888299.99999999988</v>
      </c>
      <c r="F6" s="51">
        <f>VLOOKUP($A6,Costdrivere!$A$3:$I$50,6,FALSE)</f>
        <v>15417983.733680261</v>
      </c>
      <c r="G6" s="51">
        <f>VLOOKUP($A6,Costdrivere!$A$3:$I$50,7,FALSE)</f>
        <v>6344640</v>
      </c>
      <c r="H6" s="51">
        <f>VLOOKUP($A6,Costdrivere!$A$3:$I$50,8,FALSE)</f>
        <v>0</v>
      </c>
      <c r="I6" s="43">
        <f>VLOOKUP($A6,Costdrivere!$A$3:$I$50,9,FALSE)</f>
        <v>2019896.8</v>
      </c>
      <c r="J6" s="39">
        <v>44.849010702529675</v>
      </c>
      <c r="K6" s="39">
        <f>VLOOKUP(A6,Costdrivere!$A$3:$J$50,10,FALSE)</f>
        <v>2.0441320293398534E-2</v>
      </c>
      <c r="L6" s="96">
        <f t="shared" si="8"/>
        <v>31419318.533680264</v>
      </c>
      <c r="M6" s="51">
        <f t="shared" si="25"/>
        <v>39103986.518180944</v>
      </c>
      <c r="N6" s="83">
        <f t="shared" si="9"/>
        <v>35157441.827575564</v>
      </c>
      <c r="O6" s="96">
        <f>L6+'Potentialer og krav'!$F5</f>
        <v>31419318.533680264</v>
      </c>
      <c r="P6" s="51">
        <f t="shared" si="10"/>
        <v>39103986.518180944</v>
      </c>
      <c r="Q6" s="83">
        <f t="shared" si="11"/>
        <v>35157441.827575564</v>
      </c>
      <c r="R6" s="96">
        <f>O6+(0.2*'Potentialer og krav'!$C5)</f>
        <v>37756742.893501341</v>
      </c>
      <c r="S6" s="83">
        <f>P6+(0.2*'Potentialer og krav'!$C5)</f>
        <v>45441410.878002025</v>
      </c>
      <c r="T6" s="43">
        <f>Q6+(0.2*'Potentialer og krav'!$C5)</f>
        <v>41494866.187396646</v>
      </c>
      <c r="U6" s="96">
        <v>32135079</v>
      </c>
      <c r="V6" s="68">
        <f t="shared" si="12"/>
        <v>32874185.816999998</v>
      </c>
      <c r="X6" s="173">
        <f t="shared" si="13"/>
        <v>0.11140349833647412</v>
      </c>
      <c r="Y6" s="174">
        <f t="shared" si="14"/>
        <v>0.10209346191138631</v>
      </c>
      <c r="Z6" s="174">
        <f t="shared" si="15"/>
        <v>1.2912119642732429E-3</v>
      </c>
      <c r="AA6" s="174">
        <f t="shared" si="16"/>
        <v>2.8272414598928285E-2</v>
      </c>
      <c r="AB6" s="174">
        <f t="shared" si="17"/>
        <v>0.49071668174956734</v>
      </c>
      <c r="AC6" s="174">
        <f t="shared" si="18"/>
        <v>0.20193436064498971</v>
      </c>
      <c r="AD6" s="174">
        <f t="shared" si="19"/>
        <v>0</v>
      </c>
      <c r="AE6" s="175">
        <f t="shared" si="20"/>
        <v>6.4288370794380878E-2</v>
      </c>
      <c r="AF6" s="176"/>
      <c r="AG6" s="194">
        <f t="shared" si="21"/>
        <v>0.17698308109512823</v>
      </c>
      <c r="AI6" s="173">
        <f t="shared" si="22"/>
        <v>0.10484285948694025</v>
      </c>
      <c r="AJ6" s="174">
        <f t="shared" si="1"/>
        <v>9.9416066029710218E-2</v>
      </c>
      <c r="AK6" s="174">
        <f t="shared" si="2"/>
        <v>1.9020596013675665E-2</v>
      </c>
      <c r="AL6" s="174">
        <f t="shared" si="3"/>
        <v>-1.3364450695217699E-2</v>
      </c>
      <c r="AM6" s="174">
        <f t="shared" si="4"/>
        <v>-0.49014923492931461</v>
      </c>
      <c r="AN6" s="174">
        <f t="shared" si="5"/>
        <v>0.14008228684029872</v>
      </c>
      <c r="AO6" s="174">
        <f t="shared" si="6"/>
        <v>0.13378819580148499</v>
      </c>
      <c r="AP6" s="175">
        <f t="shared" si="7"/>
        <v>6.3636814524225538E-3</v>
      </c>
      <c r="AQ6" s="172"/>
      <c r="AR6" s="196">
        <f t="shared" si="23"/>
        <v>0.17698308109512823</v>
      </c>
      <c r="AS6" s="197">
        <f t="shared" si="26"/>
        <v>0.13022713695303845</v>
      </c>
      <c r="AT6" s="198">
        <f t="shared" si="24"/>
        <v>0</v>
      </c>
    </row>
    <row r="7" spans="1:51" ht="15" x14ac:dyDescent="0.25">
      <c r="A7" s="33" t="s">
        <v>42</v>
      </c>
      <c r="B7" s="121">
        <f>VLOOKUP($A7,Costdrivere!$A$3:$I$50,2,FALSE)</f>
        <v>16372626.699999999</v>
      </c>
      <c r="C7" s="51">
        <f>VLOOKUP($A7,Costdrivere!$A$3:$I$50,3,FALSE)</f>
        <v>8934525</v>
      </c>
      <c r="D7" s="51">
        <f>VLOOKUP($A7,Costdrivere!$A$3:$I$50,4,FALSE)</f>
        <v>1866174</v>
      </c>
      <c r="E7" s="51">
        <f>VLOOKUP($A7,Costdrivere!$A$3:$I$50,5,FALSE)</f>
        <v>1724466.66</v>
      </c>
      <c r="F7" s="51">
        <f>VLOOKUP($A7,Costdrivere!$A$3:$I$50,6,FALSE)</f>
        <v>26760823.311775081</v>
      </c>
      <c r="G7" s="51">
        <f>VLOOKUP($A7,Costdrivere!$A$3:$I$50,7,FALSE)</f>
        <v>8613485.9000000004</v>
      </c>
      <c r="H7" s="51">
        <f>VLOOKUP($A7,Costdrivere!$A$3:$I$50,8,FALSE)</f>
        <v>0</v>
      </c>
      <c r="I7" s="43">
        <f>VLOOKUP($A7,Costdrivere!$A$3:$I$50,9,FALSE)</f>
        <v>3382400</v>
      </c>
      <c r="J7" s="39">
        <v>33.41142688090472</v>
      </c>
      <c r="K7" s="39">
        <f>VLOOKUP(A7,Costdrivere!$A$3:$J$50,10,FALSE)</f>
        <v>1.4044943820224717E-2</v>
      </c>
      <c r="L7" s="96">
        <f t="shared" si="8"/>
        <v>67654501.571775079</v>
      </c>
      <c r="M7" s="51">
        <f t="shared" si="25"/>
        <v>71820857.247196123</v>
      </c>
      <c r="N7" s="83">
        <f t="shared" si="9"/>
        <v>67236221.914585531</v>
      </c>
      <c r="O7" s="96">
        <f>L7+'Potentialer og krav'!$F6</f>
        <v>67654501.571775079</v>
      </c>
      <c r="P7" s="51">
        <f t="shared" si="10"/>
        <v>71820857.247196123</v>
      </c>
      <c r="Q7" s="83">
        <f t="shared" si="11"/>
        <v>67236221.914585531</v>
      </c>
      <c r="R7" s="96">
        <f>O7+(0.2*'Potentialer og krav'!$C6)</f>
        <v>79603077.171775073</v>
      </c>
      <c r="S7" s="83">
        <f>P7+(0.2*'Potentialer og krav'!$C6)</f>
        <v>83769432.847196132</v>
      </c>
      <c r="T7" s="43">
        <f>Q7+(0.2*'Potentialer og krav'!$C6)</f>
        <v>79184797.514585525</v>
      </c>
      <c r="U7" s="96">
        <v>50732736</v>
      </c>
      <c r="V7" s="68">
        <f t="shared" si="12"/>
        <v>51899588.927999996</v>
      </c>
      <c r="X7" s="173">
        <f t="shared" si="13"/>
        <v>0.24200350781729105</v>
      </c>
      <c r="Y7" s="174">
        <f t="shared" si="14"/>
        <v>0.13206105717180264</v>
      </c>
      <c r="Z7" s="174">
        <f t="shared" si="15"/>
        <v>2.7583885131725706E-2</v>
      </c>
      <c r="AA7" s="174">
        <f t="shared" si="16"/>
        <v>2.5489311426978772E-2</v>
      </c>
      <c r="AB7" s="174">
        <f t="shared" si="17"/>
        <v>0.3955512595622977</v>
      </c>
      <c r="AC7" s="174">
        <f t="shared" si="18"/>
        <v>0.12731578387081752</v>
      </c>
      <c r="AD7" s="174">
        <f t="shared" si="19"/>
        <v>0</v>
      </c>
      <c r="AE7" s="175">
        <f t="shared" si="20"/>
        <v>4.9995195019086662E-2</v>
      </c>
      <c r="AF7" s="176"/>
      <c r="AG7" s="194">
        <f t="shared" si="21"/>
        <v>0.3195825879681034</v>
      </c>
      <c r="AI7" s="173">
        <f t="shared" si="22"/>
        <v>-2.5757149993876682E-2</v>
      </c>
      <c r="AJ7" s="174">
        <f t="shared" si="1"/>
        <v>6.9448470769293891E-2</v>
      </c>
      <c r="AK7" s="174">
        <f t="shared" si="2"/>
        <v>-7.2720771537767986E-3</v>
      </c>
      <c r="AL7" s="174">
        <f t="shared" si="3"/>
        <v>-1.0581347523268187E-2</v>
      </c>
      <c r="AM7" s="174">
        <f t="shared" si="4"/>
        <v>-0.39498381274204497</v>
      </c>
      <c r="AN7" s="174">
        <f t="shared" si="5"/>
        <v>0.21470086361447091</v>
      </c>
      <c r="AO7" s="174">
        <f t="shared" si="6"/>
        <v>0.13378819580148499</v>
      </c>
      <c r="AP7" s="175">
        <f t="shared" si="7"/>
        <v>2.065685722771677E-2</v>
      </c>
      <c r="AQ7" s="172"/>
      <c r="AR7" s="196">
        <f t="shared" si="23"/>
        <v>0.3195825879681034</v>
      </c>
      <c r="AS7" s="197">
        <f t="shared" si="26"/>
        <v>-1.2372369919936732E-2</v>
      </c>
      <c r="AT7" s="198">
        <f t="shared" si="24"/>
        <v>0</v>
      </c>
    </row>
    <row r="8" spans="1:51" ht="15" x14ac:dyDescent="0.25">
      <c r="A8" s="33" t="s">
        <v>43</v>
      </c>
      <c r="B8" s="121">
        <f>VLOOKUP($A8,Costdrivere!$A$3:$I$50,2,FALSE)</f>
        <v>11909813</v>
      </c>
      <c r="C8" s="51">
        <f>VLOOKUP($A8,Costdrivere!$A$3:$I$50,3,FALSE)</f>
        <v>3590284</v>
      </c>
      <c r="D8" s="51">
        <f>VLOOKUP($A8,Costdrivere!$A$3:$I$50,4,FALSE)</f>
        <v>838426</v>
      </c>
      <c r="E8" s="51">
        <f>VLOOKUP($A8,Costdrivere!$A$3:$I$50,5,FALSE)</f>
        <v>1140360.0599999998</v>
      </c>
      <c r="F8" s="51">
        <f>VLOOKUP($A8,Costdrivere!$A$3:$I$50,6,FALSE)</f>
        <v>36313216.451936185</v>
      </c>
      <c r="G8" s="51">
        <f>VLOOKUP($A8,Costdrivere!$A$3:$I$50,7,FALSE)</f>
        <v>12883101</v>
      </c>
      <c r="H8" s="51">
        <f>VLOOKUP($A8,Costdrivere!$A$3:$I$50,8,FALSE)</f>
        <v>10160</v>
      </c>
      <c r="I8" s="43">
        <f>VLOOKUP($A8,Costdrivere!$A$3:$I$50,9,FALSE)</f>
        <v>5256249.5999999996</v>
      </c>
      <c r="J8" s="39">
        <v>38.572736133172178</v>
      </c>
      <c r="K8" s="39">
        <f>VLOOKUP(A8,Costdrivere!$A$3:$J$50,10,FALSE)</f>
        <v>3.0049723756906076E-2</v>
      </c>
      <c r="L8" s="96">
        <f t="shared" si="8"/>
        <v>71941610.111936182</v>
      </c>
      <c r="M8" s="51">
        <f t="shared" si="25"/>
        <v>82312984.430482611</v>
      </c>
      <c r="N8" s="83">
        <f t="shared" si="9"/>
        <v>94026457.434254095</v>
      </c>
      <c r="O8" s="96">
        <f>L8+'Potentialer og krav'!$F7</f>
        <v>71941610.111936182</v>
      </c>
      <c r="P8" s="51">
        <f t="shared" si="10"/>
        <v>82312984.430482611</v>
      </c>
      <c r="Q8" s="83">
        <f t="shared" si="11"/>
        <v>94026457.434254095</v>
      </c>
      <c r="R8" s="96">
        <f>O8+(0.2*'Potentialer og krav'!$C7)</f>
        <v>86043973.991869539</v>
      </c>
      <c r="S8" s="83">
        <f>P8+(0.2*'Potentialer og krav'!$C7)</f>
        <v>96415348.310415968</v>
      </c>
      <c r="T8" s="43">
        <f>Q8+(0.2*'Potentialer og krav'!$C7)</f>
        <v>108128821.31418745</v>
      </c>
      <c r="U8" s="96">
        <v>64760285</v>
      </c>
      <c r="V8" s="68">
        <f t="shared" si="12"/>
        <v>66249771.554999992</v>
      </c>
      <c r="X8" s="173">
        <f t="shared" si="13"/>
        <v>0.16554832427949767</v>
      </c>
      <c r="Y8" s="174">
        <f t="shared" si="14"/>
        <v>4.9905527474486129E-2</v>
      </c>
      <c r="Z8" s="174">
        <f t="shared" si="15"/>
        <v>1.1654256815985449E-2</v>
      </c>
      <c r="AA8" s="174">
        <f t="shared" si="16"/>
        <v>1.5851189016004484E-2</v>
      </c>
      <c r="AB8" s="174">
        <f t="shared" si="17"/>
        <v>0.50475957370755709</v>
      </c>
      <c r="AC8" s="174">
        <f t="shared" si="18"/>
        <v>0.17907718467733463</v>
      </c>
      <c r="AD8" s="174">
        <f t="shared" si="19"/>
        <v>1.4122564096343882E-4</v>
      </c>
      <c r="AE8" s="175">
        <f t="shared" si="20"/>
        <v>7.3062718388171161E-2</v>
      </c>
      <c r="AF8" s="176"/>
      <c r="AG8" s="194">
        <f t="shared" si="21"/>
        <v>0.25026529948365428</v>
      </c>
      <c r="AI8" s="173">
        <f t="shared" si="22"/>
        <v>5.0698033543916693E-2</v>
      </c>
      <c r="AJ8" s="174">
        <f t="shared" si="1"/>
        <v>0.15160400046661041</v>
      </c>
      <c r="AK8" s="174">
        <f t="shared" si="2"/>
        <v>8.6575511619634577E-3</v>
      </c>
      <c r="AL8" s="174">
        <f t="shared" si="3"/>
        <v>-9.432251122938988E-4</v>
      </c>
      <c r="AM8" s="174">
        <f t="shared" si="4"/>
        <v>-0.50419212688730441</v>
      </c>
      <c r="AN8" s="174">
        <f t="shared" si="5"/>
        <v>0.16293946280795379</v>
      </c>
      <c r="AO8" s="174">
        <f t="shared" si="6"/>
        <v>0.13364697016052154</v>
      </c>
      <c r="AP8" s="175">
        <f t="shared" si="7"/>
        <v>-2.4106661413677288E-3</v>
      </c>
      <c r="AQ8" s="172"/>
      <c r="AR8" s="196">
        <f t="shared" si="23"/>
        <v>0.25026529948365428</v>
      </c>
      <c r="AS8" s="197">
        <f t="shared" si="26"/>
        <v>5.6944918564512392E-2</v>
      </c>
      <c r="AT8" s="198">
        <f t="shared" si="24"/>
        <v>0</v>
      </c>
    </row>
    <row r="9" spans="1:51" x14ac:dyDescent="0.3">
      <c r="A9" s="33" t="s">
        <v>44</v>
      </c>
      <c r="B9" s="121">
        <f>VLOOKUP($A9,Costdrivere!$A$3:$I$50,2,FALSE)</f>
        <v>393668</v>
      </c>
      <c r="C9" s="51">
        <f>VLOOKUP($A9,Costdrivere!$A$3:$I$50,3,FALSE)</f>
        <v>924712</v>
      </c>
      <c r="D9" s="51">
        <f>VLOOKUP($A9,Costdrivere!$A$3:$I$50,4,FALSE)</f>
        <v>0</v>
      </c>
      <c r="E9" s="51">
        <f>VLOOKUP($A9,Costdrivere!$A$3:$I$50,5,FALSE)</f>
        <v>0</v>
      </c>
      <c r="F9" s="51">
        <f>VLOOKUP($A9,Costdrivere!$A$3:$I$50,6,FALSE)</f>
        <v>0</v>
      </c>
      <c r="G9" s="51">
        <f>VLOOKUP($A9,Costdrivere!$A$3:$I$50,7,FALSE)</f>
        <v>0</v>
      </c>
      <c r="H9" s="51">
        <f>VLOOKUP($A9,Costdrivere!$A$3:$I$50,8,FALSE)</f>
        <v>0</v>
      </c>
      <c r="I9" s="43">
        <f>VLOOKUP($A9,Costdrivere!$A$3:$I$50,9,FALSE)</f>
        <v>313113.59999999998</v>
      </c>
      <c r="J9" s="39">
        <v>13.994718921697872</v>
      </c>
      <c r="K9" s="39">
        <f>VLOOKUP(A9,Costdrivere!$A$3:$J$50,10,FALSE)</f>
        <v>2.8173913043478261E-2</v>
      </c>
      <c r="L9" s="96">
        <f t="shared" si="8"/>
        <v>1631493.6</v>
      </c>
      <c r="M9" s="51">
        <f t="shared" si="25"/>
        <v>1225113.8368727837</v>
      </c>
      <c r="N9" s="83">
        <f t="shared" si="9"/>
        <v>2072451.9877798955</v>
      </c>
      <c r="O9" s="96">
        <f>L9+'Potentialer og krav'!$F8</f>
        <v>1631493.6</v>
      </c>
      <c r="P9" s="51">
        <f t="shared" si="10"/>
        <v>1225113.8368727837</v>
      </c>
      <c r="Q9" s="83">
        <f t="shared" si="11"/>
        <v>2072451.9877798955</v>
      </c>
      <c r="R9" s="96">
        <f>O9+(0.2*'Potentialer og krav'!$C8)</f>
        <v>2110836.8391109328</v>
      </c>
      <c r="S9" s="83">
        <f>P9+(0.2*'Potentialer og krav'!$C8)</f>
        <v>1704457.0759837164</v>
      </c>
      <c r="T9" s="43">
        <f>Q9+(0.2*'Potentialer og krav'!$C8)</f>
        <v>2551795.2268908285</v>
      </c>
      <c r="U9" s="96">
        <v>2460515</v>
      </c>
      <c r="V9" s="68">
        <f t="shared" si="12"/>
        <v>2517106.8449999997</v>
      </c>
      <c r="X9" s="173">
        <f t="shared" si="13"/>
        <v>0.24129300905624146</v>
      </c>
      <c r="Y9" s="174">
        <f t="shared" si="14"/>
        <v>0.56678861627161758</v>
      </c>
      <c r="Z9" s="174">
        <f t="shared" si="15"/>
        <v>0</v>
      </c>
      <c r="AA9" s="174">
        <f t="shared" si="16"/>
        <v>0</v>
      </c>
      <c r="AB9" s="174">
        <f t="shared" si="17"/>
        <v>0</v>
      </c>
      <c r="AC9" s="174">
        <f t="shared" si="18"/>
        <v>0</v>
      </c>
      <c r="AD9" s="174">
        <f t="shared" si="19"/>
        <v>0</v>
      </c>
      <c r="AE9" s="175">
        <f t="shared" si="20"/>
        <v>0.1919183746721409</v>
      </c>
      <c r="AF9" s="176"/>
      <c r="AG9" s="194">
        <f t="shared" si="21"/>
        <v>0.43321138372838236</v>
      </c>
      <c r="AI9" s="173">
        <f t="shared" si="22"/>
        <v>-2.5046651232827094E-2</v>
      </c>
      <c r="AJ9" s="174">
        <f t="shared" si="1"/>
        <v>-0.36527908833052103</v>
      </c>
      <c r="AK9" s="174">
        <f t="shared" si="2"/>
        <v>2.0311807977948907E-2</v>
      </c>
      <c r="AL9" s="174">
        <f t="shared" si="3"/>
        <v>1.4907963903710585E-2</v>
      </c>
      <c r="AM9" s="174">
        <f t="shared" si="4"/>
        <v>5.6744682025271079E-4</v>
      </c>
      <c r="AN9" s="174">
        <f t="shared" si="5"/>
        <v>0.34201664748528843</v>
      </c>
      <c r="AO9" s="174">
        <f t="shared" si="6"/>
        <v>0.13378819580148499</v>
      </c>
      <c r="AP9" s="175">
        <f t="shared" si="7"/>
        <v>-0.12126632242533747</v>
      </c>
      <c r="AQ9" s="172"/>
      <c r="AR9" s="196">
        <f t="shared" si="23"/>
        <v>0.43321138372838236</v>
      </c>
      <c r="AS9" s="197">
        <f t="shared" si="26"/>
        <v>-0.12600116568021569</v>
      </c>
      <c r="AT9" s="198">
        <f t="shared" si="24"/>
        <v>0</v>
      </c>
    </row>
    <row r="10" spans="1:51" ht="15" x14ac:dyDescent="0.25">
      <c r="A10" s="33" t="s">
        <v>45</v>
      </c>
      <c r="B10" s="121">
        <f>VLOOKUP($A10,Costdrivere!$A$3:$I$50,2,FALSE)</f>
        <v>5134800</v>
      </c>
      <c r="C10" s="51">
        <f>VLOOKUP($A10,Costdrivere!$A$3:$I$50,3,FALSE)</f>
        <v>11033119</v>
      </c>
      <c r="D10" s="51">
        <f>VLOOKUP($A10,Costdrivere!$A$3:$I$50,4,FALSE)</f>
        <v>1095363</v>
      </c>
      <c r="E10" s="51">
        <f>VLOOKUP($A10,Costdrivere!$A$3:$I$50,5,FALSE)</f>
        <v>187529.99999999997</v>
      </c>
      <c r="F10" s="51">
        <f>VLOOKUP($A10,Costdrivere!$A$3:$I$50,6,FALSE)</f>
        <v>16886346.446521521</v>
      </c>
      <c r="G10" s="51">
        <f>VLOOKUP($A10,Costdrivere!$A$3:$I$50,7,FALSE)</f>
        <v>4636909.0999999996</v>
      </c>
      <c r="H10" s="51">
        <f>VLOOKUP($A10,Costdrivere!$A$3:$I$50,8,FALSE)</f>
        <v>139700</v>
      </c>
      <c r="I10" s="43">
        <f>VLOOKUP($A10,Costdrivere!$A$3:$I$50,9,FALSE)</f>
        <v>2322742.4</v>
      </c>
      <c r="J10" s="39">
        <v>33.326597745400221</v>
      </c>
      <c r="K10" s="39">
        <f>VLOOKUP(A10,Costdrivere!$A$3:$J$50,10,FALSE)</f>
        <v>1.6023333333333334E-2</v>
      </c>
      <c r="L10" s="96">
        <f t="shared" si="8"/>
        <v>41436509.946521521</v>
      </c>
      <c r="M10" s="51">
        <f t="shared" si="25"/>
        <v>43932047.125192806</v>
      </c>
      <c r="N10" s="83">
        <f t="shared" si="9"/>
        <v>42784380.084629245</v>
      </c>
      <c r="O10" s="96">
        <f>L10+'Potentialer og krav'!$F9</f>
        <v>41436509.946521521</v>
      </c>
      <c r="P10" s="51">
        <f>(0.527+0.016*J10)*O10</f>
        <v>43932047.125192806</v>
      </c>
      <c r="Q10" s="83">
        <f t="shared" si="11"/>
        <v>42784380.084629245</v>
      </c>
      <c r="R10" s="96">
        <f>O10+(0.2*'Potentialer og krav'!$C9)</f>
        <v>49885700.493503295</v>
      </c>
      <c r="S10" s="83">
        <f>P10+(0.2*'Potentialer og krav'!$C9)</f>
        <v>52381237.67217458</v>
      </c>
      <c r="T10" s="43">
        <f>Q10+(0.2*'Potentialer og krav'!$C9)</f>
        <v>51233570.631611019</v>
      </c>
      <c r="U10" s="96">
        <v>35533120</v>
      </c>
      <c r="V10" s="68">
        <f t="shared" si="12"/>
        <v>36350381.759999998</v>
      </c>
      <c r="X10" s="173">
        <f t="shared" si="13"/>
        <v>0.12391970285690174</v>
      </c>
      <c r="Y10" s="174">
        <f t="shared" si="14"/>
        <v>0.26626564385464613</v>
      </c>
      <c r="Z10" s="174">
        <f t="shared" si="15"/>
        <v>2.6434731144434925E-2</v>
      </c>
      <c r="AA10" s="174">
        <f t="shared" si="16"/>
        <v>4.5257189913443128E-3</v>
      </c>
      <c r="AB10" s="174">
        <f t="shared" si="17"/>
        <v>0.40752337656610682</v>
      </c>
      <c r="AC10" s="174">
        <f t="shared" si="18"/>
        <v>0.11190394910151585</v>
      </c>
      <c r="AD10" s="174">
        <f t="shared" si="19"/>
        <v>3.3714229354812595E-3</v>
      </c>
      <c r="AE10" s="175">
        <f t="shared" si="20"/>
        <v>5.6055454549568978E-2</v>
      </c>
      <c r="AF10" s="176"/>
      <c r="AG10" s="194">
        <f t="shared" si="21"/>
        <v>0.20640988855090564</v>
      </c>
      <c r="AI10" s="173">
        <f t="shared" si="22"/>
        <v>9.2326654966512628E-2</v>
      </c>
      <c r="AJ10" s="174">
        <f t="shared" si="1"/>
        <v>-6.47561159135496E-2</v>
      </c>
      <c r="AK10" s="174">
        <f t="shared" si="2"/>
        <v>-6.1229231664860183E-3</v>
      </c>
      <c r="AL10" s="174">
        <f t="shared" si="3"/>
        <v>1.0382244912366272E-2</v>
      </c>
      <c r="AM10" s="174">
        <f t="shared" si="4"/>
        <v>-0.40695592974585409</v>
      </c>
      <c r="AN10" s="174">
        <f t="shared" si="5"/>
        <v>0.23011269838377257</v>
      </c>
      <c r="AO10" s="174">
        <f t="shared" si="6"/>
        <v>0.13041677286600373</v>
      </c>
      <c r="AP10" s="175">
        <f t="shared" si="7"/>
        <v>1.4596597697234454E-2</v>
      </c>
      <c r="AQ10" s="172"/>
      <c r="AR10" s="196">
        <f t="shared" si="23"/>
        <v>0.20640988855090564</v>
      </c>
      <c r="AS10" s="197">
        <f t="shared" si="26"/>
        <v>0.10080032949726103</v>
      </c>
      <c r="AT10" s="198">
        <f t="shared" si="24"/>
        <v>0</v>
      </c>
    </row>
    <row r="11" spans="1:51" ht="15" x14ac:dyDescent="0.25">
      <c r="A11" s="33" t="s">
        <v>46</v>
      </c>
      <c r="B11" s="121">
        <f>VLOOKUP($A11,Costdrivere!$A$3:$I$50,2,FALSE)</f>
        <v>1792901</v>
      </c>
      <c r="C11" s="51">
        <f>VLOOKUP($A11,Costdrivere!$A$3:$I$50,3,FALSE)</f>
        <v>2771854</v>
      </c>
      <c r="D11" s="51">
        <f>VLOOKUP($A11,Costdrivere!$A$3:$I$50,4,FALSE)</f>
        <v>27046</v>
      </c>
      <c r="E11" s="51">
        <f>VLOOKUP($A11,Costdrivere!$A$3:$I$50,5,FALSE)</f>
        <v>193175.63999999998</v>
      </c>
      <c r="F11" s="51">
        <f>VLOOKUP($A11,Costdrivere!$A$3:$I$50,6,FALSE)</f>
        <v>5382349.1460003592</v>
      </c>
      <c r="G11" s="51">
        <f>VLOOKUP($A11,Costdrivere!$A$3:$I$50,7,FALSE)</f>
        <v>2020767.84</v>
      </c>
      <c r="H11" s="51">
        <f>VLOOKUP($A11,Costdrivere!$A$3:$I$50,8,FALSE)</f>
        <v>0</v>
      </c>
      <c r="I11" s="43">
        <f>VLOOKUP($A11,Costdrivere!$A$3:$I$50,9,FALSE)</f>
        <v>1223824.8</v>
      </c>
      <c r="J11" s="39">
        <v>32.258682574383769</v>
      </c>
      <c r="K11" s="39">
        <f>VLOOKUP(A11,Costdrivere!$A$3:$J$50,10,FALSE)</f>
        <v>2.4178997613365154E-2</v>
      </c>
      <c r="L11" s="96">
        <f t="shared" si="8"/>
        <v>13411918.42600036</v>
      </c>
      <c r="M11" s="51">
        <f t="shared" si="25"/>
        <v>13990494.11798818</v>
      </c>
      <c r="N11" s="83">
        <f t="shared" si="9"/>
        <v>15988488.060568085</v>
      </c>
      <c r="O11" s="96">
        <f>L11+'Potentialer og krav'!$F10</f>
        <v>14086230.42600036</v>
      </c>
      <c r="P11" s="51">
        <f t="shared" si="10"/>
        <v>14693895.210213747</v>
      </c>
      <c r="Q11" s="83">
        <f t="shared" si="11"/>
        <v>16792342.439834014</v>
      </c>
      <c r="R11" s="96">
        <f>O11+(0.2*'Potentialer og krav'!$C10)</f>
        <v>19223466.408939883</v>
      </c>
      <c r="S11" s="83">
        <f>P11+(0.2*'Potentialer og krav'!$C10)</f>
        <v>19831131.19315327</v>
      </c>
      <c r="T11" s="43">
        <f>Q11+(0.2*'Potentialer og krav'!$C10)</f>
        <v>21929578.422773533</v>
      </c>
      <c r="U11" s="96">
        <v>21397541</v>
      </c>
      <c r="V11" s="68">
        <f t="shared" si="12"/>
        <v>21889684.442999996</v>
      </c>
      <c r="X11" s="173">
        <f t="shared" si="13"/>
        <v>0.13367968273086719</v>
      </c>
      <c r="Y11" s="174">
        <f t="shared" si="14"/>
        <v>0.20667095578410921</v>
      </c>
      <c r="Z11" s="174">
        <f t="shared" si="15"/>
        <v>2.0165646062660649E-3</v>
      </c>
      <c r="AA11" s="174">
        <f t="shared" si="16"/>
        <v>1.4403281757627564E-2</v>
      </c>
      <c r="AB11" s="174">
        <f t="shared" si="17"/>
        <v>0.40131090683985454</v>
      </c>
      <c r="AC11" s="174">
        <f t="shared" si="18"/>
        <v>0.1506695594034137</v>
      </c>
      <c r="AD11" s="174">
        <f t="shared" si="19"/>
        <v>0</v>
      </c>
      <c r="AE11" s="175">
        <f t="shared" si="20"/>
        <v>9.1249048877861644E-2</v>
      </c>
      <c r="AF11" s="176"/>
      <c r="AG11" s="194">
        <f t="shared" si="21"/>
        <v>0.2269452962149949</v>
      </c>
      <c r="AI11" s="173">
        <f t="shared" si="22"/>
        <v>8.256667509254717E-2</v>
      </c>
      <c r="AJ11" s="174">
        <f t="shared" si="1"/>
        <v>-5.1614278430126836E-3</v>
      </c>
      <c r="AK11" s="174">
        <f t="shared" si="2"/>
        <v>1.8295243371682843E-2</v>
      </c>
      <c r="AL11" s="174">
        <f t="shared" si="3"/>
        <v>5.0468214608302177E-4</v>
      </c>
      <c r="AM11" s="174">
        <f t="shared" si="4"/>
        <v>-0.40074346001960182</v>
      </c>
      <c r="AN11" s="174">
        <f t="shared" si="5"/>
        <v>0.19134708808187473</v>
      </c>
      <c r="AO11" s="174">
        <f t="shared" si="6"/>
        <v>0.13378819580148499</v>
      </c>
      <c r="AP11" s="175">
        <f t="shared" si="7"/>
        <v>-2.0596996631058212E-2</v>
      </c>
      <c r="AQ11" s="172"/>
      <c r="AR11" s="196">
        <f t="shared" si="23"/>
        <v>0.2269452962149949</v>
      </c>
      <c r="AS11" s="197">
        <f t="shared" si="26"/>
        <v>8.0264921833171771E-2</v>
      </c>
      <c r="AT11" s="198">
        <f t="shared" si="24"/>
        <v>0</v>
      </c>
    </row>
    <row r="12" spans="1:51" ht="15" x14ac:dyDescent="0.25">
      <c r="A12" s="33" t="s">
        <v>47</v>
      </c>
      <c r="B12" s="121">
        <f>VLOOKUP($A12,Costdrivere!$A$3:$I$50,2,FALSE)</f>
        <v>9841548</v>
      </c>
      <c r="C12" s="51">
        <f>VLOOKUP($A12,Costdrivere!$A$3:$I$50,3,FALSE)</f>
        <v>8007738</v>
      </c>
      <c r="D12" s="51">
        <f>VLOOKUP($A12,Costdrivere!$A$3:$I$50,4,FALSE)</f>
        <v>662627</v>
      </c>
      <c r="E12" s="51">
        <f>VLOOKUP($A12,Costdrivere!$A$3:$I$50,5,FALSE)</f>
        <v>298133.21999999997</v>
      </c>
      <c r="F12" s="51">
        <f>VLOOKUP($A12,Costdrivere!$A$3:$I$50,6,FALSE)</f>
        <v>23397784.971941523</v>
      </c>
      <c r="G12" s="51">
        <f>VLOOKUP($A12,Costdrivere!$A$3:$I$50,7,FALSE)</f>
        <v>6785989.0199999996</v>
      </c>
      <c r="H12" s="51">
        <f>VLOOKUP($A12,Costdrivere!$A$3:$I$50,8,FALSE)</f>
        <v>17780</v>
      </c>
      <c r="I12" s="43">
        <f>VLOOKUP($A12,Costdrivere!$A$3:$I$50,9,FALSE)</f>
        <v>1872158.4</v>
      </c>
      <c r="J12" s="39">
        <v>38.557959141002044</v>
      </c>
      <c r="K12" s="39">
        <f>VLOOKUP(A12,Costdrivere!$A$3:$J$50,10,FALSE)</f>
        <v>1.575E-2</v>
      </c>
      <c r="L12" s="96">
        <f t="shared" si="8"/>
        <v>50883758.611941524</v>
      </c>
      <c r="M12" s="51">
        <f t="shared" si="25"/>
        <v>58207322.95649083</v>
      </c>
      <c r="N12" s="83">
        <f t="shared" si="9"/>
        <v>52266791.891953751</v>
      </c>
      <c r="O12" s="96">
        <f>L12+'Potentialer og krav'!$F11</f>
        <v>50883758.611941524</v>
      </c>
      <c r="P12" s="51">
        <f t="shared" si="10"/>
        <v>58207322.95649083</v>
      </c>
      <c r="Q12" s="83">
        <f t="shared" si="11"/>
        <v>52266791.891953751</v>
      </c>
      <c r="R12" s="96">
        <f>O12+(0.2*'Potentialer og krav'!$C11)</f>
        <v>61818129.934002668</v>
      </c>
      <c r="S12" s="83">
        <f>P12+(0.2*'Potentialer og krav'!$C11)</f>
        <v>69141694.278551966</v>
      </c>
      <c r="T12" s="43">
        <f>Q12+(0.2*'Potentialer og krav'!$C11)</f>
        <v>63201163.214014895</v>
      </c>
      <c r="U12" s="96">
        <v>40951277</v>
      </c>
      <c r="V12" s="68">
        <f t="shared" si="12"/>
        <v>41893156.370999999</v>
      </c>
      <c r="X12" s="173">
        <f t="shared" si="13"/>
        <v>0.19341236316788835</v>
      </c>
      <c r="Y12" s="174">
        <f t="shared" si="14"/>
        <v>0.15737316225143644</v>
      </c>
      <c r="Z12" s="174">
        <f t="shared" si="15"/>
        <v>1.302236741301758E-2</v>
      </c>
      <c r="AA12" s="174">
        <f t="shared" si="16"/>
        <v>5.8591037323652692E-3</v>
      </c>
      <c r="AB12" s="174">
        <f t="shared" si="17"/>
        <v>0.45982815755380291</v>
      </c>
      <c r="AC12" s="174">
        <f t="shared" si="18"/>
        <v>0.13336257393547668</v>
      </c>
      <c r="AD12" s="174">
        <f t="shared" si="19"/>
        <v>3.4942387286279096E-4</v>
      </c>
      <c r="AE12" s="175">
        <f t="shared" si="20"/>
        <v>3.6792848073149947E-2</v>
      </c>
      <c r="AF12" s="176"/>
      <c r="AG12" s="194">
        <f t="shared" si="21"/>
        <v>0.24322757865405586</v>
      </c>
      <c r="AI12" s="173">
        <f t="shared" si="22"/>
        <v>2.2833994655526019E-2</v>
      </c>
      <c r="AJ12" s="174">
        <f t="shared" si="1"/>
        <v>4.413636568966009E-2</v>
      </c>
      <c r="AK12" s="174">
        <f t="shared" si="2"/>
        <v>7.2894405649313269E-3</v>
      </c>
      <c r="AL12" s="174">
        <f t="shared" si="3"/>
        <v>9.0488601713453153E-3</v>
      </c>
      <c r="AM12" s="174">
        <f t="shared" si="4"/>
        <v>-0.45926071073355018</v>
      </c>
      <c r="AN12" s="174">
        <f t="shared" si="5"/>
        <v>0.20865407354981175</v>
      </c>
      <c r="AO12" s="174">
        <f t="shared" si="6"/>
        <v>0.13343877192862219</v>
      </c>
      <c r="AP12" s="175">
        <f t="shared" si="7"/>
        <v>3.3859204173653484E-2</v>
      </c>
      <c r="AQ12" s="172"/>
      <c r="AR12" s="196">
        <f t="shared" si="23"/>
        <v>0.24322757865405586</v>
      </c>
      <c r="AS12" s="197">
        <f t="shared" si="26"/>
        <v>6.3982639394110807E-2</v>
      </c>
      <c r="AT12" s="198">
        <f t="shared" si="24"/>
        <v>0</v>
      </c>
    </row>
    <row r="13" spans="1:51" ht="15" x14ac:dyDescent="0.25">
      <c r="A13" s="33" t="s">
        <v>51</v>
      </c>
      <c r="B13" s="121">
        <f>VLOOKUP($A13,Costdrivere!$A$3:$I$50,2,FALSE)</f>
        <v>8274982</v>
      </c>
      <c r="C13" s="51">
        <f>VLOOKUP($A13,Costdrivere!$A$3:$I$50,3,FALSE)</f>
        <v>19654922</v>
      </c>
      <c r="D13" s="51">
        <f>VLOOKUP($A13,Costdrivere!$A$3:$I$50,4,FALSE)</f>
        <v>297506</v>
      </c>
      <c r="E13" s="51">
        <f>VLOOKUP($A13,Costdrivere!$A$3:$I$50,5,FALSE)</f>
        <v>60404.399999999994</v>
      </c>
      <c r="F13" s="51">
        <f>VLOOKUP($A13,Costdrivere!$A$3:$I$50,6,FALSE)</f>
        <v>37459133.668418676</v>
      </c>
      <c r="G13" s="51">
        <f>VLOOKUP($A13,Costdrivere!$A$3:$I$50,7,FALSE)</f>
        <v>12046481.699999999</v>
      </c>
      <c r="H13" s="51">
        <f>VLOOKUP($A13,Costdrivere!$A$3:$I$50,8,FALSE)</f>
        <v>0</v>
      </c>
      <c r="I13" s="43">
        <f>VLOOKUP($A13,Costdrivere!$A$3:$I$50,9,FALSE)</f>
        <v>2484614.4</v>
      </c>
      <c r="J13" s="39">
        <v>32.134950611967881</v>
      </c>
      <c r="K13" s="39">
        <f>VLOOKUP(A13,Costdrivere!$A$3:$J$50,10,FALSE)</f>
        <v>1.9349012229539039E-2</v>
      </c>
      <c r="L13" s="96">
        <f t="shared" si="8"/>
        <v>80278044.168418676</v>
      </c>
      <c r="M13" s="51">
        <f t="shared" si="25"/>
        <v>83582225.029996812</v>
      </c>
      <c r="N13" s="83">
        <f t="shared" si="9"/>
        <v>88113351.652979434</v>
      </c>
      <c r="O13" s="96">
        <f>L13+'Potentialer og krav'!$F12</f>
        <v>80278044.168418676</v>
      </c>
      <c r="P13" s="51">
        <f t="shared" si="10"/>
        <v>83582225.029996812</v>
      </c>
      <c r="Q13" s="83">
        <f t="shared" si="11"/>
        <v>88113351.652979434</v>
      </c>
      <c r="R13" s="96">
        <f>O13+(0.2*'Potentialer og krav'!$C12)</f>
        <v>93888271.852830619</v>
      </c>
      <c r="S13" s="83">
        <f>P13+(0.2*'Potentialer og krav'!$C12)</f>
        <v>97192452.714408755</v>
      </c>
      <c r="T13" s="43">
        <f>Q13+(0.2*'Potentialer og krav'!$C12)</f>
        <v>101723579.33739138</v>
      </c>
      <c r="U13" s="96">
        <v>56429718</v>
      </c>
      <c r="V13" s="68">
        <f t="shared" si="12"/>
        <v>57727601.513999999</v>
      </c>
      <c r="X13" s="173">
        <f t="shared" si="13"/>
        <v>0.10307901850024608</v>
      </c>
      <c r="Y13" s="174">
        <f t="shared" si="14"/>
        <v>0.24483558616307485</v>
      </c>
      <c r="Z13" s="174">
        <f t="shared" si="15"/>
        <v>3.7059447957632063E-3</v>
      </c>
      <c r="AA13" s="174">
        <f t="shared" si="16"/>
        <v>7.5243985607415984E-4</v>
      </c>
      <c r="AB13" s="174">
        <f t="shared" si="17"/>
        <v>0.46661741770678405</v>
      </c>
      <c r="AC13" s="174">
        <f t="shared" si="18"/>
        <v>0.15005948170245878</v>
      </c>
      <c r="AD13" s="174">
        <f t="shared" si="19"/>
        <v>0</v>
      </c>
      <c r="AE13" s="175">
        <f t="shared" si="20"/>
        <v>3.0950111275598883E-2</v>
      </c>
      <c r="AF13" s="176"/>
      <c r="AG13" s="194">
        <f t="shared" si="21"/>
        <v>0.13773507457160816</v>
      </c>
      <c r="AI13" s="173">
        <f t="shared" si="22"/>
        <v>0.11316733932316829</v>
      </c>
      <c r="AJ13" s="174">
        <f t="shared" si="1"/>
        <v>-4.3326058221978325E-2</v>
      </c>
      <c r="AK13" s="174">
        <f t="shared" si="2"/>
        <v>1.6605863182185703E-2</v>
      </c>
      <c r="AL13" s="174">
        <f t="shared" si="3"/>
        <v>1.4155524047636425E-2</v>
      </c>
      <c r="AM13" s="174">
        <f t="shared" si="4"/>
        <v>-0.46604997088653133</v>
      </c>
      <c r="AN13" s="174">
        <f t="shared" si="5"/>
        <v>0.19195716578282965</v>
      </c>
      <c r="AO13" s="174">
        <f t="shared" si="6"/>
        <v>0.13378819580148499</v>
      </c>
      <c r="AP13" s="175">
        <f t="shared" si="7"/>
        <v>3.9701940971204552E-2</v>
      </c>
      <c r="AQ13" s="172"/>
      <c r="AR13" s="196">
        <f t="shared" si="23"/>
        <v>0.13773507457160816</v>
      </c>
      <c r="AS13" s="197">
        <f t="shared" si="26"/>
        <v>0.16947514347655851</v>
      </c>
      <c r="AT13" s="198">
        <f t="shared" si="24"/>
        <v>0</v>
      </c>
    </row>
    <row r="14" spans="1:51" ht="15" x14ac:dyDescent="0.25">
      <c r="A14" s="33" t="s">
        <v>48</v>
      </c>
      <c r="B14" s="121">
        <f>VLOOKUP($A14,Costdrivere!$A$3:$I$50,2,FALSE)</f>
        <v>7536919.9999999991</v>
      </c>
      <c r="C14" s="51">
        <f>VLOOKUP($A14,Costdrivere!$A$3:$I$50,3,FALSE)</f>
        <v>3277188</v>
      </c>
      <c r="D14" s="51">
        <f>VLOOKUP($A14,Costdrivere!$A$3:$I$50,4,FALSE)</f>
        <v>0</v>
      </c>
      <c r="E14" s="51">
        <f>VLOOKUP($A14,Costdrivere!$A$3:$I$50,5,FALSE)</f>
        <v>164434.19999999998</v>
      </c>
      <c r="F14" s="51">
        <f>VLOOKUP($A14,Costdrivere!$A$3:$I$50,6,FALSE)</f>
        <v>0</v>
      </c>
      <c r="G14" s="51">
        <f>VLOOKUP($A14,Costdrivere!$A$3:$I$50,7,FALSE)</f>
        <v>0</v>
      </c>
      <c r="H14" s="51">
        <f>VLOOKUP($A14,Costdrivere!$A$3:$I$50,8,FALSE)</f>
        <v>0</v>
      </c>
      <c r="I14" s="43">
        <f>VLOOKUP($A14,Costdrivere!$A$3:$I$50,9,FALSE)</f>
        <v>1864306.4</v>
      </c>
      <c r="J14" s="39">
        <v>65.905123248920447</v>
      </c>
      <c r="K14" s="39">
        <f>VLOOKUP(A14,Costdrivere!$A$3:$J$50,10,FALSE)</f>
        <v>4.1937500000000003E-2</v>
      </c>
      <c r="L14" s="96">
        <f t="shared" si="8"/>
        <v>12842848.6</v>
      </c>
      <c r="M14" s="51">
        <f t="shared" si="25"/>
        <v>20310733.529803608</v>
      </c>
      <c r="N14" s="83">
        <f t="shared" si="9"/>
        <v>19772734.921600636</v>
      </c>
      <c r="O14" s="96">
        <f>L14+'Potentialer og krav'!$F13</f>
        <v>13601628.6</v>
      </c>
      <c r="P14" s="51">
        <f t="shared" si="10"/>
        <v>21510730.420504663</v>
      </c>
      <c r="Q14" s="83">
        <f t="shared" si="11"/>
        <v>20940945.828004386</v>
      </c>
      <c r="R14" s="96">
        <f>O14+(0.2*'Potentialer og krav'!$C13)</f>
        <v>18445518.383661654</v>
      </c>
      <c r="S14" s="83">
        <f>P14+(0.2*'Potentialer og krav'!$C13)</f>
        <v>26354620.204166315</v>
      </c>
      <c r="T14" s="43">
        <f>Q14+(0.2*'Potentialer og krav'!$C13)</f>
        <v>25784835.611666039</v>
      </c>
      <c r="U14" s="96">
        <v>21535374</v>
      </c>
      <c r="V14" s="68">
        <f t="shared" si="12"/>
        <v>22030687.601999998</v>
      </c>
      <c r="X14" s="173">
        <f t="shared" si="13"/>
        <v>0.58685734253691968</v>
      </c>
      <c r="Y14" s="174">
        <f t="shared" si="14"/>
        <v>0.25517609854872852</v>
      </c>
      <c r="Z14" s="174">
        <f t="shared" si="15"/>
        <v>0</v>
      </c>
      <c r="AA14" s="174">
        <f t="shared" si="16"/>
        <v>1.2803561353203213E-2</v>
      </c>
      <c r="AB14" s="174">
        <f t="shared" si="17"/>
        <v>0</v>
      </c>
      <c r="AC14" s="174">
        <f t="shared" si="18"/>
        <v>0</v>
      </c>
      <c r="AD14" s="174">
        <f t="shared" si="19"/>
        <v>0</v>
      </c>
      <c r="AE14" s="175">
        <f t="shared" si="20"/>
        <v>0.14516299756114853</v>
      </c>
      <c r="AF14" s="176"/>
      <c r="AG14" s="194">
        <f t="shared" si="21"/>
        <v>0.73202034009806827</v>
      </c>
      <c r="AI14" s="173">
        <f t="shared" si="22"/>
        <v>-0.37061098471350529</v>
      </c>
      <c r="AJ14" s="174">
        <f t="shared" si="1"/>
        <v>-5.3666570607631997E-2</v>
      </c>
      <c r="AK14" s="174">
        <f t="shared" si="2"/>
        <v>2.0311807977948907E-2</v>
      </c>
      <c r="AL14" s="174">
        <f t="shared" si="3"/>
        <v>2.1044025505073723E-3</v>
      </c>
      <c r="AM14" s="174">
        <f t="shared" si="4"/>
        <v>5.6744682025271079E-4</v>
      </c>
      <c r="AN14" s="174">
        <f t="shared" si="5"/>
        <v>0.34201664748528843</v>
      </c>
      <c r="AO14" s="174">
        <f t="shared" si="6"/>
        <v>0.13378819580148499</v>
      </c>
      <c r="AP14" s="175">
        <f t="shared" si="7"/>
        <v>-7.4510945314345101E-2</v>
      </c>
      <c r="AQ14" s="172"/>
      <c r="AR14" s="196">
        <f t="shared" si="23"/>
        <v>0.73202034009806827</v>
      </c>
      <c r="AS14" s="197">
        <f t="shared" si="26"/>
        <v>-0.4248101220499016</v>
      </c>
      <c r="AT14" s="198">
        <f t="shared" si="24"/>
        <v>-8.2654932828017599E-2</v>
      </c>
    </row>
    <row r="15" spans="1:51" ht="15" x14ac:dyDescent="0.25">
      <c r="A15" s="33" t="s">
        <v>49</v>
      </c>
      <c r="B15" s="121">
        <f>VLOOKUP($A15,Costdrivere!$A$3:$I$50,2,FALSE)</f>
        <v>4572705</v>
      </c>
      <c r="C15" s="51">
        <f>VLOOKUP($A15,Costdrivere!$A$3:$I$50,3,FALSE)</f>
        <v>8420960</v>
      </c>
      <c r="D15" s="51">
        <f>VLOOKUP($A15,Costdrivere!$A$3:$I$50,4,FALSE)</f>
        <v>595012</v>
      </c>
      <c r="E15" s="51">
        <f>VLOOKUP($A15,Costdrivere!$A$3:$I$50,5,FALSE)</f>
        <v>430095.11999999994</v>
      </c>
      <c r="F15" s="51">
        <f>VLOOKUP($A15,Costdrivere!$A$3:$I$50,6,FALSE)</f>
        <v>15092702.472306404</v>
      </c>
      <c r="G15" s="51">
        <f>VLOOKUP($A15,Costdrivere!$A$3:$I$50,7,FALSE)</f>
        <v>4758480</v>
      </c>
      <c r="H15" s="51">
        <f>VLOOKUP($A15,Costdrivere!$A$3:$I$50,8,FALSE)</f>
        <v>2540</v>
      </c>
      <c r="I15" s="43">
        <f>VLOOKUP($A15,Costdrivere!$A$3:$I$50,9,FALSE)</f>
        <v>2797728</v>
      </c>
      <c r="J15" s="39">
        <v>34.314140591445032</v>
      </c>
      <c r="K15" s="39">
        <f>VLOOKUP(A15,Costdrivere!$A$3:$J$50,10,FALSE)</f>
        <v>3.0513833992094862E-2</v>
      </c>
      <c r="L15" s="96">
        <f t="shared" si="8"/>
        <v>36670222.592306405</v>
      </c>
      <c r="M15" s="51">
        <f t="shared" si="25"/>
        <v>39458122.08297725</v>
      </c>
      <c r="N15" s="83">
        <f t="shared" si="9"/>
        <v>48260366.782917514</v>
      </c>
      <c r="O15" s="96">
        <f>L15+'Potentialer og krav'!$F14</f>
        <v>37542237.592306405</v>
      </c>
      <c r="P15" s="51">
        <f t="shared" si="10"/>
        <v>40396433.112902835</v>
      </c>
      <c r="Q15" s="83">
        <f t="shared" si="11"/>
        <v>49407994.497319095</v>
      </c>
      <c r="R15" s="96">
        <f>O15+(0.2*'Potentialer og krav'!$C14)</f>
        <v>44267505.792306408</v>
      </c>
      <c r="S15" s="83">
        <f>P15+(0.2*'Potentialer og krav'!$C14)</f>
        <v>47121701.312902838</v>
      </c>
      <c r="T15" s="43">
        <f>Q15+(0.2*'Potentialer og krav'!$C14)</f>
        <v>56133262.697319098</v>
      </c>
      <c r="U15" s="96">
        <v>33576967</v>
      </c>
      <c r="V15" s="68">
        <f t="shared" si="12"/>
        <v>34349237.240999997</v>
      </c>
      <c r="X15" s="173">
        <f t="shared" si="13"/>
        <v>0.12469804317357419</v>
      </c>
      <c r="Y15" s="174">
        <f t="shared" si="14"/>
        <v>0.22964027498886139</v>
      </c>
      <c r="Z15" s="174">
        <f t="shared" si="15"/>
        <v>1.6226026403364034E-2</v>
      </c>
      <c r="AA15" s="174">
        <f t="shared" si="16"/>
        <v>1.1728729459368922E-2</v>
      </c>
      <c r="AB15" s="174">
        <f t="shared" si="17"/>
        <v>0.41157924346695751</v>
      </c>
      <c r="AC15" s="174">
        <f t="shared" si="18"/>
        <v>0.12976414277338891</v>
      </c>
      <c r="AD15" s="174">
        <f t="shared" si="19"/>
        <v>6.9266009869623873E-5</v>
      </c>
      <c r="AE15" s="175">
        <f t="shared" si="20"/>
        <v>7.6294273724615377E-2</v>
      </c>
      <c r="AF15" s="176"/>
      <c r="AG15" s="194">
        <f t="shared" si="21"/>
        <v>0.2172183433015536</v>
      </c>
      <c r="AI15" s="173">
        <f t="shared" si="22"/>
        <v>9.1548314649840173E-2</v>
      </c>
      <c r="AJ15" s="174">
        <f t="shared" si="1"/>
        <v>-2.8130747047764859E-2</v>
      </c>
      <c r="AK15" s="174">
        <f t="shared" si="2"/>
        <v>4.0857815745848729E-3</v>
      </c>
      <c r="AL15" s="174">
        <f t="shared" si="3"/>
        <v>3.1792344443416637E-3</v>
      </c>
      <c r="AM15" s="174">
        <f t="shared" si="4"/>
        <v>-0.41101179664670479</v>
      </c>
      <c r="AN15" s="174">
        <f t="shared" si="5"/>
        <v>0.21225250471189952</v>
      </c>
      <c r="AO15" s="174">
        <f t="shared" si="6"/>
        <v>0.13371892979161537</v>
      </c>
      <c r="AP15" s="175">
        <f t="shared" si="7"/>
        <v>-5.6422214778119456E-3</v>
      </c>
      <c r="AQ15" s="172"/>
      <c r="AR15" s="196">
        <f t="shared" si="23"/>
        <v>0.2172183433015536</v>
      </c>
      <c r="AS15" s="197">
        <f t="shared" si="26"/>
        <v>8.9991874746613076E-2</v>
      </c>
      <c r="AT15" s="198">
        <f t="shared" si="24"/>
        <v>0</v>
      </c>
    </row>
    <row r="16" spans="1:51" ht="15" x14ac:dyDescent="0.25">
      <c r="A16" s="33" t="s">
        <v>50</v>
      </c>
      <c r="B16" s="121">
        <f>VLOOKUP($A16,Costdrivere!$A$3:$I$50,2,FALSE)</f>
        <v>8775663</v>
      </c>
      <c r="C16" s="51">
        <f>VLOOKUP($A16,Costdrivere!$A$3:$I$50,3,FALSE)</f>
        <v>14028444</v>
      </c>
      <c r="D16" s="51">
        <f>VLOOKUP($A16,Costdrivere!$A$3:$I$50,4,FALSE)</f>
        <v>446259</v>
      </c>
      <c r="E16" s="51">
        <f>VLOOKUP($A16,Costdrivere!$A$3:$I$50,5,FALSE)</f>
        <v>167790</v>
      </c>
      <c r="F16" s="51">
        <f>VLOOKUP($A16,Costdrivere!$A$3:$I$50,6,FALSE)</f>
        <v>19696561.957583077</v>
      </c>
      <c r="G16" s="51">
        <f>VLOOKUP($A16,Costdrivere!$A$3:$I$50,7,FALSE)</f>
        <v>3967831.5</v>
      </c>
      <c r="H16" s="51">
        <f>VLOOKUP($A16,Costdrivere!$A$3:$I$50,8,FALSE)</f>
        <v>2540</v>
      </c>
      <c r="I16" s="43">
        <f>VLOOKUP($A16,Costdrivere!$A$3:$I$50,9,FALSE)</f>
        <v>4108408</v>
      </c>
      <c r="J16" s="39">
        <v>38.564890644794559</v>
      </c>
      <c r="K16" s="39">
        <f>VLOOKUP(A16,Costdrivere!$A$3:$J$50,10,FALSE)</f>
        <v>2.2538104705102716E-2</v>
      </c>
      <c r="L16" s="96">
        <f t="shared" si="8"/>
        <v>51193497.457583077</v>
      </c>
      <c r="M16" s="51">
        <f t="shared" si="25"/>
        <v>58567319.258966438</v>
      </c>
      <c r="N16" s="83">
        <f t="shared" si="9"/>
        <v>59384615.482627466</v>
      </c>
      <c r="O16" s="96">
        <f>L16+'Potentialer og krav'!$F15</f>
        <v>51193497.457583077</v>
      </c>
      <c r="P16" s="51">
        <f t="shared" si="10"/>
        <v>58567319.258966438</v>
      </c>
      <c r="Q16" s="83">
        <f t="shared" si="11"/>
        <v>59384615.482627466</v>
      </c>
      <c r="R16" s="96">
        <f>O16+(0.2*'Potentialer og krav'!$C15)</f>
        <v>59825325.31259273</v>
      </c>
      <c r="S16" s="83">
        <f>P16+(0.2*'Potentialer og krav'!$C15)</f>
        <v>67199147.113976091</v>
      </c>
      <c r="T16" s="43">
        <f>Q16+(0.2*'Potentialer og krav'!$C15)</f>
        <v>68016443.337637112</v>
      </c>
      <c r="U16" s="96">
        <v>40815369</v>
      </c>
      <c r="V16" s="68">
        <f t="shared" si="12"/>
        <v>41754122.486999996</v>
      </c>
      <c r="X16" s="173">
        <f t="shared" si="13"/>
        <v>0.17142143896832152</v>
      </c>
      <c r="Y16" s="174">
        <f t="shared" si="14"/>
        <v>0.27402784917407563</v>
      </c>
      <c r="Z16" s="174">
        <f t="shared" si="15"/>
        <v>8.7171031901024671E-3</v>
      </c>
      <c r="AA16" s="174">
        <f t="shared" si="16"/>
        <v>3.2775646973333713E-3</v>
      </c>
      <c r="AB16" s="174">
        <f t="shared" si="17"/>
        <v>0.38474733971639419</v>
      </c>
      <c r="AC16" s="174">
        <f t="shared" si="18"/>
        <v>7.7506552532137299E-2</v>
      </c>
      <c r="AD16" s="174">
        <f t="shared" si="19"/>
        <v>4.9615676328903769E-5</v>
      </c>
      <c r="AE16" s="175">
        <f t="shared" si="20"/>
        <v>8.0252536045306647E-2</v>
      </c>
      <c r="AF16" s="176"/>
      <c r="AG16" s="194">
        <f t="shared" si="21"/>
        <v>0.26039107820373064</v>
      </c>
      <c r="AI16" s="173">
        <f t="shared" si="22"/>
        <v>4.4824918855092849E-2</v>
      </c>
      <c r="AJ16" s="174">
        <f t="shared" si="1"/>
        <v>-7.2518321232979105E-2</v>
      </c>
      <c r="AK16" s="174">
        <f t="shared" si="2"/>
        <v>1.159470478784644E-2</v>
      </c>
      <c r="AL16" s="174">
        <f t="shared" si="3"/>
        <v>1.1630399206377214E-2</v>
      </c>
      <c r="AM16" s="174">
        <f t="shared" si="4"/>
        <v>-0.38417989289614146</v>
      </c>
      <c r="AN16" s="174">
        <f t="shared" si="5"/>
        <v>0.26451009495315114</v>
      </c>
      <c r="AO16" s="174">
        <f t="shared" si="6"/>
        <v>0.13373858012515608</v>
      </c>
      <c r="AP16" s="175">
        <f t="shared" si="7"/>
        <v>-9.6004837985032149E-3</v>
      </c>
      <c r="AQ16" s="172"/>
      <c r="AR16" s="196">
        <f t="shared" si="23"/>
        <v>0.26039107820373064</v>
      </c>
      <c r="AS16" s="197">
        <f t="shared" si="26"/>
        <v>4.6819139844436031E-2</v>
      </c>
      <c r="AT16" s="198">
        <f t="shared" si="24"/>
        <v>0</v>
      </c>
    </row>
    <row r="17" spans="1:46" ht="15" x14ac:dyDescent="0.25">
      <c r="A17" s="33" t="s">
        <v>52</v>
      </c>
      <c r="B17" s="121">
        <f>VLOOKUP($A17,Costdrivere!$A$3:$I$50,2,FALSE)</f>
        <v>3143029</v>
      </c>
      <c r="C17" s="51">
        <f>VLOOKUP($A17,Costdrivere!$A$3:$I$50,3,FALSE)</f>
        <v>8311320</v>
      </c>
      <c r="D17" s="51">
        <f>VLOOKUP($A17,Costdrivere!$A$3:$I$50,4,FALSE)</f>
        <v>283983</v>
      </c>
      <c r="E17" s="51">
        <f>VLOOKUP($A17,Costdrivere!$A$3:$I$50,5,FALSE)</f>
        <v>244598.33999999997</v>
      </c>
      <c r="F17" s="51">
        <f>VLOOKUP($A17,Costdrivere!$A$3:$I$50,6,FALSE)</f>
        <v>8043738.9969542902</v>
      </c>
      <c r="G17" s="51">
        <f>VLOOKUP($A17,Costdrivere!$A$3:$I$50,7,FALSE)</f>
        <v>2866905.5999999996</v>
      </c>
      <c r="H17" s="51">
        <f>VLOOKUP($A17,Costdrivere!$A$3:$I$50,8,FALSE)</f>
        <v>10160</v>
      </c>
      <c r="I17" s="43">
        <f>VLOOKUP($A17,Costdrivere!$A$3:$I$50,9,FALSE)</f>
        <v>1589969.5999999999</v>
      </c>
      <c r="J17" s="39">
        <v>34.633968670727619</v>
      </c>
      <c r="K17" s="39">
        <f>VLOOKUP(A17,Costdrivere!$A$3:$J$50,10,FALSE)</f>
        <v>2.432902033271719E-2</v>
      </c>
      <c r="L17" s="96">
        <f t="shared" si="8"/>
        <v>24493704.536954291</v>
      </c>
      <c r="M17" s="51">
        <f t="shared" si="25"/>
        <v>26481209.419981856</v>
      </c>
      <c r="N17" s="83">
        <f t="shared" si="9"/>
        <v>29271102.183273245</v>
      </c>
      <c r="O17" s="96">
        <f>L17+'Potentialer og krav'!$F16</f>
        <v>24493704.536954291</v>
      </c>
      <c r="P17" s="51">
        <f t="shared" si="10"/>
        <v>26481209.419981856</v>
      </c>
      <c r="Q17" s="83">
        <f t="shared" si="11"/>
        <v>29271102.183273245</v>
      </c>
      <c r="R17" s="96">
        <f>O17+(0.2*'Potentialer og krav'!$C16)</f>
        <v>30796708.65867313</v>
      </c>
      <c r="S17" s="83">
        <f>P17+(0.2*'Potentialer og krav'!$C16)</f>
        <v>32784213.541700695</v>
      </c>
      <c r="T17" s="43">
        <f>Q17+(0.2*'Potentialer og krav'!$C16)</f>
        <v>35574106.30499208</v>
      </c>
      <c r="U17" s="96">
        <v>30864139</v>
      </c>
      <c r="V17" s="68">
        <f t="shared" si="12"/>
        <v>31574014.196999997</v>
      </c>
      <c r="X17" s="173">
        <f t="shared" si="13"/>
        <v>0.128319870734867</v>
      </c>
      <c r="Y17" s="174">
        <f t="shared" si="14"/>
        <v>0.33932474311758332</v>
      </c>
      <c r="Z17" s="174">
        <f t="shared" si="15"/>
        <v>1.1594122055793864E-2</v>
      </c>
      <c r="AA17" s="174">
        <f t="shared" si="16"/>
        <v>9.9861717377609446E-3</v>
      </c>
      <c r="AB17" s="174">
        <f t="shared" si="17"/>
        <v>0.3284002623947101</v>
      </c>
      <c r="AC17" s="174">
        <f t="shared" si="18"/>
        <v>0.11704663113228235</v>
      </c>
      <c r="AD17" s="174">
        <f t="shared" si="19"/>
        <v>4.1480046371390424E-4</v>
      </c>
      <c r="AE17" s="175">
        <f t="shared" si="20"/>
        <v>6.4913398363288466E-2</v>
      </c>
      <c r="AF17" s="176"/>
      <c r="AG17" s="194">
        <f t="shared" si="21"/>
        <v>0.20482739115394932</v>
      </c>
      <c r="AI17" s="173">
        <f t="shared" si="22"/>
        <v>8.7926487088547362E-2</v>
      </c>
      <c r="AJ17" s="174">
        <f t="shared" si="1"/>
        <v>-0.13781521517648679</v>
      </c>
      <c r="AK17" s="174">
        <f t="shared" si="2"/>
        <v>8.7176859221550426E-3</v>
      </c>
      <c r="AL17" s="174">
        <f t="shared" si="3"/>
        <v>4.9217921659496407E-3</v>
      </c>
      <c r="AM17" s="174">
        <f t="shared" si="4"/>
        <v>-0.32783281557445737</v>
      </c>
      <c r="AN17" s="174">
        <f t="shared" si="5"/>
        <v>0.22497001635300606</v>
      </c>
      <c r="AO17" s="174">
        <f t="shared" si="6"/>
        <v>0.13337339533777109</v>
      </c>
      <c r="AP17" s="175">
        <f t="shared" si="7"/>
        <v>5.7386538835149659E-3</v>
      </c>
      <c r="AQ17" s="172"/>
      <c r="AR17" s="196">
        <f t="shared" si="23"/>
        <v>0.20482739115394932</v>
      </c>
      <c r="AS17" s="197">
        <f t="shared" si="26"/>
        <v>0.10238282689421735</v>
      </c>
      <c r="AT17" s="198">
        <f t="shared" si="24"/>
        <v>0</v>
      </c>
    </row>
    <row r="18" spans="1:46" x14ac:dyDescent="0.3">
      <c r="A18" s="33" t="s">
        <v>53</v>
      </c>
      <c r="B18" s="121">
        <f>VLOOKUP($A18,Costdrivere!$A$3:$I$50,2,FALSE)</f>
        <v>1874202</v>
      </c>
      <c r="C18" s="51">
        <f>VLOOKUP($A18,Costdrivere!$A$3:$I$50,3,FALSE)</f>
        <v>17860194</v>
      </c>
      <c r="D18" s="51">
        <f>VLOOKUP($A18,Costdrivere!$A$3:$I$50,4,FALSE)</f>
        <v>567966</v>
      </c>
      <c r="E18" s="51">
        <f>VLOOKUP($A18,Costdrivere!$A$3:$I$50,5,FALSE)</f>
        <v>1791898.4999999998</v>
      </c>
      <c r="F18" s="51">
        <f>VLOOKUP($A18,Costdrivere!$A$3:$I$50,6,FALSE)</f>
        <v>10388687.228560092</v>
      </c>
      <c r="G18" s="51">
        <f>VLOOKUP($A18,Costdrivere!$A$3:$I$50,7,FALSE)</f>
        <v>3655729</v>
      </c>
      <c r="H18" s="51">
        <f>VLOOKUP($A18,Costdrivere!$A$3:$I$50,8,FALSE)</f>
        <v>152400</v>
      </c>
      <c r="I18" s="43">
        <f>VLOOKUP($A18,Costdrivere!$A$3:$I$50,9,FALSE)</f>
        <v>1067309</v>
      </c>
      <c r="J18" s="39">
        <v>31.415725611573301</v>
      </c>
      <c r="K18" s="39">
        <f>VLOOKUP(A18,Costdrivere!$A$3:$J$50,10,FALSE)</f>
        <v>3.2136986301369866E-2</v>
      </c>
      <c r="L18" s="96">
        <f t="shared" ref="L18:L33" si="27">SUM(B18:I18)</f>
        <v>37358385.72856009</v>
      </c>
      <c r="M18" s="51">
        <f t="shared" ref="M18:M33" si="28">(0.527+0.016*J18)*L18</f>
        <v>38466122.004387327</v>
      </c>
      <c r="N18" s="83">
        <f t="shared" ref="N18:N33" si="29">(0.719+19.567*K18)*L18</f>
        <v>50352544.238972038</v>
      </c>
      <c r="O18" s="96">
        <f>L18+'Potentialer og krav'!$F17</f>
        <v>37992783.72856009</v>
      </c>
      <c r="P18" s="51">
        <f t="shared" si="10"/>
        <v>39119330.926331818</v>
      </c>
      <c r="Q18" s="83">
        <f t="shared" si="11"/>
        <v>51207601.349635541</v>
      </c>
      <c r="R18" s="96">
        <f>O18+(0.2*'Potentialer og krav'!$C17)</f>
        <v>45753818.384191066</v>
      </c>
      <c r="S18" s="83">
        <f>P18+(0.2*'Potentialer og krav'!$C17)</f>
        <v>46880365.581962794</v>
      </c>
      <c r="T18" s="43">
        <f>Q18+(0.2*'Potentialer og krav'!$C17)</f>
        <v>58968636.005266517</v>
      </c>
      <c r="U18" s="96">
        <v>35887376</v>
      </c>
      <c r="V18" s="68">
        <f t="shared" si="12"/>
        <v>36712785.647999994</v>
      </c>
      <c r="X18" s="173">
        <f t="shared" si="13"/>
        <v>5.0168174118058649E-2</v>
      </c>
      <c r="Y18" s="174">
        <f t="shared" si="14"/>
        <v>0.47807724160699133</v>
      </c>
      <c r="Z18" s="174">
        <f t="shared" si="15"/>
        <v>1.5203172967021325E-2</v>
      </c>
      <c r="AA18" s="174">
        <f t="shared" si="16"/>
        <v>4.7965094450805254E-2</v>
      </c>
      <c r="AB18" s="174">
        <f t="shared" si="17"/>
        <v>0.27808180214323475</v>
      </c>
      <c r="AC18" s="174">
        <f t="shared" si="18"/>
        <v>9.7855646830190365E-2</v>
      </c>
      <c r="AD18" s="174">
        <f t="shared" si="19"/>
        <v>4.0794053872486198E-3</v>
      </c>
      <c r="AE18" s="175">
        <f t="shared" si="20"/>
        <v>2.8569462496449722E-2</v>
      </c>
      <c r="AF18" s="176"/>
      <c r="AG18" s="194">
        <f t="shared" si="21"/>
        <v>9.3940809581529686E-2</v>
      </c>
      <c r="AI18" s="173">
        <f t="shared" si="22"/>
        <v>0.16607818370535571</v>
      </c>
      <c r="AJ18" s="174">
        <f t="shared" si="1"/>
        <v>-0.27656771366589483</v>
      </c>
      <c r="AK18" s="174">
        <f t="shared" si="2"/>
        <v>5.108635010927582E-3</v>
      </c>
      <c r="AL18" s="174">
        <f t="shared" si="3"/>
        <v>-3.3057130547094665E-2</v>
      </c>
      <c r="AM18" s="174">
        <f t="shared" si="4"/>
        <v>-0.27751435532298202</v>
      </c>
      <c r="AN18" s="174">
        <f t="shared" si="5"/>
        <v>0.24416100065509805</v>
      </c>
      <c r="AO18" s="174">
        <f t="shared" si="6"/>
        <v>0.12970879041423636</v>
      </c>
      <c r="AP18" s="175">
        <f t="shared" si="7"/>
        <v>4.2082589750353713E-2</v>
      </c>
      <c r="AQ18" s="172"/>
      <c r="AR18" s="196">
        <f t="shared" si="23"/>
        <v>9.3940809581529686E-2</v>
      </c>
      <c r="AS18" s="197">
        <f t="shared" si="26"/>
        <v>0.213269408466637</v>
      </c>
      <c r="AT18" s="198">
        <f t="shared" si="24"/>
        <v>0</v>
      </c>
    </row>
    <row r="19" spans="1:46" x14ac:dyDescent="0.3">
      <c r="A19" s="33" t="s">
        <v>105</v>
      </c>
      <c r="B19" s="121">
        <f>VLOOKUP($A19,Costdrivere!$A$3:$I$50,2,FALSE)</f>
        <v>770220</v>
      </c>
      <c r="C19" s="51">
        <f>VLOOKUP($A19,Costdrivere!$A$3:$I$50,3,FALSE)</f>
        <v>2889328</v>
      </c>
      <c r="D19" s="51">
        <f>VLOOKUP($A19,Costdrivere!$A$3:$I$50,4,FALSE)</f>
        <v>108184</v>
      </c>
      <c r="E19" s="51">
        <f>VLOOKUP($A19,Costdrivere!$A$3:$I$50,5,FALSE)</f>
        <v>18753</v>
      </c>
      <c r="F19" s="51">
        <f>VLOOKUP($A19,Costdrivere!$A$3:$I$50,6,FALSE)</f>
        <v>3301787.3262156001</v>
      </c>
      <c r="G19" s="51">
        <f>VLOOKUP($A19,Costdrivere!$A$3:$I$50,7,FALSE)</f>
        <v>1110312</v>
      </c>
      <c r="H19" s="51">
        <f>VLOOKUP($A19,Costdrivere!$A$3:$I$50,8,FALSE)</f>
        <v>0</v>
      </c>
      <c r="I19" s="43">
        <f>VLOOKUP($A19,Costdrivere!$A$3:$I$50,9,FALSE)</f>
        <v>554834.4</v>
      </c>
      <c r="J19" s="39">
        <v>42.59667753007065</v>
      </c>
      <c r="K19" s="39">
        <f>VLOOKUP(A19,Costdrivere!$A$3:$J$50,10,FALSE)</f>
        <v>2.5516666666666667E-2</v>
      </c>
      <c r="L19" s="96">
        <f t="shared" si="27"/>
        <v>8753418.726215601</v>
      </c>
      <c r="M19" s="51">
        <f t="shared" si="28"/>
        <v>10578916.544976227</v>
      </c>
      <c r="N19" s="83">
        <f t="shared" si="29"/>
        <v>10664155.377390396</v>
      </c>
      <c r="O19" s="96">
        <f>L19+'Potentialer og krav'!$F18</f>
        <v>8753418.726215601</v>
      </c>
      <c r="P19" s="51">
        <f t="shared" si="10"/>
        <v>10578916.544976227</v>
      </c>
      <c r="Q19" s="83">
        <f t="shared" si="11"/>
        <v>10664155.377390396</v>
      </c>
      <c r="R19" s="96">
        <f>O19+(0.2*'Potentialer og krav'!$C18)</f>
        <v>10454576.726215601</v>
      </c>
      <c r="S19" s="83">
        <f>P19+(0.2*'Potentialer og krav'!$C18)</f>
        <v>12280074.544976227</v>
      </c>
      <c r="T19" s="43">
        <f>Q19+(0.2*'Potentialer og krav'!$C18)</f>
        <v>12365313.377390396</v>
      </c>
      <c r="U19" s="96">
        <v>7109783</v>
      </c>
      <c r="V19" s="68">
        <f t="shared" si="12"/>
        <v>7273308.0089999996</v>
      </c>
      <c r="X19" s="173">
        <f t="shared" si="13"/>
        <v>8.7990763847874576E-2</v>
      </c>
      <c r="Y19" s="174">
        <f t="shared" si="14"/>
        <v>0.33007994823174125</v>
      </c>
      <c r="Z19" s="174">
        <f t="shared" si="15"/>
        <v>1.2359056887796295E-2</v>
      </c>
      <c r="AA19" s="174">
        <f t="shared" si="16"/>
        <v>2.1423629540120899E-3</v>
      </c>
      <c r="AB19" s="174">
        <f t="shared" si="17"/>
        <v>0.37719974669177908</v>
      </c>
      <c r="AC19" s="174">
        <f t="shared" si="18"/>
        <v>0.12684324087852991</v>
      </c>
      <c r="AD19" s="174">
        <f t="shared" si="19"/>
        <v>0</v>
      </c>
      <c r="AE19" s="175">
        <f t="shared" si="20"/>
        <v>6.3384880508266711E-2</v>
      </c>
      <c r="AF19" s="176"/>
      <c r="AG19" s="194">
        <f t="shared" si="21"/>
        <v>0.16373470124393757</v>
      </c>
      <c r="AI19" s="173">
        <f t="shared" si="22"/>
        <v>0.12825559397553979</v>
      </c>
      <c r="AJ19" s="174">
        <f t="shared" si="1"/>
        <v>-0.12857042029064472</v>
      </c>
      <c r="AK19" s="174">
        <f t="shared" si="2"/>
        <v>7.952751090152612E-3</v>
      </c>
      <c r="AL19" s="174">
        <f t="shared" si="3"/>
        <v>1.2765600949698495E-2</v>
      </c>
      <c r="AM19" s="174">
        <f t="shared" si="4"/>
        <v>-0.37663229987152635</v>
      </c>
      <c r="AN19" s="174">
        <f t="shared" si="5"/>
        <v>0.21517340660675852</v>
      </c>
      <c r="AO19" s="174">
        <f t="shared" si="6"/>
        <v>0.13378819580148499</v>
      </c>
      <c r="AP19" s="175">
        <f t="shared" si="7"/>
        <v>7.2671717385367207E-3</v>
      </c>
      <c r="AQ19" s="172"/>
      <c r="AR19" s="196">
        <f t="shared" si="23"/>
        <v>0.16373470124393757</v>
      </c>
      <c r="AS19" s="197">
        <f t="shared" si="26"/>
        <v>0.1434755168042291</v>
      </c>
      <c r="AT19" s="198">
        <f t="shared" si="24"/>
        <v>0</v>
      </c>
    </row>
    <row r="20" spans="1:46" x14ac:dyDescent="0.3">
      <c r="A20" s="33" t="s">
        <v>106</v>
      </c>
      <c r="B20" s="121">
        <f>VLOOKUP($A20,Costdrivere!$A$3:$I$50,2,FALSE)</f>
        <v>4210950</v>
      </c>
      <c r="C20" s="51">
        <f>VLOOKUP($A20,Costdrivere!$A$3:$I$50,3,FALSE)</f>
        <v>730994</v>
      </c>
      <c r="D20" s="51">
        <f>VLOOKUP($A20,Costdrivere!$A$3:$I$50,4,FALSE)</f>
        <v>175799</v>
      </c>
      <c r="E20" s="51">
        <f>VLOOKUP($A20,Costdrivere!$A$3:$I$50,5,FALSE)</f>
        <v>249691.25999999998</v>
      </c>
      <c r="F20" s="51">
        <f>VLOOKUP($A20,Costdrivere!$A$3:$I$50,6,FALSE)</f>
        <v>0</v>
      </c>
      <c r="G20" s="51">
        <f>VLOOKUP($A20,Costdrivere!$A$3:$I$50,7,FALSE)</f>
        <v>0</v>
      </c>
      <c r="H20" s="51">
        <f>VLOOKUP($A20,Costdrivere!$A$3:$I$50,8,FALSE)</f>
        <v>0</v>
      </c>
      <c r="I20" s="43">
        <f>VLOOKUP($A20,Costdrivere!$A$3:$I$50,9,FALSE)</f>
        <v>724920.79999999993</v>
      </c>
      <c r="J20" s="39">
        <v>50.403726645219706</v>
      </c>
      <c r="K20" s="39">
        <f>VLOOKUP(A20,Costdrivere!$A$3:$J$50,10,FALSE)</f>
        <v>2.8576190476190477E-2</v>
      </c>
      <c r="L20" s="96">
        <f t="shared" si="27"/>
        <v>6092355.0599999996</v>
      </c>
      <c r="M20" s="51">
        <f t="shared" si="28"/>
        <v>8123909.5017377762</v>
      </c>
      <c r="N20" s="83">
        <f t="shared" si="29"/>
        <v>7786945.5636903765</v>
      </c>
      <c r="O20" s="96">
        <f>L20+'Potentialer og krav'!$F19</f>
        <v>6092355.0599999996</v>
      </c>
      <c r="P20" s="51">
        <f t="shared" si="10"/>
        <v>8123909.5017377762</v>
      </c>
      <c r="Q20" s="83">
        <f t="shared" si="11"/>
        <v>7786945.5636903765</v>
      </c>
      <c r="R20" s="96">
        <f>O20+(0.2*'Potentialer og krav'!$C19)</f>
        <v>8573066.8599999994</v>
      </c>
      <c r="S20" s="83">
        <f>P20+(0.2*'Potentialer og krav'!$C19)</f>
        <v>10604621.301737776</v>
      </c>
      <c r="T20" s="43">
        <f>Q20+(0.2*'Potentialer og krav'!$C19)</f>
        <v>10267657.363690376</v>
      </c>
      <c r="U20" s="96">
        <v>7509671</v>
      </c>
      <c r="V20" s="68">
        <f t="shared" si="12"/>
        <v>7682393.4329999993</v>
      </c>
      <c r="X20" s="173">
        <f t="shared" si="13"/>
        <v>0.6911859139083073</v>
      </c>
      <c r="Y20" s="174">
        <f t="shared" si="14"/>
        <v>0.11998545600196849</v>
      </c>
      <c r="Z20" s="174">
        <f t="shared" si="15"/>
        <v>2.8855672111795797E-2</v>
      </c>
      <c r="AA20" s="174">
        <f t="shared" si="16"/>
        <v>4.0984357861769141E-2</v>
      </c>
      <c r="AB20" s="174">
        <f t="shared" si="17"/>
        <v>0</v>
      </c>
      <c r="AC20" s="174">
        <f t="shared" si="18"/>
        <v>0</v>
      </c>
      <c r="AD20" s="174">
        <f t="shared" si="19"/>
        <v>0</v>
      </c>
      <c r="AE20" s="175">
        <f t="shared" si="20"/>
        <v>0.11898860011615935</v>
      </c>
      <c r="AF20" s="176"/>
      <c r="AG20" s="194">
        <f t="shared" si="21"/>
        <v>0.83903018613626246</v>
      </c>
      <c r="AI20" s="173">
        <f t="shared" si="22"/>
        <v>-0.47493955608489291</v>
      </c>
      <c r="AJ20" s="174">
        <f t="shared" si="1"/>
        <v>8.1524071939128043E-2</v>
      </c>
      <c r="AK20" s="174">
        <f t="shared" si="2"/>
        <v>-8.5438641338468901E-3</v>
      </c>
      <c r="AL20" s="174">
        <f t="shared" si="3"/>
        <v>-2.6076393958058556E-2</v>
      </c>
      <c r="AM20" s="174">
        <f t="shared" si="4"/>
        <v>5.6744682025271079E-4</v>
      </c>
      <c r="AN20" s="174">
        <f t="shared" si="5"/>
        <v>0.34201664748528843</v>
      </c>
      <c r="AO20" s="174">
        <f t="shared" si="6"/>
        <v>0.13378819580148499</v>
      </c>
      <c r="AP20" s="175">
        <f t="shared" si="7"/>
        <v>-4.8336547869355914E-2</v>
      </c>
      <c r="AQ20" s="172"/>
      <c r="AR20" s="196">
        <f t="shared" si="23"/>
        <v>0.83903018613626246</v>
      </c>
      <c r="AS20" s="197">
        <f t="shared" si="26"/>
        <v>-0.53181996808809573</v>
      </c>
      <c r="AT20" s="198">
        <f>IF(AS20&lt;$AG$55,(AS20-$AG$55)*0.3819,0)</f>
        <v>-0.12352199303000395</v>
      </c>
    </row>
    <row r="21" spans="1:46" x14ac:dyDescent="0.3">
      <c r="A21" s="33" t="s">
        <v>108</v>
      </c>
      <c r="B21" s="121">
        <f>VLOOKUP($A21,Costdrivere!$A$3:$I$50,2,FALSE)</f>
        <v>6908925</v>
      </c>
      <c r="C21" s="51">
        <f>VLOOKUP($A21,Costdrivere!$A$3:$I$50,3,FALSE)</f>
        <v>4067266</v>
      </c>
      <c r="D21" s="51">
        <f>VLOOKUP($A21,Costdrivere!$A$3:$I$50,4,FALSE)</f>
        <v>256937</v>
      </c>
      <c r="E21" s="51">
        <f>VLOOKUP($A21,Costdrivere!$A$3:$I$50,5,FALSE)</f>
        <v>360689.27999999997</v>
      </c>
      <c r="F21" s="51">
        <f>VLOOKUP($A21,Costdrivere!$A$3:$I$50,6,FALSE)</f>
        <v>0</v>
      </c>
      <c r="G21" s="51">
        <f>VLOOKUP($A21,Costdrivere!$A$3:$I$50,7,FALSE)</f>
        <v>0</v>
      </c>
      <c r="H21" s="51">
        <f>VLOOKUP($A21,Costdrivere!$A$3:$I$50,8,FALSE)</f>
        <v>0</v>
      </c>
      <c r="I21" s="43">
        <f>VLOOKUP($A21,Costdrivere!$A$3:$I$50,9,FALSE)</f>
        <v>1185772.8</v>
      </c>
      <c r="J21" s="39">
        <v>54.203055502867514</v>
      </c>
      <c r="K21" s="39">
        <f>VLOOKUP(A21,Costdrivere!$A$3:$J$50,10,FALSE)</f>
        <v>3.0867924528301886E-2</v>
      </c>
      <c r="L21" s="96">
        <f t="shared" si="27"/>
        <v>12779590.08</v>
      </c>
      <c r="M21" s="51">
        <f t="shared" si="28"/>
        <v>17817929.25872216</v>
      </c>
      <c r="N21" s="83">
        <f t="shared" si="29"/>
        <v>16907304.119595639</v>
      </c>
      <c r="O21" s="96">
        <f>L21+'Potentialer og krav'!$F20</f>
        <v>13456823.08</v>
      </c>
      <c r="P21" s="51">
        <f t="shared" si="10"/>
        <v>18762160.615920134</v>
      </c>
      <c r="Q21" s="83">
        <f t="shared" si="11"/>
        <v>17803278.420738958</v>
      </c>
      <c r="R21" s="96">
        <f>O21+(0.2*'Potentialer og krav'!$C20)</f>
        <v>17494847.280000001</v>
      </c>
      <c r="S21" s="83">
        <f>P21+(0.2*'Potentialer og krav'!$C20)</f>
        <v>22800184.815920137</v>
      </c>
      <c r="T21" s="43">
        <f>Q21+(0.2*'Potentialer og krav'!$C20)</f>
        <v>21841302.620738961</v>
      </c>
      <c r="U21" s="96">
        <v>18066383</v>
      </c>
      <c r="V21" s="68">
        <f t="shared" si="12"/>
        <v>18481909.808999997</v>
      </c>
      <c r="X21" s="173">
        <f t="shared" si="13"/>
        <v>0.54062180060160425</v>
      </c>
      <c r="Y21" s="174">
        <f t="shared" si="14"/>
        <v>0.31826263397644128</v>
      </c>
      <c r="Z21" s="174">
        <f t="shared" si="15"/>
        <v>2.0105261467040732E-2</v>
      </c>
      <c r="AA21" s="174">
        <f t="shared" si="16"/>
        <v>2.8223853640225678E-2</v>
      </c>
      <c r="AB21" s="174">
        <f t="shared" si="17"/>
        <v>0</v>
      </c>
      <c r="AC21" s="174">
        <f t="shared" si="18"/>
        <v>0</v>
      </c>
      <c r="AD21" s="174">
        <f t="shared" si="19"/>
        <v>0</v>
      </c>
      <c r="AE21" s="175">
        <f t="shared" si="20"/>
        <v>9.2786450314688032E-2</v>
      </c>
      <c r="AF21" s="176"/>
      <c r="AG21" s="194">
        <f t="shared" si="21"/>
        <v>0.653513512383333</v>
      </c>
      <c r="AI21" s="173">
        <f t="shared" si="22"/>
        <v>-0.32437544277818986</v>
      </c>
      <c r="AJ21" s="174">
        <f t="shared" si="1"/>
        <v>-0.11675310603534475</v>
      </c>
      <c r="AK21" s="174">
        <f t="shared" si="2"/>
        <v>2.065465109081753E-4</v>
      </c>
      <c r="AL21" s="174">
        <f t="shared" si="3"/>
        <v>-1.3315889736515093E-2</v>
      </c>
      <c r="AM21" s="174">
        <f t="shared" si="4"/>
        <v>5.6744682025271079E-4</v>
      </c>
      <c r="AN21" s="174">
        <f t="shared" si="5"/>
        <v>0.34201664748528843</v>
      </c>
      <c r="AO21" s="174">
        <f t="shared" si="6"/>
        <v>0.13378819580148499</v>
      </c>
      <c r="AP21" s="175">
        <f t="shared" si="7"/>
        <v>-2.21343980678846E-2</v>
      </c>
      <c r="AQ21" s="172"/>
      <c r="AR21" s="196">
        <f t="shared" si="23"/>
        <v>0.653513512383333</v>
      </c>
      <c r="AS21" s="197">
        <f t="shared" si="26"/>
        <v>-0.34630329433516632</v>
      </c>
      <c r="AT21" s="198">
        <f t="shared" si="24"/>
        <v>-5.2673175323760195E-2</v>
      </c>
    </row>
    <row r="22" spans="1:46" x14ac:dyDescent="0.3">
      <c r="A22" s="33" t="s">
        <v>109</v>
      </c>
      <c r="B22" s="121">
        <f>VLOOKUP($A22,Costdrivere!$A$3:$I$50,2,FALSE)</f>
        <v>51452334.118999995</v>
      </c>
      <c r="C22" s="51">
        <f>VLOOKUP($A22,Costdrivere!$A$3:$I$50,3,FALSE)</f>
        <v>25281959</v>
      </c>
      <c r="D22" s="51">
        <f>VLOOKUP($A22,Costdrivere!$A$3:$I$50,4,FALSE)</f>
        <v>0</v>
      </c>
      <c r="E22" s="51">
        <f>VLOOKUP($A22,Costdrivere!$A$3:$I$50,5,FALSE)</f>
        <v>2614938.0599999996</v>
      </c>
      <c r="F22" s="51">
        <f>VLOOKUP($A22,Costdrivere!$A$3:$I$50,6,FALSE)</f>
        <v>0</v>
      </c>
      <c r="G22" s="51">
        <f>VLOOKUP($A22,Costdrivere!$A$3:$I$50,7,FALSE)</f>
        <v>0</v>
      </c>
      <c r="H22" s="51">
        <f>VLOOKUP($A22,Costdrivere!$A$3:$I$50,8,FALSE)</f>
        <v>0</v>
      </c>
      <c r="I22" s="43">
        <f>VLOOKUP($A22,Costdrivere!$A$3:$I$50,9,FALSE)</f>
        <v>4237664</v>
      </c>
      <c r="J22" s="39">
        <v>66.186355115949553</v>
      </c>
      <c r="K22" s="39">
        <f>VLOOKUP(A22,Costdrivere!$A$3:$J$50,10,FALSE)</f>
        <v>3.2792034190463011E-2</v>
      </c>
      <c r="L22" s="96">
        <f t="shared" si="27"/>
        <v>83586895.17899999</v>
      </c>
      <c r="M22" s="51">
        <f t="shared" si="28"/>
        <v>132567284.59704414</v>
      </c>
      <c r="N22" s="83">
        <f t="shared" si="29"/>
        <v>113731817.91284426</v>
      </c>
      <c r="O22" s="96">
        <f>L22+'Potentialer og krav'!$F21</f>
        <v>96889643.17899999</v>
      </c>
      <c r="P22" s="51">
        <f t="shared" si="10"/>
        <v>153665199.24337995</v>
      </c>
      <c r="Q22" s="83">
        <f t="shared" si="11"/>
        <v>131832092.00529025</v>
      </c>
      <c r="R22" s="96">
        <f>O22+(0.2*'Potentialer og krav'!$C21)</f>
        <v>122386835.97899999</v>
      </c>
      <c r="S22" s="83">
        <f>P22+(0.2*'Potentialer og krav'!$C21)</f>
        <v>179162392.04337996</v>
      </c>
      <c r="T22" s="43">
        <f>Q22+(0.2*'Potentialer og krav'!$C21)</f>
        <v>157329284.80529025</v>
      </c>
      <c r="U22" s="96">
        <v>84343395</v>
      </c>
      <c r="V22" s="68">
        <f t="shared" si="12"/>
        <v>86283293.084999993</v>
      </c>
      <c r="X22" s="173">
        <f t="shared" si="13"/>
        <v>0.6155550341810837</v>
      </c>
      <c r="Y22" s="174">
        <f t="shared" si="14"/>
        <v>0.3024631905020409</v>
      </c>
      <c r="Z22" s="174">
        <f t="shared" si="15"/>
        <v>0</v>
      </c>
      <c r="AA22" s="174">
        <f t="shared" si="16"/>
        <v>3.128406736965348E-2</v>
      </c>
      <c r="AB22" s="174">
        <f t="shared" si="17"/>
        <v>0</v>
      </c>
      <c r="AC22" s="174">
        <f t="shared" si="18"/>
        <v>0</v>
      </c>
      <c r="AD22" s="174">
        <f t="shared" si="19"/>
        <v>0</v>
      </c>
      <c r="AE22" s="175">
        <f t="shared" si="20"/>
        <v>5.0697707947221997E-2</v>
      </c>
      <c r="AF22" s="176"/>
      <c r="AG22" s="194">
        <f t="shared" si="21"/>
        <v>0.66625274212830565</v>
      </c>
      <c r="AI22" s="173">
        <f t="shared" si="22"/>
        <v>-0.39930867635766931</v>
      </c>
      <c r="AJ22" s="174">
        <f t="shared" si="1"/>
        <v>-0.10095366256094437</v>
      </c>
      <c r="AK22" s="174">
        <f t="shared" si="2"/>
        <v>2.0311807977948907E-2</v>
      </c>
      <c r="AL22" s="174">
        <f t="shared" si="3"/>
        <v>-1.6376103465942895E-2</v>
      </c>
      <c r="AM22" s="174">
        <f t="shared" si="4"/>
        <v>5.6744682025271079E-4</v>
      </c>
      <c r="AN22" s="174">
        <f t="shared" si="5"/>
        <v>0.34201664748528843</v>
      </c>
      <c r="AO22" s="174">
        <f t="shared" si="6"/>
        <v>0.13378819580148499</v>
      </c>
      <c r="AP22" s="175">
        <f t="shared" si="7"/>
        <v>1.9954344299581435E-2</v>
      </c>
      <c r="AQ22" s="172"/>
      <c r="AR22" s="196">
        <f t="shared" si="23"/>
        <v>0.66625274212830565</v>
      </c>
      <c r="AS22" s="197">
        <f t="shared" si="26"/>
        <v>-0.35904252408013898</v>
      </c>
      <c r="AT22" s="198">
        <f t="shared" si="24"/>
        <v>-5.7538287163365252E-2</v>
      </c>
    </row>
    <row r="23" spans="1:46" ht="15" x14ac:dyDescent="0.25">
      <c r="A23" s="33" t="s">
        <v>54</v>
      </c>
      <c r="B23" s="121">
        <f>VLOOKUP($A23,Costdrivere!$A$3:$I$50,2,FALSE)</f>
        <v>7757429.9999999991</v>
      </c>
      <c r="C23" s="51">
        <f>VLOOKUP($A23,Costdrivere!$A$3:$I$50,3,FALSE)</f>
        <v>2350141</v>
      </c>
      <c r="D23" s="51">
        <f>VLOOKUP($A23,Costdrivere!$A$3:$I$50,4,FALSE)</f>
        <v>716719</v>
      </c>
      <c r="E23" s="51">
        <f>VLOOKUP($A23,Costdrivere!$A$3:$I$50,5,FALSE)</f>
        <v>165816</v>
      </c>
      <c r="F23" s="51">
        <f>VLOOKUP($A23,Costdrivere!$A$3:$I$50,6,FALSE)</f>
        <v>1666509.9948419062</v>
      </c>
      <c r="G23" s="51">
        <f>VLOOKUP($A23,Costdrivere!$A$3:$I$50,7,FALSE)</f>
        <v>761356.80000000005</v>
      </c>
      <c r="H23" s="51">
        <f>VLOOKUP($A23,Costdrivere!$A$3:$I$50,8,FALSE)</f>
        <v>0</v>
      </c>
      <c r="I23" s="43">
        <f>VLOOKUP($A23,Costdrivere!$A$3:$I$50,9,FALSE)</f>
        <v>1315874.3999999999</v>
      </c>
      <c r="J23" s="39">
        <v>36.974704186219682</v>
      </c>
      <c r="K23" s="39">
        <f>VLOOKUP(A23,Costdrivere!$A$3:$J$50,10,FALSE)</f>
        <v>1.9627027027027028E-2</v>
      </c>
      <c r="L23" s="96">
        <f t="shared" si="27"/>
        <v>14733847.194841908</v>
      </c>
      <c r="M23" s="51">
        <f t="shared" si="28"/>
        <v>16481211.736549562</v>
      </c>
      <c r="N23" s="83">
        <f t="shared" si="29"/>
        <v>16252052.834989728</v>
      </c>
      <c r="O23" s="96">
        <f>L23+'Potentialer og krav'!$F22</f>
        <v>14733847.194841908</v>
      </c>
      <c r="P23" s="51">
        <f t="shared" si="10"/>
        <v>16481211.736549562</v>
      </c>
      <c r="Q23" s="83">
        <f t="shared" si="11"/>
        <v>16252052.834989728</v>
      </c>
      <c r="R23" s="96">
        <f>O23+(0.2*'Potentialer og krav'!$C22)</f>
        <v>17021682.737563413</v>
      </c>
      <c r="S23" s="83">
        <f>P23+(0.2*'Potentialer og krav'!$C22)</f>
        <v>18769047.279271066</v>
      </c>
      <c r="T23" s="43">
        <f>Q23+(0.2*'Potentialer og krav'!$C22)</f>
        <v>18539888.377711233</v>
      </c>
      <c r="U23" s="96">
        <v>10464688</v>
      </c>
      <c r="V23" s="68">
        <f t="shared" si="12"/>
        <v>10705375.823999999</v>
      </c>
      <c r="X23" s="173">
        <f t="shared" si="13"/>
        <v>0.52650403505716792</v>
      </c>
      <c r="Y23" s="174">
        <f t="shared" si="14"/>
        <v>0.15950626940279033</v>
      </c>
      <c r="Z23" s="174">
        <f t="shared" si="15"/>
        <v>4.8644389379232343E-2</v>
      </c>
      <c r="AA23" s="174">
        <f t="shared" si="16"/>
        <v>1.1254087123833455E-2</v>
      </c>
      <c r="AB23" s="174">
        <f t="shared" si="17"/>
        <v>0.1131075932038528</v>
      </c>
      <c r="AC23" s="174">
        <f t="shared" si="18"/>
        <v>5.1673998646228618E-2</v>
      </c>
      <c r="AD23" s="174">
        <f t="shared" si="19"/>
        <v>0</v>
      </c>
      <c r="AE23" s="175">
        <f t="shared" si="20"/>
        <v>8.930962718689435E-2</v>
      </c>
      <c r="AF23" s="176"/>
      <c r="AG23" s="194">
        <f t="shared" si="21"/>
        <v>0.66445805162329463</v>
      </c>
      <c r="AI23" s="173">
        <f t="shared" si="22"/>
        <v>-0.31025767723375353</v>
      </c>
      <c r="AJ23" s="174">
        <f t="shared" si="1"/>
        <v>4.2003258538306193E-2</v>
      </c>
      <c r="AK23" s="174">
        <f t="shared" si="2"/>
        <v>-2.8332581401283436E-2</v>
      </c>
      <c r="AL23" s="174">
        <f t="shared" si="3"/>
        <v>3.6538767798771302E-3</v>
      </c>
      <c r="AM23" s="174">
        <f t="shared" si="4"/>
        <v>-0.11254014638360009</v>
      </c>
      <c r="AN23" s="174">
        <f t="shared" si="5"/>
        <v>0.2903426488390598</v>
      </c>
      <c r="AO23" s="174">
        <f t="shared" si="6"/>
        <v>0.13378819580148499</v>
      </c>
      <c r="AP23" s="175">
        <f t="shared" si="7"/>
        <v>-1.8657574940090918E-2</v>
      </c>
      <c r="AQ23" s="172"/>
      <c r="AR23" s="196">
        <f t="shared" si="23"/>
        <v>0.66445805162329463</v>
      </c>
      <c r="AS23" s="197">
        <f t="shared" si="26"/>
        <v>-0.35724783357512796</v>
      </c>
      <c r="AT23" s="198">
        <f t="shared" si="24"/>
        <v>-5.6852894859501547E-2</v>
      </c>
    </row>
    <row r="24" spans="1:46" x14ac:dyDescent="0.3">
      <c r="A24" s="33" t="s">
        <v>107</v>
      </c>
      <c r="B24" s="121">
        <f>VLOOKUP($A24,Costdrivere!$A$3:$I$50,2,FALSE)</f>
        <v>0</v>
      </c>
      <c r="C24" s="51">
        <f>VLOOKUP($A24,Costdrivere!$A$3:$I$50,3,FALSE)</f>
        <v>0</v>
      </c>
      <c r="D24" s="51">
        <f>VLOOKUP($A24,Costdrivere!$A$3:$I$50,4,FALSE)</f>
        <v>0</v>
      </c>
      <c r="E24" s="51">
        <f>VLOOKUP($A24,Costdrivere!$A$3:$I$50,5,FALSE)</f>
        <v>0</v>
      </c>
      <c r="F24" s="51">
        <f>VLOOKUP($A24,Costdrivere!$A$3:$I$50,6,FALSE)</f>
        <v>4262116.1085512033</v>
      </c>
      <c r="G24" s="51">
        <f>VLOOKUP($A24,Costdrivere!$A$3:$I$50,7,FALSE)</f>
        <v>4543548.8999999994</v>
      </c>
      <c r="H24" s="51">
        <f>VLOOKUP($A24,Costdrivere!$A$3:$I$50,8,FALSE)</f>
        <v>0</v>
      </c>
      <c r="I24" s="43">
        <f>VLOOKUP($A24,Costdrivere!$A$3:$I$50,9,FALSE)</f>
        <v>241.6</v>
      </c>
      <c r="J24" s="39">
        <v>0</v>
      </c>
      <c r="K24" s="39">
        <f>VLOOKUP(A24,Costdrivere!$A$3:$J$50,10,FALSE)</f>
        <v>0</v>
      </c>
      <c r="L24" s="96">
        <f t="shared" si="27"/>
        <v>8805906.6085512023</v>
      </c>
      <c r="M24" s="51">
        <f t="shared" si="28"/>
        <v>4640712.7827064842</v>
      </c>
      <c r="N24" s="83">
        <f t="shared" si="29"/>
        <v>6331446.8515483141</v>
      </c>
      <c r="O24" s="96">
        <f>L24+'Potentialer og krav'!$F23</f>
        <v>8805906.6085512023</v>
      </c>
      <c r="P24" s="51">
        <f t="shared" si="10"/>
        <v>4640712.7827064842</v>
      </c>
      <c r="Q24" s="83">
        <f t="shared" si="11"/>
        <v>6331446.8515483141</v>
      </c>
      <c r="R24" s="96">
        <f>O24+(0.2*'Potentialer og krav'!$C23)</f>
        <v>10095103.808551203</v>
      </c>
      <c r="S24" s="83">
        <f>P24+(0.2*'Potentialer og krav'!$C23)</f>
        <v>5929909.9827064844</v>
      </c>
      <c r="T24" s="43">
        <f>Q24+(0.2*'Potentialer og krav'!$C23)</f>
        <v>7620644.0515483143</v>
      </c>
      <c r="U24" s="96">
        <v>4605023</v>
      </c>
      <c r="V24" s="68">
        <f t="shared" si="12"/>
        <v>4710938.5289999992</v>
      </c>
      <c r="X24" s="173">
        <f t="shared" si="13"/>
        <v>0</v>
      </c>
      <c r="Y24" s="174">
        <f t="shared" si="14"/>
        <v>0</v>
      </c>
      <c r="Z24" s="174">
        <f t="shared" si="15"/>
        <v>0</v>
      </c>
      <c r="AA24" s="174">
        <f t="shared" si="16"/>
        <v>0</v>
      </c>
      <c r="AB24" s="174">
        <f t="shared" si="17"/>
        <v>0.48400650813311669</v>
      </c>
      <c r="AC24" s="174">
        <f t="shared" si="18"/>
        <v>0.51596605573671073</v>
      </c>
      <c r="AD24" s="174">
        <f t="shared" si="19"/>
        <v>0</v>
      </c>
      <c r="AE24" s="175">
        <f t="shared" si="20"/>
        <v>2.7436130172603477E-5</v>
      </c>
      <c r="AF24" s="176"/>
      <c r="AG24" s="194">
        <f t="shared" si="21"/>
        <v>2.7436130172603477E-5</v>
      </c>
      <c r="AI24" s="173">
        <f t="shared" si="22"/>
        <v>0.21624635782341436</v>
      </c>
      <c r="AJ24" s="174">
        <f t="shared" si="1"/>
        <v>0.20150952794109653</v>
      </c>
      <c r="AK24" s="174">
        <f t="shared" si="2"/>
        <v>2.0311807977948907E-2</v>
      </c>
      <c r="AL24" s="174">
        <f t="shared" si="3"/>
        <v>1.4907963903710585E-2</v>
      </c>
      <c r="AM24" s="174">
        <f t="shared" si="4"/>
        <v>-0.48343906131286396</v>
      </c>
      <c r="AN24" s="174">
        <f t="shared" si="5"/>
        <v>-0.1739494082514223</v>
      </c>
      <c r="AO24" s="174">
        <f t="shared" si="6"/>
        <v>0.13378819580148499</v>
      </c>
      <c r="AP24" s="175">
        <f t="shared" si="7"/>
        <v>7.0624616116630831E-2</v>
      </c>
      <c r="AQ24" s="172"/>
      <c r="AR24" s="196">
        <f t="shared" si="23"/>
        <v>2.7436130172603477E-5</v>
      </c>
      <c r="AS24" s="197">
        <f t="shared" si="26"/>
        <v>0.30718278191799409</v>
      </c>
      <c r="AT24" s="198">
        <f t="shared" si="24"/>
        <v>0</v>
      </c>
    </row>
    <row r="25" spans="1:46" ht="15" x14ac:dyDescent="0.25">
      <c r="A25" s="33" t="s">
        <v>55</v>
      </c>
      <c r="B25" s="121">
        <f>VLOOKUP($A25,Costdrivere!$A$3:$I$50,2,FALSE)</f>
        <v>4362789</v>
      </c>
      <c r="C25" s="51">
        <f>VLOOKUP($A25,Costdrivere!$A$3:$I$50,3,FALSE)</f>
        <v>1740475</v>
      </c>
      <c r="D25" s="51">
        <f>VLOOKUP($A25,Costdrivere!$A$3:$I$50,4,FALSE)</f>
        <v>567966</v>
      </c>
      <c r="E25" s="51">
        <f>VLOOKUP($A25,Costdrivere!$A$3:$I$50,5,FALSE)</f>
        <v>248763.47999999998</v>
      </c>
      <c r="F25" s="51">
        <f>VLOOKUP($A25,Costdrivere!$A$3:$I$50,6,FALSE)</f>
        <v>10574248.057597009</v>
      </c>
      <c r="G25" s="51">
        <f>VLOOKUP($A25,Costdrivere!$A$3:$I$50,7,FALSE)</f>
        <v>3909884.4</v>
      </c>
      <c r="H25" s="51">
        <f>VLOOKUP($A25,Costdrivere!$A$3:$I$50,8,FALSE)</f>
        <v>0</v>
      </c>
      <c r="I25" s="43">
        <f>VLOOKUP($A25,Costdrivere!$A$3:$I$50,9,FALSE)</f>
        <v>1812000</v>
      </c>
      <c r="J25" s="39">
        <v>31.26819189598832</v>
      </c>
      <c r="K25" s="39">
        <f>VLOOKUP(A25,Costdrivere!$A$3:$J$50,10,FALSE)</f>
        <v>1.953125E-2</v>
      </c>
      <c r="L25" s="96">
        <f t="shared" si="27"/>
        <v>23216125.937597007</v>
      </c>
      <c r="M25" s="51">
        <f t="shared" si="28"/>
        <v>23849718.863485061</v>
      </c>
      <c r="N25" s="83">
        <f t="shared" si="29"/>
        <v>25564854.240947884</v>
      </c>
      <c r="O25" s="96">
        <f>L25+'Potentialer og krav'!$F24</f>
        <v>23216125.937597007</v>
      </c>
      <c r="P25" s="51">
        <f t="shared" si="10"/>
        <v>23849718.863485061</v>
      </c>
      <c r="Q25" s="83">
        <f t="shared" si="11"/>
        <v>25564854.240947884</v>
      </c>
      <c r="R25" s="96">
        <f>O25+(0.2*'Potentialer og krav'!$C24)</f>
        <v>28270892.329538554</v>
      </c>
      <c r="S25" s="83">
        <f>P25+(0.2*'Potentialer og krav'!$C24)</f>
        <v>28904485.255426608</v>
      </c>
      <c r="T25" s="43">
        <f>Q25+(0.2*'Potentialer og krav'!$C24)</f>
        <v>30619620.632889431</v>
      </c>
      <c r="U25" s="96">
        <v>22014992</v>
      </c>
      <c r="V25" s="68">
        <f t="shared" si="12"/>
        <v>22521336.816</v>
      </c>
      <c r="X25" s="173">
        <f t="shared" si="13"/>
        <v>0.18792062946793148</v>
      </c>
      <c r="Y25" s="174">
        <f t="shared" si="14"/>
        <v>7.4968364863209749E-2</v>
      </c>
      <c r="Z25" s="174">
        <f t="shared" si="15"/>
        <v>2.4464288379837568E-2</v>
      </c>
      <c r="AA25" s="174">
        <f t="shared" si="16"/>
        <v>1.0715115892662509E-2</v>
      </c>
      <c r="AB25" s="174">
        <f t="shared" si="17"/>
        <v>0.45546996454187483</v>
      </c>
      <c r="AC25" s="174">
        <f t="shared" si="18"/>
        <v>0.16841243928937327</v>
      </c>
      <c r="AD25" s="174">
        <f t="shared" si="19"/>
        <v>0</v>
      </c>
      <c r="AE25" s="175">
        <f t="shared" si="20"/>
        <v>7.8049197565110709E-2</v>
      </c>
      <c r="AF25" s="176"/>
      <c r="AG25" s="194">
        <f>X25+Z25+AE25</f>
        <v>0.29043411541287978</v>
      </c>
      <c r="AI25" s="173">
        <f t="shared" si="22"/>
        <v>2.8325728355482888E-2</v>
      </c>
      <c r="AJ25" s="174">
        <f t="shared" si="1"/>
        <v>0.12654116307788676</v>
      </c>
      <c r="AK25" s="174">
        <f t="shared" si="2"/>
        <v>-4.1524804018886613E-3</v>
      </c>
      <c r="AL25" s="174">
        <f t="shared" si="3"/>
        <v>4.1928480110480764E-3</v>
      </c>
      <c r="AM25" s="174">
        <f t="shared" si="4"/>
        <v>-0.4549025177216221</v>
      </c>
      <c r="AN25" s="174">
        <f t="shared" si="5"/>
        <v>0.17360420819591516</v>
      </c>
      <c r="AO25" s="174">
        <f t="shared" si="6"/>
        <v>0.13378819580148499</v>
      </c>
      <c r="AP25" s="175">
        <f t="shared" si="7"/>
        <v>-7.3971453183072772E-3</v>
      </c>
      <c r="AQ25" s="172"/>
      <c r="AR25" s="196">
        <f t="shared" si="23"/>
        <v>0.29043411541287978</v>
      </c>
      <c r="AS25" s="197">
        <f t="shared" si="26"/>
        <v>1.6776102635286894E-2</v>
      </c>
      <c r="AT25" s="198">
        <f t="shared" si="24"/>
        <v>0</v>
      </c>
    </row>
    <row r="26" spans="1:46" x14ac:dyDescent="0.3">
      <c r="A26" s="33" t="s">
        <v>63</v>
      </c>
      <c r="B26" s="121">
        <f>VLOOKUP($A26,Costdrivere!$A$3:$I$50,2,FALSE)</f>
        <v>2339312</v>
      </c>
      <c r="C26" s="51">
        <f>VLOOKUP($A26,Costdrivere!$A$3:$I$50,3,FALSE)</f>
        <v>1916651</v>
      </c>
      <c r="D26" s="51">
        <f>VLOOKUP($A26,Costdrivere!$A$3:$I$50,4,FALSE)</f>
        <v>175799</v>
      </c>
      <c r="E26" s="51">
        <f>VLOOKUP($A26,Costdrivere!$A$3:$I$50,5,FALSE)</f>
        <v>0</v>
      </c>
      <c r="F26" s="51">
        <f>VLOOKUP($A26,Costdrivere!$A$3:$I$50,6,FALSE)</f>
        <v>0</v>
      </c>
      <c r="G26" s="51">
        <f>VLOOKUP($A26,Costdrivere!$A$3:$I$50,7,FALSE)</f>
        <v>0</v>
      </c>
      <c r="H26" s="51">
        <f>VLOOKUP($A26,Costdrivere!$A$3:$I$50,8,FALSE)</f>
        <v>0</v>
      </c>
      <c r="I26" s="43">
        <f>VLOOKUP($A26,Costdrivere!$A$3:$I$50,9,FALSE)</f>
        <v>452275.20000000001</v>
      </c>
      <c r="J26" s="39">
        <v>35.632404628776435</v>
      </c>
      <c r="K26" s="39">
        <f>VLOOKUP(A26,Costdrivere!$A$3:$J$50,10,FALSE)</f>
        <v>2.0916201117318435E-2</v>
      </c>
      <c r="L26" s="96">
        <f t="shared" si="27"/>
        <v>4884037.2</v>
      </c>
      <c r="M26" s="51">
        <f t="shared" si="28"/>
        <v>5358367.4401183408</v>
      </c>
      <c r="N26" s="83">
        <f t="shared" si="29"/>
        <v>5510499.500214221</v>
      </c>
      <c r="O26" s="96">
        <f>L26+'Potentialer og krav'!$F25</f>
        <v>5337537.2</v>
      </c>
      <c r="P26" s="51">
        <f t="shared" si="10"/>
        <v>5855910.6681047427</v>
      </c>
      <c r="Q26" s="83">
        <f t="shared" si="11"/>
        <v>6022168.7240577964</v>
      </c>
      <c r="R26" s="96">
        <f>O26+(0.2*'Potentialer og krav'!$C25)</f>
        <v>7049709.0317852199</v>
      </c>
      <c r="S26" s="83">
        <f>P26+(0.2*'Potentialer og krav'!$C25)</f>
        <v>7568082.4998899624</v>
      </c>
      <c r="T26" s="43">
        <f>Q26+(0.2*'Potentialer og krav'!$C25)</f>
        <v>7734340.5558430161</v>
      </c>
      <c r="U26" s="96">
        <v>7014577</v>
      </c>
      <c r="V26" s="68">
        <f t="shared" si="12"/>
        <v>7175912.2709999997</v>
      </c>
      <c r="X26" s="173">
        <f t="shared" si="13"/>
        <v>0.47897096279283047</v>
      </c>
      <c r="Y26" s="174">
        <f t="shared" si="14"/>
        <v>0.39243169564719937</v>
      </c>
      <c r="Z26" s="174">
        <f t="shared" si="15"/>
        <v>3.59946070844833E-2</v>
      </c>
      <c r="AA26" s="174">
        <f t="shared" si="16"/>
        <v>0</v>
      </c>
      <c r="AB26" s="174">
        <f t="shared" si="17"/>
        <v>0</v>
      </c>
      <c r="AC26" s="174">
        <f t="shared" si="18"/>
        <v>0</v>
      </c>
      <c r="AD26" s="174">
        <f t="shared" si="19"/>
        <v>0</v>
      </c>
      <c r="AE26" s="175">
        <f t="shared" si="20"/>
        <v>9.2602734475486795E-2</v>
      </c>
      <c r="AF26" s="176"/>
      <c r="AG26" s="194">
        <f t="shared" si="21"/>
        <v>0.60756830435280063</v>
      </c>
      <c r="AI26" s="173">
        <f t="shared" si="22"/>
        <v>-0.26272460496941608</v>
      </c>
      <c r="AJ26" s="174">
        <f t="shared" si="1"/>
        <v>-0.19092216770610285</v>
      </c>
      <c r="AK26" s="174">
        <f t="shared" si="2"/>
        <v>-1.5682799106534393E-2</v>
      </c>
      <c r="AL26" s="174">
        <f t="shared" si="3"/>
        <v>1.4907963903710585E-2</v>
      </c>
      <c r="AM26" s="174">
        <f t="shared" si="4"/>
        <v>5.6744682025271079E-4</v>
      </c>
      <c r="AN26" s="174">
        <f t="shared" si="5"/>
        <v>0.34201664748528843</v>
      </c>
      <c r="AO26" s="174">
        <f t="shared" si="6"/>
        <v>0.13378819580148499</v>
      </c>
      <c r="AP26" s="175">
        <f t="shared" si="7"/>
        <v>-2.1950682228683363E-2</v>
      </c>
      <c r="AQ26" s="172"/>
      <c r="AR26" s="196">
        <f t="shared" si="23"/>
        <v>0.60756830435280063</v>
      </c>
      <c r="AS26" s="197">
        <f t="shared" si="26"/>
        <v>-0.30035808630463395</v>
      </c>
      <c r="AT26" s="198">
        <f t="shared" si="24"/>
        <v>-3.5126700376899883E-2</v>
      </c>
    </row>
    <row r="27" spans="1:46" ht="15" x14ac:dyDescent="0.25">
      <c r="A27" s="33" t="s">
        <v>56</v>
      </c>
      <c r="B27" s="121">
        <f>VLOOKUP($A27,Costdrivere!$A$3:$I$50,2,FALSE)</f>
        <v>3427479</v>
      </c>
      <c r="C27" s="51">
        <f>VLOOKUP($A27,Costdrivere!$A$3:$I$50,3,FALSE)</f>
        <v>5157166</v>
      </c>
      <c r="D27" s="51">
        <f>VLOOKUP($A27,Costdrivere!$A$3:$I$50,4,FALSE)</f>
        <v>256937</v>
      </c>
      <c r="E27" s="51">
        <f>VLOOKUP($A27,Costdrivere!$A$3:$I$50,5,FALSE)</f>
        <v>359287.74</v>
      </c>
      <c r="F27" s="51">
        <f>VLOOKUP($A27,Costdrivere!$A$3:$I$50,6,FALSE)</f>
        <v>11700327.180483716</v>
      </c>
      <c r="G27" s="51">
        <f>VLOOKUP($A27,Costdrivere!$A$3:$I$50,7,FALSE)</f>
        <v>5269828.7</v>
      </c>
      <c r="H27" s="51">
        <f>VLOOKUP($A27,Costdrivere!$A$3:$I$50,8,FALSE)</f>
        <v>0</v>
      </c>
      <c r="I27" s="43">
        <f>VLOOKUP($A27,Costdrivere!$A$3:$I$50,9,FALSE)</f>
        <v>3047421.6</v>
      </c>
      <c r="J27" s="39">
        <v>29.959029447505035</v>
      </c>
      <c r="K27" s="39">
        <f>VLOOKUP(A27,Costdrivere!$A$3:$J$50,10,FALSE)</f>
        <v>3.1494382022471908E-2</v>
      </c>
      <c r="L27" s="96">
        <f t="shared" si="27"/>
        <v>29218447.220483717</v>
      </c>
      <c r="M27" s="51">
        <f t="shared" si="28"/>
        <v>29403822.816216413</v>
      </c>
      <c r="N27" s="83">
        <f t="shared" si="29"/>
        <v>39013948.394306034</v>
      </c>
      <c r="O27" s="96">
        <f>L27+'Potentialer og krav'!$F26</f>
        <v>30029173.220483717</v>
      </c>
      <c r="P27" s="51">
        <f t="shared" si="10"/>
        <v>30219692.443942141</v>
      </c>
      <c r="Q27" s="83">
        <f t="shared" si="11"/>
        <v>40096470.750379354</v>
      </c>
      <c r="R27" s="96">
        <f>O27+(0.2*'Potentialer og krav'!$C26)</f>
        <v>34653315.491041653</v>
      </c>
      <c r="S27" s="83">
        <f>P27+(0.2*'Potentialer og krav'!$C26)</f>
        <v>34843834.714500077</v>
      </c>
      <c r="T27" s="43">
        <f>Q27+(0.2*'Potentialer og krav'!$C26)</f>
        <v>44720613.020937286</v>
      </c>
      <c r="U27" s="96">
        <v>22569921</v>
      </c>
      <c r="V27" s="68">
        <f t="shared" si="12"/>
        <v>23089029.182999998</v>
      </c>
      <c r="X27" s="173">
        <f t="shared" si="13"/>
        <v>0.11730530969479963</v>
      </c>
      <c r="Y27" s="174">
        <f t="shared" si="14"/>
        <v>0.17650376698952527</v>
      </c>
      <c r="Z27" s="174">
        <f t="shared" si="15"/>
        <v>8.7936568997367265E-3</v>
      </c>
      <c r="AA27" s="174">
        <f t="shared" si="16"/>
        <v>1.2296606225813389E-2</v>
      </c>
      <c r="AB27" s="174">
        <f t="shared" si="17"/>
        <v>0.40044315470266167</v>
      </c>
      <c r="AC27" s="174">
        <f t="shared" si="18"/>
        <v>0.18035964266799107</v>
      </c>
      <c r="AD27" s="174">
        <f t="shared" si="19"/>
        <v>0</v>
      </c>
      <c r="AE27" s="175">
        <f t="shared" si="20"/>
        <v>0.10429786281947222</v>
      </c>
      <c r="AF27" s="176"/>
      <c r="AG27" s="194">
        <f t="shared" si="21"/>
        <v>0.23039682941400857</v>
      </c>
      <c r="AI27" s="173">
        <f t="shared" si="22"/>
        <v>9.8941048128614734E-2</v>
      </c>
      <c r="AJ27" s="174">
        <f t="shared" si="1"/>
        <v>2.5005760951571254E-2</v>
      </c>
      <c r="AK27" s="174">
        <f t="shared" si="2"/>
        <v>1.1518151078212181E-2</v>
      </c>
      <c r="AL27" s="174">
        <f t="shared" si="3"/>
        <v>2.6113576778971966E-3</v>
      </c>
      <c r="AM27" s="174">
        <f t="shared" si="4"/>
        <v>-0.39987570788240895</v>
      </c>
      <c r="AN27" s="174">
        <f t="shared" si="5"/>
        <v>0.16165700481729736</v>
      </c>
      <c r="AO27" s="174">
        <f t="shared" si="6"/>
        <v>0.13378819580148499</v>
      </c>
      <c r="AP27" s="175">
        <f t="shared" si="7"/>
        <v>-3.3645810572668786E-2</v>
      </c>
      <c r="AQ27" s="172"/>
      <c r="AR27" s="196">
        <f t="shared" si="23"/>
        <v>0.23039682941400857</v>
      </c>
      <c r="AS27" s="197">
        <f t="shared" si="26"/>
        <v>7.6813388634158097E-2</v>
      </c>
      <c r="AT27" s="198">
        <f t="shared" si="24"/>
        <v>0</v>
      </c>
    </row>
    <row r="28" spans="1:46" x14ac:dyDescent="0.3">
      <c r="A28" s="33" t="s">
        <v>57</v>
      </c>
      <c r="B28" s="121">
        <f>VLOOKUP($A28,Costdrivere!$A$3:$I$50,2,FALSE)</f>
        <v>3851100</v>
      </c>
      <c r="C28" s="51">
        <f>VLOOKUP($A28,Costdrivere!$A$3:$I$50,3,FALSE)</f>
        <v>5976003</v>
      </c>
      <c r="D28" s="51">
        <f>VLOOKUP($A28,Costdrivere!$A$3:$I$50,4,FALSE)</f>
        <v>1217070</v>
      </c>
      <c r="E28" s="51">
        <f>VLOOKUP($A28,Costdrivere!$A$3:$I$50,5,FALSE)</f>
        <v>372039.77999999997</v>
      </c>
      <c r="F28" s="51">
        <f>VLOOKUP($A28,Costdrivere!$A$3:$I$50,6,FALSE)</f>
        <v>0</v>
      </c>
      <c r="G28" s="51">
        <f>VLOOKUP($A28,Costdrivere!$A$3:$I$50,7,FALSE)</f>
        <v>0</v>
      </c>
      <c r="H28" s="51">
        <f>VLOOKUP($A28,Costdrivere!$A$3:$I$50,8,FALSE)</f>
        <v>0</v>
      </c>
      <c r="I28" s="43">
        <f>VLOOKUP($A28,Costdrivere!$A$3:$I$50,9,FALSE)</f>
        <v>1854763.2</v>
      </c>
      <c r="J28" s="39">
        <v>30.714065329189275</v>
      </c>
      <c r="K28" s="39">
        <f>VLOOKUP(A28,Costdrivere!$A$3:$J$50,10,FALSE)</f>
        <v>1.7059999999999999E-2</v>
      </c>
      <c r="L28" s="96">
        <f t="shared" si="27"/>
        <v>13270975.979999999</v>
      </c>
      <c r="M28" s="51">
        <f t="shared" si="28"/>
        <v>13515494.313169146</v>
      </c>
      <c r="N28" s="83">
        <f t="shared" si="29"/>
        <v>13971856.299851257</v>
      </c>
      <c r="O28" s="96">
        <f>L28+'Potentialer og krav'!$F27</f>
        <v>13270975.979999999</v>
      </c>
      <c r="P28" s="51">
        <f t="shared" si="10"/>
        <v>13515494.313169146</v>
      </c>
      <c r="Q28" s="83">
        <f t="shared" si="11"/>
        <v>13971856.299851257</v>
      </c>
      <c r="R28" s="96">
        <f>O28+(0.2*'Potentialer og krav'!$C27)</f>
        <v>16643843.531351635</v>
      </c>
      <c r="S28" s="83">
        <f>P28+(0.2*'Potentialer og krav'!$C27)</f>
        <v>16888361.864520781</v>
      </c>
      <c r="T28" s="43">
        <f>Q28+(0.2*'Potentialer og krav'!$C27)</f>
        <v>17344723.851202894</v>
      </c>
      <c r="U28" s="96">
        <v>15632315</v>
      </c>
      <c r="V28" s="68">
        <f t="shared" si="12"/>
        <v>15991858.244999999</v>
      </c>
      <c r="X28" s="173">
        <f t="shared" si="13"/>
        <v>0.2901896594345279</v>
      </c>
      <c r="Y28" s="174">
        <f t="shared" si="14"/>
        <v>0.45030621779484231</v>
      </c>
      <c r="Z28" s="174">
        <f t="shared" si="15"/>
        <v>9.1709155516081359E-2</v>
      </c>
      <c r="AA28" s="174">
        <f t="shared" si="16"/>
        <v>2.8034093390017573E-2</v>
      </c>
      <c r="AB28" s="174">
        <f t="shared" si="17"/>
        <v>0</v>
      </c>
      <c r="AC28" s="174">
        <f t="shared" si="18"/>
        <v>0</v>
      </c>
      <c r="AD28" s="174">
        <f t="shared" si="19"/>
        <v>0</v>
      </c>
      <c r="AE28" s="175">
        <f t="shared" si="20"/>
        <v>0.13976087386453095</v>
      </c>
      <c r="AF28" s="176"/>
      <c r="AG28" s="194">
        <f t="shared" si="21"/>
        <v>0.52165968881514024</v>
      </c>
      <c r="AI28" s="173">
        <f t="shared" si="22"/>
        <v>-7.3943301611113538E-2</v>
      </c>
      <c r="AJ28" s="174">
        <f t="shared" si="1"/>
        <v>-0.24879668985374578</v>
      </c>
      <c r="AK28" s="174">
        <f t="shared" si="2"/>
        <v>-7.1397347538132455E-2</v>
      </c>
      <c r="AL28" s="174">
        <f t="shared" si="3"/>
        <v>-1.3126129486306988E-2</v>
      </c>
      <c r="AM28" s="174">
        <f t="shared" si="4"/>
        <v>5.6744682025271079E-4</v>
      </c>
      <c r="AN28" s="174">
        <f t="shared" si="5"/>
        <v>0.34201664748528843</v>
      </c>
      <c r="AO28" s="174">
        <f t="shared" si="6"/>
        <v>0.13378819580148499</v>
      </c>
      <c r="AP28" s="175">
        <f t="shared" si="7"/>
        <v>-6.9108821617727523E-2</v>
      </c>
      <c r="AQ28" s="172"/>
      <c r="AR28" s="196">
        <f t="shared" si="23"/>
        <v>0.52165968881514024</v>
      </c>
      <c r="AS28" s="197">
        <f t="shared" si="26"/>
        <v>-0.21444947076697357</v>
      </c>
      <c r="AT28" s="198">
        <f t="shared" si="24"/>
        <v>-2.3182001030673809E-3</v>
      </c>
    </row>
    <row r="29" spans="1:46" ht="15" x14ac:dyDescent="0.25">
      <c r="A29" s="33" t="s">
        <v>58</v>
      </c>
      <c r="B29" s="121">
        <f>VLOOKUP($A29,Costdrivere!$A$3:$I$50,2,FALSE)</f>
        <v>1720158</v>
      </c>
      <c r="C29" s="51">
        <f>VLOOKUP($A29,Costdrivere!$A$3:$I$50,3,FALSE)</f>
        <v>3840892</v>
      </c>
      <c r="D29" s="51">
        <f>VLOOKUP($A29,Costdrivere!$A$3:$I$50,4,FALSE)</f>
        <v>459782</v>
      </c>
      <c r="E29" s="51">
        <f>VLOOKUP($A29,Costdrivere!$A$3:$I$50,5,FALSE)</f>
        <v>82671.12</v>
      </c>
      <c r="F29" s="51">
        <f>VLOOKUP($A29,Costdrivere!$A$3:$I$50,6,FALSE)</f>
        <v>2642102.3380839988</v>
      </c>
      <c r="G29" s="51">
        <f>VLOOKUP($A29,Costdrivere!$A$3:$I$50,7,FALSE)</f>
        <v>1586160</v>
      </c>
      <c r="H29" s="51">
        <f>VLOOKUP($A29,Costdrivere!$A$3:$I$50,8,FALSE)</f>
        <v>12700</v>
      </c>
      <c r="I29" s="43">
        <f>VLOOKUP($A29,Costdrivere!$A$3:$I$50,9,FALSE)</f>
        <v>1244602.3999999999</v>
      </c>
      <c r="J29" s="39">
        <v>34.184099208664541</v>
      </c>
      <c r="K29" s="39">
        <f>VLOOKUP(A29,Costdrivere!$A$3:$J$50,10,FALSE)</f>
        <v>2.5629353233830844E-2</v>
      </c>
      <c r="L29" s="96">
        <f t="shared" si="27"/>
        <v>11589067.858083999</v>
      </c>
      <c r="M29" s="51">
        <f t="shared" si="28"/>
        <v>12446028.287557289</v>
      </c>
      <c r="N29" s="83">
        <f t="shared" si="29"/>
        <v>14144336.269806605</v>
      </c>
      <c r="O29" s="96">
        <f>L29+'Potentialer og krav'!$F28</f>
        <v>11589067.858083999</v>
      </c>
      <c r="P29" s="51">
        <f t="shared" si="10"/>
        <v>12446028.287557289</v>
      </c>
      <c r="Q29" s="83">
        <f t="shared" si="11"/>
        <v>14144336.269806605</v>
      </c>
      <c r="R29" s="96">
        <f>O29+(0.2*'Potentialer og krav'!$C28)</f>
        <v>14582464.42841199</v>
      </c>
      <c r="S29" s="83">
        <f>P29+(0.2*'Potentialer og krav'!$C28)</f>
        <v>15439424.857885281</v>
      </c>
      <c r="T29" s="43">
        <f>Q29+(0.2*'Potentialer og krav'!$C28)</f>
        <v>17137732.840134598</v>
      </c>
      <c r="U29" s="96">
        <v>14937168</v>
      </c>
      <c r="V29" s="68">
        <f t="shared" si="12"/>
        <v>15280722.863999998</v>
      </c>
      <c r="X29" s="173">
        <f t="shared" si="13"/>
        <v>0.14842936645677651</v>
      </c>
      <c r="Y29" s="174">
        <f t="shared" si="14"/>
        <v>0.33142372165167461</v>
      </c>
      <c r="Z29" s="174">
        <f t="shared" si="15"/>
        <v>3.9673768902757547E-2</v>
      </c>
      <c r="AA29" s="174">
        <f t="shared" si="16"/>
        <v>7.1335435267412331E-3</v>
      </c>
      <c r="AB29" s="174">
        <f t="shared" si="17"/>
        <v>0.22798229939097217</v>
      </c>
      <c r="AC29" s="174">
        <f t="shared" si="18"/>
        <v>0.13686691798025569</v>
      </c>
      <c r="AD29" s="174">
        <f t="shared" si="19"/>
        <v>1.0958603535262817E-3</v>
      </c>
      <c r="AE29" s="175">
        <f t="shared" si="20"/>
        <v>0.10739452173729595</v>
      </c>
      <c r="AF29" s="176"/>
      <c r="AG29" s="194">
        <f t="shared" si="21"/>
        <v>0.29549765709683001</v>
      </c>
      <c r="AI29" s="173">
        <f t="shared" si="22"/>
        <v>6.7816991366637852E-2</v>
      </c>
      <c r="AJ29" s="174">
        <f t="shared" si="1"/>
        <v>-0.12991419371057808</v>
      </c>
      <c r="AK29" s="174">
        <f t="shared" si="2"/>
        <v>-1.936196092480864E-2</v>
      </c>
      <c r="AL29" s="174">
        <f t="shared" si="3"/>
        <v>7.7744203769693522E-3</v>
      </c>
      <c r="AM29" s="174">
        <f t="shared" si="4"/>
        <v>-0.22741485257071947</v>
      </c>
      <c r="AN29" s="174">
        <f t="shared" si="5"/>
        <v>0.20514972950503274</v>
      </c>
      <c r="AO29" s="174">
        <f t="shared" si="6"/>
        <v>0.13269233544795872</v>
      </c>
      <c r="AP29" s="175">
        <f t="shared" si="7"/>
        <v>-3.6742469490492521E-2</v>
      </c>
      <c r="AQ29" s="172"/>
      <c r="AR29" s="196">
        <f t="shared" si="23"/>
        <v>0.29549765709683001</v>
      </c>
      <c r="AS29" s="197">
        <f t="shared" si="26"/>
        <v>1.1712560951336659E-2</v>
      </c>
      <c r="AT29" s="198">
        <f t="shared" si="24"/>
        <v>0</v>
      </c>
    </row>
    <row r="30" spans="1:46" ht="15" x14ac:dyDescent="0.25">
      <c r="A30" s="33" t="s">
        <v>59</v>
      </c>
      <c r="B30" s="121">
        <f>VLOOKUP($A30,Costdrivere!$A$3:$I$50,2,FALSE)</f>
        <v>12438411</v>
      </c>
      <c r="C30" s="51">
        <f>VLOOKUP($A30,Costdrivere!$A$3:$I$50,3,FALSE)</f>
        <v>10723280</v>
      </c>
      <c r="D30" s="51">
        <f>VLOOKUP($A30,Costdrivere!$A$3:$I$50,4,FALSE)</f>
        <v>1757990</v>
      </c>
      <c r="E30" s="51">
        <f>VLOOKUP($A30,Costdrivere!$A$3:$I$50,5,FALSE)</f>
        <v>609867.29999999993</v>
      </c>
      <c r="F30" s="51">
        <f>VLOOKUP($A30,Costdrivere!$A$3:$I$50,6,FALSE)</f>
        <v>22151917.426315155</v>
      </c>
      <c r="G30" s="51">
        <f>VLOOKUP($A30,Costdrivere!$A$3:$I$50,7,FALSE)</f>
        <v>10582823.9</v>
      </c>
      <c r="H30" s="51">
        <f>VLOOKUP($A30,Costdrivere!$A$3:$I$50,8,FALSE)</f>
        <v>83820</v>
      </c>
      <c r="I30" s="43">
        <f>VLOOKUP($A30,Costdrivere!$A$3:$I$50,9,FALSE)</f>
        <v>3930469.6</v>
      </c>
      <c r="J30" s="39">
        <v>33.720457176932797</v>
      </c>
      <c r="K30" s="39">
        <f>VLOOKUP(A30,Costdrivere!$A$3:$J$50,10,FALSE)</f>
        <v>1.9060925600468657E-2</v>
      </c>
      <c r="L30" s="96">
        <f t="shared" si="27"/>
        <v>62278579.226315156</v>
      </c>
      <c r="M30" s="51">
        <f t="shared" si="28"/>
        <v>66421805.873726912</v>
      </c>
      <c r="N30" s="83">
        <f t="shared" si="29"/>
        <v>68006036.937330559</v>
      </c>
      <c r="O30" s="96">
        <f>L30+'Potentialer og krav'!$F29</f>
        <v>62278579.226315156</v>
      </c>
      <c r="P30" s="51">
        <f t="shared" si="10"/>
        <v>66421805.873726912</v>
      </c>
      <c r="Q30" s="83">
        <f t="shared" si="11"/>
        <v>68006036.937330559</v>
      </c>
      <c r="R30" s="96">
        <f>O30+(0.2*'Potentialer og krav'!$C29)</f>
        <v>77434509.644460991</v>
      </c>
      <c r="S30" s="83">
        <f>P30+(0.2*'Potentialer og krav'!$C29)</f>
        <v>81577736.29187274</v>
      </c>
      <c r="T30" s="43">
        <f>Q30+(0.2*'Potentialer og krav'!$C29)</f>
        <v>83161967.355476394</v>
      </c>
      <c r="U30" s="96">
        <v>54486454</v>
      </c>
      <c r="V30" s="68">
        <f t="shared" si="12"/>
        <v>55739642.441999994</v>
      </c>
      <c r="X30" s="173">
        <f t="shared" si="13"/>
        <v>0.19972213808538974</v>
      </c>
      <c r="Y30" s="174">
        <f t="shared" si="14"/>
        <v>0.17218247643435308</v>
      </c>
      <c r="Z30" s="174">
        <f t="shared" si="15"/>
        <v>2.8227843695849436E-2</v>
      </c>
      <c r="AA30" s="174">
        <f t="shared" si="16"/>
        <v>9.7925692521628194E-3</v>
      </c>
      <c r="AB30" s="174">
        <f t="shared" si="17"/>
        <v>0.35569079612135879</v>
      </c>
      <c r="AC30" s="174">
        <f t="shared" si="18"/>
        <v>0.16992718895437389</v>
      </c>
      <c r="AD30" s="174">
        <f t="shared" si="19"/>
        <v>1.345888121426231E-3</v>
      </c>
      <c r="AE30" s="175">
        <f t="shared" si="20"/>
        <v>6.3111099335086018E-2</v>
      </c>
      <c r="AF30" s="176"/>
      <c r="AG30" s="194">
        <f t="shared" si="21"/>
        <v>0.29106108111632523</v>
      </c>
      <c r="AI30" s="173">
        <f t="shared" si="22"/>
        <v>1.652421973802462E-2</v>
      </c>
      <c r="AJ30" s="174">
        <f t="shared" si="1"/>
        <v>2.9327051506743446E-2</v>
      </c>
      <c r="AK30" s="174">
        <f t="shared" si="2"/>
        <v>-7.916035717900529E-3</v>
      </c>
      <c r="AL30" s="174">
        <f t="shared" si="3"/>
        <v>5.1153946515477659E-3</v>
      </c>
      <c r="AM30" s="174">
        <f t="shared" si="4"/>
        <v>-0.35512334930110606</v>
      </c>
      <c r="AN30" s="174">
        <f t="shared" si="5"/>
        <v>0.17208945853091454</v>
      </c>
      <c r="AO30" s="174">
        <f t="shared" si="6"/>
        <v>0.13244230768005877</v>
      </c>
      <c r="AP30" s="175">
        <f t="shared" si="7"/>
        <v>7.5409529117174134E-3</v>
      </c>
      <c r="AQ30" s="172"/>
      <c r="AR30" s="196">
        <f t="shared" si="23"/>
        <v>0.29106108111632523</v>
      </c>
      <c r="AS30" s="197">
        <f t="shared" si="26"/>
        <v>1.6149136931841446E-2</v>
      </c>
      <c r="AT30" s="198">
        <f t="shared" si="24"/>
        <v>0</v>
      </c>
    </row>
    <row r="31" spans="1:46" x14ac:dyDescent="0.3">
      <c r="A31" s="33" t="s">
        <v>60</v>
      </c>
      <c r="B31" s="121">
        <f>VLOOKUP($A31,Costdrivere!$A$3:$I$50,2,FALSE)</f>
        <v>6809849</v>
      </c>
      <c r="C31" s="51">
        <f>VLOOKUP($A31,Costdrivere!$A$3:$I$50,3,FALSE)</f>
        <v>6812530</v>
      </c>
      <c r="D31" s="51">
        <f>VLOOKUP($A31,Costdrivere!$A$3:$I$50,4,FALSE)</f>
        <v>662627</v>
      </c>
      <c r="E31" s="51">
        <f>VLOOKUP($A31,Costdrivere!$A$3:$I$50,5,FALSE)</f>
        <v>160881</v>
      </c>
      <c r="F31" s="51">
        <f>VLOOKUP($A31,Costdrivere!$A$3:$I$50,6,FALSE)</f>
        <v>11424140.087735107</v>
      </c>
      <c r="G31" s="51">
        <f>VLOOKUP($A31,Costdrivere!$A$3:$I$50,7,FALSE)</f>
        <v>5132263.7</v>
      </c>
      <c r="H31" s="51">
        <f>VLOOKUP($A31,Costdrivere!$A$3:$I$50,8,FALSE)</f>
        <v>10160</v>
      </c>
      <c r="I31" s="43">
        <f>VLOOKUP($A31,Costdrivere!$A$3:$I$50,9,FALSE)</f>
        <v>2079572</v>
      </c>
      <c r="J31" s="39">
        <v>36.403304588734976</v>
      </c>
      <c r="K31" s="39">
        <f>VLOOKUP(A31,Costdrivere!$A$3:$J$50,10,FALSE)</f>
        <v>1.5275066548358474E-2</v>
      </c>
      <c r="L31" s="96">
        <f t="shared" si="27"/>
        <v>33092022.787735108</v>
      </c>
      <c r="M31" s="51">
        <f t="shared" si="28"/>
        <v>36714039.76912488</v>
      </c>
      <c r="N31" s="83">
        <f t="shared" si="29"/>
        <v>33683947.316249564</v>
      </c>
      <c r="O31" s="96">
        <f>L31+'Potentialer og krav'!$F30</f>
        <v>33092022.787735108</v>
      </c>
      <c r="P31" s="51">
        <f t="shared" si="10"/>
        <v>36714039.76912488</v>
      </c>
      <c r="Q31" s="83">
        <f t="shared" si="11"/>
        <v>33683947.316249564</v>
      </c>
      <c r="R31" s="96">
        <f>O31+(0.2*'Potentialer og krav'!$C30)</f>
        <v>40892408.979980581</v>
      </c>
      <c r="S31" s="83">
        <f>P31+(0.2*'Potentialer og krav'!$C30)</f>
        <v>44514425.961370356</v>
      </c>
      <c r="T31" s="43">
        <f>Q31+(0.2*'Potentialer og krav'!$C30)</f>
        <v>41484333.50849504</v>
      </c>
      <c r="U31" s="96">
        <v>37456966</v>
      </c>
      <c r="V31" s="68">
        <f t="shared" si="12"/>
        <v>38318476.217999995</v>
      </c>
      <c r="X31" s="173">
        <f t="shared" si="13"/>
        <v>0.20578521426994584</v>
      </c>
      <c r="Y31" s="174">
        <f t="shared" si="14"/>
        <v>0.20586623077405009</v>
      </c>
      <c r="Z31" s="174">
        <f t="shared" si="15"/>
        <v>2.002376839428472E-2</v>
      </c>
      <c r="AA31" s="174">
        <f t="shared" si="16"/>
        <v>4.8616248402810636E-3</v>
      </c>
      <c r="AB31" s="174">
        <f t="shared" si="17"/>
        <v>0.34522338392590601</v>
      </c>
      <c r="AC31" s="174">
        <f t="shared" si="18"/>
        <v>0.1550906613633232</v>
      </c>
      <c r="AD31" s="174">
        <f t="shared" si="19"/>
        <v>3.0702263397949792E-4</v>
      </c>
      <c r="AE31" s="175">
        <f t="shared" si="20"/>
        <v>6.2842093798229567E-2</v>
      </c>
      <c r="AF31" s="176"/>
      <c r="AG31" s="194">
        <f t="shared" si="21"/>
        <v>0.28865107646246013</v>
      </c>
      <c r="AI31" s="173">
        <f t="shared" si="22"/>
        <v>1.0461143553468527E-2</v>
      </c>
      <c r="AJ31" s="174">
        <f t="shared" si="1"/>
        <v>-4.3567028329535573E-3</v>
      </c>
      <c r="AK31" s="174">
        <f t="shared" si="2"/>
        <v>2.8803958366418678E-4</v>
      </c>
      <c r="AL31" s="174">
        <f t="shared" si="3"/>
        <v>1.0046339063429522E-2</v>
      </c>
      <c r="AM31" s="174">
        <f t="shared" si="4"/>
        <v>-0.34465593710565329</v>
      </c>
      <c r="AN31" s="174">
        <f t="shared" si="5"/>
        <v>0.18692598612196523</v>
      </c>
      <c r="AO31" s="174">
        <f t="shared" si="6"/>
        <v>0.13348117316750549</v>
      </c>
      <c r="AP31" s="175">
        <f t="shared" si="7"/>
        <v>7.8099584485738643E-3</v>
      </c>
      <c r="AQ31" s="172"/>
      <c r="AR31" s="196">
        <f t="shared" si="23"/>
        <v>0.28865107646246013</v>
      </c>
      <c r="AS31" s="197">
        <f t="shared" si="26"/>
        <v>1.855914158570654E-2</v>
      </c>
      <c r="AT31" s="198">
        <f t="shared" si="24"/>
        <v>0</v>
      </c>
    </row>
    <row r="32" spans="1:46" ht="15" x14ac:dyDescent="0.25">
      <c r="A32" s="33" t="s">
        <v>99</v>
      </c>
      <c r="B32" s="121">
        <f>VLOOKUP($A32,Costdrivere!$A$3:$I$50,2,FALSE)</f>
        <v>4672668</v>
      </c>
      <c r="C32" s="51">
        <f>VLOOKUP($A32,Costdrivere!$A$3:$I$50,3,FALSE)</f>
        <v>14550168</v>
      </c>
      <c r="D32" s="51">
        <f>VLOOKUP($A32,Costdrivere!$A$3:$I$50,4,FALSE)</f>
        <v>162276</v>
      </c>
      <c r="E32" s="51">
        <f>VLOOKUP($A32,Costdrivere!$A$3:$I$50,5,FALSE)</f>
        <v>34584.479999999996</v>
      </c>
      <c r="F32" s="51">
        <f>VLOOKUP($A32,Costdrivere!$A$3:$I$50,6,FALSE)</f>
        <v>14364594.231905608</v>
      </c>
      <c r="G32" s="51">
        <f>VLOOKUP($A32,Costdrivere!$A$3:$I$50,7,FALSE)</f>
        <v>4120050.6</v>
      </c>
      <c r="H32" s="51">
        <f>VLOOKUP($A32,Costdrivere!$A$3:$I$50,8,FALSE)</f>
        <v>17780</v>
      </c>
      <c r="I32" s="43">
        <f>VLOOKUP($A32,Costdrivere!$A$3:$I$50,9,FALSE)</f>
        <v>2914058.4</v>
      </c>
      <c r="J32" s="39">
        <v>34.097035666719727</v>
      </c>
      <c r="K32" s="39">
        <f>VLOOKUP(A32,Costdrivere!$A$3:$J$50,10,FALSE)</f>
        <v>2.209065934065934E-2</v>
      </c>
      <c r="L32" s="96">
        <f t="shared" si="27"/>
        <v>40836179.711905606</v>
      </c>
      <c r="M32" s="51">
        <f t="shared" si="28"/>
        <v>43798949.526245005</v>
      </c>
      <c r="N32" s="83">
        <f t="shared" si="29"/>
        <v>47012567.416289225</v>
      </c>
      <c r="O32" s="96">
        <f>L32+'Potentialer og krav'!$F31</f>
        <v>40836179.711905606</v>
      </c>
      <c r="P32" s="51">
        <f t="shared" si="10"/>
        <v>43798949.526245005</v>
      </c>
      <c r="Q32" s="83">
        <f t="shared" si="11"/>
        <v>47012567.416289225</v>
      </c>
      <c r="R32" s="96">
        <f>O32+(0.2*'Potentialer og krav'!$C31)</f>
        <v>47561526.0531395</v>
      </c>
      <c r="S32" s="83">
        <f>P32+(0.2*'Potentialer og krav'!$C31)</f>
        <v>50524295.8674789</v>
      </c>
      <c r="T32" s="43">
        <f>Q32+(0.2*'Potentialer og krav'!$C31)</f>
        <v>53737913.757523119</v>
      </c>
      <c r="U32" s="96">
        <v>30249237</v>
      </c>
      <c r="V32" s="68">
        <f t="shared" si="12"/>
        <v>30944969.450999998</v>
      </c>
      <c r="X32" s="173">
        <f t="shared" si="13"/>
        <v>0.11442470948470491</v>
      </c>
      <c r="Y32" s="174">
        <f t="shared" si="14"/>
        <v>0.35630580780694243</v>
      </c>
      <c r="Z32" s="174">
        <f t="shared" si="15"/>
        <v>3.9738291178273259E-3</v>
      </c>
      <c r="AA32" s="174">
        <f t="shared" si="16"/>
        <v>8.4690782154426278E-4</v>
      </c>
      <c r="AB32" s="174">
        <f t="shared" si="17"/>
        <v>0.35176146087234683</v>
      </c>
      <c r="AC32" s="174">
        <f t="shared" si="18"/>
        <v>0.10089216545393001</v>
      </c>
      <c r="AD32" s="174">
        <f t="shared" si="19"/>
        <v>4.3539822102448824E-4</v>
      </c>
      <c r="AE32" s="175">
        <f t="shared" si="20"/>
        <v>7.1359721221679787E-2</v>
      </c>
      <c r="AF32" s="176"/>
      <c r="AG32" s="194">
        <f t="shared" si="21"/>
        <v>0.18975825982421202</v>
      </c>
      <c r="AI32" s="173">
        <f t="shared" si="22"/>
        <v>0.10182164833870945</v>
      </c>
      <c r="AJ32" s="174">
        <f t="shared" si="1"/>
        <v>-0.1547962798658459</v>
      </c>
      <c r="AK32" s="174">
        <f t="shared" si="2"/>
        <v>1.6337978860121581E-2</v>
      </c>
      <c r="AL32" s="174">
        <f t="shared" si="3"/>
        <v>1.4061056082166323E-2</v>
      </c>
      <c r="AM32" s="174">
        <f t="shared" si="4"/>
        <v>-0.35119401405209411</v>
      </c>
      <c r="AN32" s="174">
        <f t="shared" si="5"/>
        <v>0.24112448203135842</v>
      </c>
      <c r="AO32" s="174">
        <f t="shared" si="6"/>
        <v>0.13335279758046051</v>
      </c>
      <c r="AP32" s="175">
        <f t="shared" si="7"/>
        <v>-7.0766897487635483E-4</v>
      </c>
      <c r="AQ32" s="172"/>
      <c r="AR32" s="196">
        <f t="shared" si="23"/>
        <v>0.18975825982421202</v>
      </c>
      <c r="AS32" s="197">
        <f t="shared" si="26"/>
        <v>0.11745195822395466</v>
      </c>
      <c r="AT32" s="198">
        <f t="shared" si="24"/>
        <v>0</v>
      </c>
    </row>
    <row r="33" spans="1:46" x14ac:dyDescent="0.3">
      <c r="A33" s="33" t="s">
        <v>61</v>
      </c>
      <c r="B33" s="121">
        <f>VLOOKUP($A33,Costdrivere!$A$3:$I$50,2,FALSE)</f>
        <v>11869611.739999998</v>
      </c>
      <c r="C33" s="51">
        <f>VLOOKUP($A33,Costdrivere!$A$3:$I$50,3,FALSE)</f>
        <v>999728</v>
      </c>
      <c r="D33" s="51">
        <f>VLOOKUP($A33,Costdrivere!$A$3:$I$50,4,FALSE)</f>
        <v>27046</v>
      </c>
      <c r="E33" s="51">
        <f>VLOOKUP($A33,Costdrivere!$A$3:$I$50,5,FALSE)</f>
        <v>303364.31999999995</v>
      </c>
      <c r="F33" s="51">
        <f>VLOOKUP($A33,Costdrivere!$A$3:$I$50,6,FALSE)</f>
        <v>0</v>
      </c>
      <c r="G33" s="51">
        <f>VLOOKUP($A33,Costdrivere!$A$3:$I$50,7,FALSE)</f>
        <v>0</v>
      </c>
      <c r="H33" s="51">
        <f>VLOOKUP($A33,Costdrivere!$A$3:$I$50,8,FALSE)</f>
        <v>0</v>
      </c>
      <c r="I33" s="43">
        <f>VLOOKUP($A33,Costdrivere!$A$3:$I$50,9,FALSE)</f>
        <v>1366127.2</v>
      </c>
      <c r="J33" s="39">
        <v>53.119817335553172</v>
      </c>
      <c r="K33" s="39">
        <f>VLOOKUP(A33,Costdrivere!$A$3:$J$50,10,FALSE)</f>
        <v>2.5322436184505151E-2</v>
      </c>
      <c r="L33" s="96">
        <f t="shared" si="27"/>
        <v>14565877.259999998</v>
      </c>
      <c r="M33" s="51">
        <f t="shared" si="28"/>
        <v>20056005.146152601</v>
      </c>
      <c r="N33" s="83">
        <f t="shared" si="29"/>
        <v>17690026.463324822</v>
      </c>
      <c r="O33" s="96">
        <f>L33+'Potentialer og krav'!$F32</f>
        <v>14588228.259999998</v>
      </c>
      <c r="P33" s="51">
        <f t="shared" si="10"/>
        <v>20086780.619748872</v>
      </c>
      <c r="Q33" s="83">
        <f t="shared" si="11"/>
        <v>17717171.397641111</v>
      </c>
      <c r="R33" s="96">
        <f>O33+(0.2*'Potentialer og krav'!$C32)</f>
        <v>19195149.859999999</v>
      </c>
      <c r="S33" s="83">
        <f>P33+(0.2*'Potentialer og krav'!$C32)</f>
        <v>24693702.219748873</v>
      </c>
      <c r="T33" s="43">
        <f>Q33+(0.2*'Potentialer og krav'!$C32)</f>
        <v>22324092.997641113</v>
      </c>
      <c r="U33" s="96">
        <v>14501178</v>
      </c>
      <c r="V33" s="68">
        <f t="shared" si="12"/>
        <v>14834705.093999999</v>
      </c>
      <c r="X33" s="173">
        <f t="shared" si="13"/>
        <v>0.81489164903206113</v>
      </c>
      <c r="Y33" s="174">
        <f t="shared" si="14"/>
        <v>6.8634932325387463E-2</v>
      </c>
      <c r="Z33" s="174">
        <f t="shared" si="15"/>
        <v>1.8568054307495931E-3</v>
      </c>
      <c r="AA33" s="174">
        <f t="shared" si="16"/>
        <v>2.0827054531969879E-2</v>
      </c>
      <c r="AB33" s="174">
        <f t="shared" si="17"/>
        <v>0</v>
      </c>
      <c r="AC33" s="174">
        <f t="shared" si="18"/>
        <v>0</v>
      </c>
      <c r="AD33" s="174">
        <f t="shared" si="19"/>
        <v>0</v>
      </c>
      <c r="AE33" s="175">
        <f t="shared" si="20"/>
        <v>9.3789558679831977E-2</v>
      </c>
      <c r="AF33" s="177"/>
      <c r="AG33" s="194">
        <f t="shared" si="21"/>
        <v>0.91053801314264271</v>
      </c>
      <c r="AI33" s="173">
        <f t="shared" si="22"/>
        <v>-0.59864529120864673</v>
      </c>
      <c r="AJ33" s="174">
        <f t="shared" si="1"/>
        <v>0.13287459561570908</v>
      </c>
      <c r="AK33" s="174">
        <f t="shared" si="2"/>
        <v>1.8455002547199315E-2</v>
      </c>
      <c r="AL33" s="174">
        <f t="shared" si="3"/>
        <v>-5.9190906282592937E-3</v>
      </c>
      <c r="AM33" s="174">
        <f t="shared" si="4"/>
        <v>5.6744682025271079E-4</v>
      </c>
      <c r="AN33" s="174">
        <f t="shared" si="5"/>
        <v>0.34201664748528843</v>
      </c>
      <c r="AO33" s="174">
        <f t="shared" si="6"/>
        <v>0.13378819580148499</v>
      </c>
      <c r="AP33" s="175">
        <f t="shared" si="7"/>
        <v>-2.3137506433028546E-2</v>
      </c>
      <c r="AQ33" s="172"/>
      <c r="AR33" s="196">
        <f t="shared" si="23"/>
        <v>0.91053801314264271</v>
      </c>
      <c r="AS33" s="197">
        <f t="shared" si="26"/>
        <v>-0.60332779509447598</v>
      </c>
      <c r="AT33" s="198">
        <f t="shared" si="24"/>
        <v>-0.15083083216374057</v>
      </c>
    </row>
    <row r="34" spans="1:46" x14ac:dyDescent="0.3">
      <c r="A34" s="33" t="s">
        <v>62</v>
      </c>
      <c r="B34" s="121">
        <f>VLOOKUP($A34,Costdrivere!$A$3:$I$50,2,FALSE)</f>
        <v>2807024</v>
      </c>
      <c r="C34" s="51">
        <f>VLOOKUP($A34,Costdrivere!$A$3:$I$50,3,FALSE)</f>
        <v>5983830</v>
      </c>
      <c r="D34" s="51">
        <f>VLOOKUP($A34,Costdrivere!$A$3:$I$50,4,FALSE)</f>
        <v>54092</v>
      </c>
      <c r="E34" s="51">
        <f>VLOOKUP($A34,Costdrivere!$A$3:$I$50,5,FALSE)</f>
        <v>0</v>
      </c>
      <c r="F34" s="51">
        <f>VLOOKUP($A34,Costdrivere!$A$3:$I$50,6,FALSE)</f>
        <v>11820557.490590803</v>
      </c>
      <c r="G34" s="51">
        <f>VLOOKUP($A34,Costdrivere!$A$3:$I$50,7,FALSE)</f>
        <v>2027267.9</v>
      </c>
      <c r="H34" s="51">
        <f>VLOOKUP($A34,Costdrivere!$A$3:$I$50,8,FALSE)</f>
        <v>0</v>
      </c>
      <c r="I34" s="43">
        <f>VLOOKUP($A34,Costdrivere!$A$3:$I$50,9,FALSE)</f>
        <v>993217.6</v>
      </c>
      <c r="J34" s="39">
        <v>33.398521891398815</v>
      </c>
      <c r="K34" s="39">
        <f>VLOOKUP(A34,Costdrivere!$A$3:$J$50,10,FALSE)</f>
        <v>1.2533536585365854E-2</v>
      </c>
      <c r="L34" s="96">
        <f t="shared" ref="L34:L50" si="30">SUM(B34:I34)</f>
        <v>23685988.990590803</v>
      </c>
      <c r="M34" s="51">
        <f t="shared" ref="M34:M50" si="31">(0.527+0.016*J34)*L34</f>
        <v>25139748.547188204</v>
      </c>
      <c r="N34" s="83">
        <f t="shared" ref="N34:N50" si="32">(0.719+19.567*K34)*L34</f>
        <v>22839065.907972038</v>
      </c>
      <c r="O34" s="96">
        <f>L34+'Potentialer og krav'!$F33</f>
        <v>23685988.990590803</v>
      </c>
      <c r="P34" s="51">
        <f t="shared" si="10"/>
        <v>25139748.547188204</v>
      </c>
      <c r="Q34" s="83">
        <f t="shared" si="11"/>
        <v>22839065.907972038</v>
      </c>
      <c r="R34" s="96">
        <f>O34+(0.2*'Potentialer og krav'!$C33)</f>
        <v>27956909.190590803</v>
      </c>
      <c r="S34" s="83">
        <f>P34+(0.2*'Potentialer og krav'!$C33)</f>
        <v>29410668.747188203</v>
      </c>
      <c r="T34" s="43">
        <f>Q34+(0.2*'Potentialer og krav'!$C33)</f>
        <v>27109986.107972037</v>
      </c>
      <c r="U34" s="96">
        <v>19742193</v>
      </c>
      <c r="V34" s="68">
        <f t="shared" si="12"/>
        <v>20196263.438999999</v>
      </c>
      <c r="X34" s="173">
        <f t="shared" si="13"/>
        <v>0.11850989211871554</v>
      </c>
      <c r="Y34" s="174">
        <f t="shared" si="14"/>
        <v>0.252631629710588</v>
      </c>
      <c r="Z34" s="174">
        <f t="shared" si="15"/>
        <v>2.2837129588081759E-3</v>
      </c>
      <c r="AA34" s="174">
        <f t="shared" si="16"/>
        <v>0</v>
      </c>
      <c r="AB34" s="174">
        <f t="shared" si="17"/>
        <v>0.49905273093247188</v>
      </c>
      <c r="AC34" s="174">
        <f t="shared" si="18"/>
        <v>8.558932881398057E-2</v>
      </c>
      <c r="AD34" s="174">
        <f t="shared" si="19"/>
        <v>0</v>
      </c>
      <c r="AE34" s="175">
        <f t="shared" si="20"/>
        <v>4.1932705465435836E-2</v>
      </c>
      <c r="AF34" s="176"/>
      <c r="AG34" s="194">
        <f t="shared" si="21"/>
        <v>0.16272631054295955</v>
      </c>
      <c r="AI34" s="173">
        <f t="shared" si="22"/>
        <v>9.7736465704698822E-2</v>
      </c>
      <c r="AJ34" s="174">
        <f t="shared" si="1"/>
        <v>-5.1122101769491474E-2</v>
      </c>
      <c r="AK34" s="174">
        <f t="shared" si="2"/>
        <v>1.8028095019140732E-2</v>
      </c>
      <c r="AL34" s="174">
        <f t="shared" si="3"/>
        <v>1.4907963903710585E-2</v>
      </c>
      <c r="AM34" s="174">
        <f t="shared" si="4"/>
        <v>-0.49848528411221915</v>
      </c>
      <c r="AN34" s="174">
        <f t="shared" si="5"/>
        <v>0.25642731867130786</v>
      </c>
      <c r="AO34" s="174">
        <f t="shared" si="6"/>
        <v>0.13378819580148499</v>
      </c>
      <c r="AP34" s="175">
        <f t="shared" si="7"/>
        <v>2.8719346781367595E-2</v>
      </c>
      <c r="AQ34" s="172"/>
      <c r="AR34" s="196">
        <f t="shared" si="23"/>
        <v>0.16272631054295955</v>
      </c>
      <c r="AS34" s="197">
        <f t="shared" si="26"/>
        <v>0.14448390750520712</v>
      </c>
      <c r="AT34" s="198">
        <f t="shared" si="24"/>
        <v>0</v>
      </c>
    </row>
    <row r="35" spans="1:46" x14ac:dyDescent="0.3">
      <c r="A35" s="33" t="s">
        <v>64</v>
      </c>
      <c r="B35" s="121">
        <f>VLOOKUP($A35,Costdrivere!$A$3:$I$50,2,FALSE)</f>
        <v>2647845.1999999997</v>
      </c>
      <c r="C35" s="51">
        <f>VLOOKUP($A35,Costdrivere!$A$3:$I$50,3,FALSE)</f>
        <v>8410342</v>
      </c>
      <c r="D35" s="51">
        <f>VLOOKUP($A35,Costdrivere!$A$3:$I$50,4,FALSE)</f>
        <v>297506</v>
      </c>
      <c r="E35" s="51">
        <f>VLOOKUP($A35,Costdrivere!$A$3:$I$50,5,FALSE)</f>
        <v>130915.68</v>
      </c>
      <c r="F35" s="51">
        <f>VLOOKUP($A35,Costdrivere!$A$3:$I$50,6,FALSE)</f>
        <v>11966852.868458295</v>
      </c>
      <c r="G35" s="51">
        <f>VLOOKUP($A35,Costdrivere!$A$3:$I$50,7,FALSE)</f>
        <v>3323390</v>
      </c>
      <c r="H35" s="51">
        <f>VLOOKUP($A35,Costdrivere!$A$3:$I$50,8,FALSE)</f>
        <v>63500</v>
      </c>
      <c r="I35" s="43">
        <f>VLOOKUP($A35,Costdrivere!$A$3:$I$50,9,FALSE)</f>
        <v>1452861.5999999999</v>
      </c>
      <c r="J35" s="39">
        <v>37.522817663563401</v>
      </c>
      <c r="K35" s="39">
        <f>VLOOKUP(A35,Costdrivere!$A$3:$J$50,10,FALSE)</f>
        <v>1.943600517129929E-2</v>
      </c>
      <c r="L35" s="96">
        <f t="shared" si="30"/>
        <v>28293213.348458298</v>
      </c>
      <c r="M35" s="51">
        <f t="shared" si="31"/>
        <v>31896780.804085508</v>
      </c>
      <c r="N35" s="83">
        <f t="shared" si="32"/>
        <v>31102851.467874926</v>
      </c>
      <c r="O35" s="96">
        <f>L35+'Potentialer og krav'!$F34</f>
        <v>28293213.348458298</v>
      </c>
      <c r="P35" s="51">
        <f t="shared" ref="P35:P50" si="33">(0.527+0.016*J35)*O35</f>
        <v>31896780.804085508</v>
      </c>
      <c r="Q35" s="83">
        <f t="shared" ref="Q35:Q50" si="34">(0.719+19.567*K35)*O35</f>
        <v>31102851.467874926</v>
      </c>
      <c r="R35" s="96">
        <f>O35+(0.2*'Potentialer og krav'!$C34)</f>
        <v>33478121.980190378</v>
      </c>
      <c r="S35" s="83">
        <f>P35+(0.2*'Potentialer og krav'!$C34)</f>
        <v>37081689.435817592</v>
      </c>
      <c r="T35" s="43">
        <f>Q35+(0.2*'Potentialer og krav'!$C34)</f>
        <v>36287760.099607006</v>
      </c>
      <c r="U35" s="96">
        <v>19114339</v>
      </c>
      <c r="V35" s="68">
        <f t="shared" si="12"/>
        <v>19553968.796999998</v>
      </c>
      <c r="X35" s="173">
        <f t="shared" si="13"/>
        <v>9.3585877552656321E-2</v>
      </c>
      <c r="Y35" s="174">
        <f t="shared" si="14"/>
        <v>0.29725651506665224</v>
      </c>
      <c r="Z35" s="174">
        <f t="shared" si="15"/>
        <v>1.0515101142310199E-2</v>
      </c>
      <c r="AA35" s="174">
        <f t="shared" si="16"/>
        <v>4.6271053905276409E-3</v>
      </c>
      <c r="AB35" s="174">
        <f t="shared" si="17"/>
        <v>0.42295842190404193</v>
      </c>
      <c r="AC35" s="174">
        <f t="shared" si="18"/>
        <v>0.11746244440563314</v>
      </c>
      <c r="AD35" s="174">
        <f t="shared" si="19"/>
        <v>2.2443544753272121E-3</v>
      </c>
      <c r="AE35" s="175">
        <f t="shared" si="20"/>
        <v>5.135018006285124E-2</v>
      </c>
      <c r="AF35" s="176"/>
      <c r="AG35" s="194">
        <f t="shared" ref="AG35:AG49" si="35">X35+Z35+AE35</f>
        <v>0.15545115875781776</v>
      </c>
      <c r="AI35" s="173">
        <f t="shared" si="22"/>
        <v>0.12266048027075804</v>
      </c>
      <c r="AJ35" s="174">
        <f t="shared" si="1"/>
        <v>-9.574698712555571E-2</v>
      </c>
      <c r="AK35" s="174">
        <f t="shared" si="2"/>
        <v>9.796706835638708E-3</v>
      </c>
      <c r="AL35" s="174">
        <f t="shared" si="3"/>
        <v>1.0280858513182944E-2</v>
      </c>
      <c r="AM35" s="174">
        <f t="shared" si="4"/>
        <v>-0.4223909750837892</v>
      </c>
      <c r="AN35" s="174">
        <f t="shared" si="5"/>
        <v>0.22455420307965529</v>
      </c>
      <c r="AO35" s="174">
        <f t="shared" si="6"/>
        <v>0.13154384132615776</v>
      </c>
      <c r="AP35" s="175">
        <f t="shared" si="7"/>
        <v>1.9301872183952191E-2</v>
      </c>
      <c r="AQ35" s="172"/>
      <c r="AR35" s="196">
        <f t="shared" ref="AR35:AR50" si="36">X35+Z35+AE35</f>
        <v>0.15545115875781776</v>
      </c>
      <c r="AS35" s="197">
        <f t="shared" si="26"/>
        <v>0.15175905929034891</v>
      </c>
      <c r="AT35" s="198">
        <f t="shared" si="24"/>
        <v>0</v>
      </c>
    </row>
    <row r="36" spans="1:46" x14ac:dyDescent="0.3">
      <c r="A36" s="33" t="s">
        <v>71</v>
      </c>
      <c r="B36" s="121">
        <f>VLOOKUP($A36,Costdrivere!$A$3:$I$50,2,FALSE)</f>
        <v>11680745</v>
      </c>
      <c r="C36" s="51">
        <f>VLOOKUP($A36,Costdrivere!$A$3:$I$50,3,FALSE)</f>
        <v>8999830</v>
      </c>
      <c r="D36" s="51">
        <f>VLOOKUP($A36,Costdrivere!$A$3:$I$50,4,FALSE)</f>
        <v>1257639</v>
      </c>
      <c r="E36" s="51">
        <f>VLOOKUP($A36,Costdrivere!$A$3:$I$50,5,FALSE)</f>
        <v>1310657.0399999998</v>
      </c>
      <c r="F36" s="51">
        <f>VLOOKUP($A36,Costdrivere!$A$3:$I$50,6,FALSE)</f>
        <v>14686227.111452829</v>
      </c>
      <c r="G36" s="51">
        <f>VLOOKUP($A36,Costdrivere!$A$3:$I$50,7,FALSE)</f>
        <v>3263524.2</v>
      </c>
      <c r="H36" s="51">
        <f>VLOOKUP($A36,Costdrivere!$A$3:$I$50,8,FALSE)</f>
        <v>20320</v>
      </c>
      <c r="I36" s="43">
        <f>VLOOKUP($A36,Costdrivere!$A$3:$I$50,9,FALSE)</f>
        <v>24606</v>
      </c>
      <c r="J36" s="39">
        <v>34.009781459629323</v>
      </c>
      <c r="K36" s="39">
        <f>VLOOKUP(A36,Costdrivere!$A$3:$J$50,10,FALSE)</f>
        <v>1.9515488482922956E-2</v>
      </c>
      <c r="L36" s="96">
        <f t="shared" si="30"/>
        <v>41243548.351452827</v>
      </c>
      <c r="M36" s="51">
        <f t="shared" si="31"/>
        <v>44178295.038056701</v>
      </c>
      <c r="N36" s="83">
        <f t="shared" si="32"/>
        <v>45403354.620744623</v>
      </c>
      <c r="O36" s="96">
        <f>L36+'Potentialer og krav'!$F35</f>
        <v>41243548.351452827</v>
      </c>
      <c r="P36" s="51">
        <f t="shared" si="33"/>
        <v>44178295.038056701</v>
      </c>
      <c r="Q36" s="83">
        <f t="shared" si="34"/>
        <v>45403354.620744623</v>
      </c>
      <c r="R36" s="96">
        <f>O36+(0.2*'Potentialer og krav'!$C35)</f>
        <v>51575963.554853484</v>
      </c>
      <c r="S36" s="83">
        <f>P36+(0.2*'Potentialer og krav'!$C35)</f>
        <v>54510710.241457358</v>
      </c>
      <c r="T36" s="43">
        <f>Q36+(0.2*'Potentialer og krav'!$C35)</f>
        <v>55735769.824145272</v>
      </c>
      <c r="U36" s="96">
        <v>48369576</v>
      </c>
      <c r="V36" s="68">
        <f t="shared" si="12"/>
        <v>49482076.247999996</v>
      </c>
      <c r="X36" s="173">
        <f t="shared" si="13"/>
        <v>0.28321387142696075</v>
      </c>
      <c r="Y36" s="174">
        <f t="shared" si="14"/>
        <v>0.21821182608510881</v>
      </c>
      <c r="Z36" s="174">
        <f t="shared" si="15"/>
        <v>3.0492987394856362E-2</v>
      </c>
      <c r="AA36" s="174">
        <f t="shared" si="16"/>
        <v>3.1778474267814327E-2</v>
      </c>
      <c r="AB36" s="174">
        <f t="shared" si="17"/>
        <v>0.35608544120175095</v>
      </c>
      <c r="AC36" s="174">
        <f t="shared" si="18"/>
        <v>7.9128114103815719E-2</v>
      </c>
      <c r="AD36" s="174">
        <f t="shared" si="19"/>
        <v>4.9268311801994153E-4</v>
      </c>
      <c r="AE36" s="175">
        <f t="shared" si="20"/>
        <v>5.9660240167316349E-4</v>
      </c>
      <c r="AF36" s="176"/>
      <c r="AG36" s="194">
        <f t="shared" si="35"/>
        <v>0.31430346122349023</v>
      </c>
      <c r="AI36" s="173">
        <f t="shared" si="22"/>
        <v>-6.6967513603546386E-2</v>
      </c>
      <c r="AJ36" s="174">
        <f t="shared" si="1"/>
        <v>-1.6702298144012279E-2</v>
      </c>
      <c r="AK36" s="174">
        <f t="shared" si="2"/>
        <v>-1.0181179416907455E-2</v>
      </c>
      <c r="AL36" s="174">
        <f t="shared" si="3"/>
        <v>-1.6870510364103742E-2</v>
      </c>
      <c r="AM36" s="174">
        <f t="shared" si="4"/>
        <v>-0.35551799438149823</v>
      </c>
      <c r="AN36" s="174">
        <f t="shared" si="5"/>
        <v>0.26288853338147272</v>
      </c>
      <c r="AO36" s="174">
        <f t="shared" si="6"/>
        <v>0.13329551268346504</v>
      </c>
      <c r="AP36" s="175">
        <f t="shared" si="7"/>
        <v>7.0055449845130263E-2</v>
      </c>
      <c r="AQ36" s="172"/>
      <c r="AR36" s="196">
        <f t="shared" si="36"/>
        <v>0.31430346122349023</v>
      </c>
      <c r="AS36" s="197">
        <f t="shared" si="26"/>
        <v>-7.0932431753235603E-3</v>
      </c>
      <c r="AT36" s="198">
        <f t="shared" si="24"/>
        <v>0</v>
      </c>
    </row>
    <row r="37" spans="1:46" x14ac:dyDescent="0.3">
      <c r="A37" s="33" t="s">
        <v>65</v>
      </c>
      <c r="B37" s="121">
        <f>VLOOKUP($A37,Costdrivere!$A$3:$I$50,2,FALSE)</f>
        <v>2959277</v>
      </c>
      <c r="C37" s="51">
        <f>VLOOKUP($A37,Costdrivere!$A$3:$I$50,3,FALSE)</f>
        <v>1246689</v>
      </c>
      <c r="D37" s="51">
        <f>VLOOKUP($A37,Costdrivere!$A$3:$I$50,4,FALSE)</f>
        <v>459782</v>
      </c>
      <c r="E37" s="51">
        <f>VLOOKUP($A37,Costdrivere!$A$3:$I$50,5,FALSE)</f>
        <v>42796.32</v>
      </c>
      <c r="F37" s="51">
        <f>VLOOKUP($A37,Costdrivere!$A$3:$I$50,6,FALSE)</f>
        <v>5060173.9758831169</v>
      </c>
      <c r="G37" s="51">
        <f>VLOOKUP($A37,Costdrivere!$A$3:$I$50,7,FALSE)</f>
        <v>1911322.8</v>
      </c>
      <c r="H37" s="51">
        <f>VLOOKUP($A37,Costdrivere!$A$3:$I$50,8,FALSE)</f>
        <v>55880</v>
      </c>
      <c r="I37" s="43">
        <f>VLOOKUP($A37,Costdrivere!$A$3:$I$50,9,FALSE)</f>
        <v>934508.79999999993</v>
      </c>
      <c r="J37" s="39">
        <v>30.027088697766388</v>
      </c>
      <c r="K37" s="39">
        <f>VLOOKUP(A37,Costdrivere!$A$3:$J$50,10,FALSE)</f>
        <v>1.7581818181818181E-2</v>
      </c>
      <c r="L37" s="96">
        <f t="shared" si="30"/>
        <v>12670429.895883119</v>
      </c>
      <c r="M37" s="51">
        <f t="shared" si="31"/>
        <v>12764614.512290617</v>
      </c>
      <c r="N37" s="83">
        <f t="shared" si="32"/>
        <v>13468963.928126225</v>
      </c>
      <c r="O37" s="96">
        <f>L37+'Potentialer og krav'!$F36</f>
        <v>12670429.895883119</v>
      </c>
      <c r="P37" s="51">
        <f t="shared" si="33"/>
        <v>12764614.512290617</v>
      </c>
      <c r="Q37" s="83">
        <f t="shared" si="34"/>
        <v>13468963.928126225</v>
      </c>
      <c r="R37" s="96">
        <f>O37+(0.2*'Potentialer og krav'!$C36)</f>
        <v>15230484.078883022</v>
      </c>
      <c r="S37" s="83">
        <f>P37+(0.2*'Potentialer og krav'!$C36)</f>
        <v>15324668.695290521</v>
      </c>
      <c r="T37" s="43">
        <f>Q37+(0.2*'Potentialer og krav'!$C36)</f>
        <v>16029018.111126129</v>
      </c>
      <c r="U37" s="96">
        <v>12459511</v>
      </c>
      <c r="V37" s="68">
        <f t="shared" si="12"/>
        <v>12746079.752999999</v>
      </c>
      <c r="X37" s="173">
        <f t="shared" si="13"/>
        <v>0.23355774226425652</v>
      </c>
      <c r="Y37" s="174">
        <f t="shared" si="14"/>
        <v>9.8393583346771424E-2</v>
      </c>
      <c r="Z37" s="174">
        <f t="shared" si="15"/>
        <v>3.6287797949885861E-2</v>
      </c>
      <c r="AA37" s="174">
        <f t="shared" si="16"/>
        <v>3.3776533512809535E-3</v>
      </c>
      <c r="AB37" s="174">
        <f t="shared" si="17"/>
        <v>0.39936876786850545</v>
      </c>
      <c r="AC37" s="174">
        <f t="shared" si="18"/>
        <v>0.15084908844498068</v>
      </c>
      <c r="AD37" s="174">
        <f t="shared" si="19"/>
        <v>4.4102686695860691E-3</v>
      </c>
      <c r="AE37" s="175">
        <f t="shared" si="20"/>
        <v>7.3755098104732894E-2</v>
      </c>
      <c r="AF37" s="176"/>
      <c r="AG37" s="194">
        <f t="shared" si="35"/>
        <v>0.34360063831887527</v>
      </c>
      <c r="AI37" s="173">
        <f t="shared" si="22"/>
        <v>-1.7311384440842154E-2</v>
      </c>
      <c r="AJ37" s="174">
        <f t="shared" si="1"/>
        <v>0.1031159445943251</v>
      </c>
      <c r="AK37" s="174">
        <f t="shared" si="2"/>
        <v>-1.5975989971936954E-2</v>
      </c>
      <c r="AL37" s="174">
        <f t="shared" si="3"/>
        <v>1.1530310552429632E-2</v>
      </c>
      <c r="AM37" s="174">
        <f t="shared" si="4"/>
        <v>-0.39880132104825272</v>
      </c>
      <c r="AN37" s="174">
        <f t="shared" si="5"/>
        <v>0.19116755904030774</v>
      </c>
      <c r="AO37" s="174">
        <f t="shared" si="6"/>
        <v>0.12937792713189891</v>
      </c>
      <c r="AP37" s="175">
        <f t="shared" si="7"/>
        <v>-3.1030458579294623E-3</v>
      </c>
      <c r="AQ37" s="172"/>
      <c r="AR37" s="196">
        <f t="shared" si="36"/>
        <v>0.34360063831887527</v>
      </c>
      <c r="AS37" s="197">
        <f t="shared" si="26"/>
        <v>-3.6390420270708601E-2</v>
      </c>
      <c r="AT37" s="198">
        <f t="shared" si="24"/>
        <v>0</v>
      </c>
    </row>
    <row r="38" spans="1:46" x14ac:dyDescent="0.3">
      <c r="A38" s="33" t="s">
        <v>73</v>
      </c>
      <c r="B38" s="121">
        <f>VLOOKUP($A38,Costdrivere!$A$3:$I$50,2,FALSE)</f>
        <v>2237917</v>
      </c>
      <c r="C38" s="51">
        <f>VLOOKUP($A38,Costdrivere!$A$3:$I$50,3,FALSE)</f>
        <v>2599333</v>
      </c>
      <c r="D38" s="51">
        <f>VLOOKUP($A38,Costdrivere!$A$3:$I$50,4,FALSE)</f>
        <v>27046</v>
      </c>
      <c r="E38" s="51">
        <f>VLOOKUP($A38,Costdrivere!$A$3:$I$50,5,FALSE)</f>
        <v>483175.98</v>
      </c>
      <c r="F38" s="51">
        <f>VLOOKUP($A38,Costdrivere!$A$3:$I$50,6,FALSE)</f>
        <v>6801884.8405570127</v>
      </c>
      <c r="G38" s="51">
        <f>VLOOKUP($A38,Costdrivere!$A$3:$I$50,7,FALSE)</f>
        <v>4084660.7</v>
      </c>
      <c r="H38" s="51">
        <f>VLOOKUP($A38,Costdrivere!$A$3:$I$50,8,FALSE)</f>
        <v>0</v>
      </c>
      <c r="I38" s="43">
        <f>VLOOKUP($A38,Costdrivere!$A$3:$I$50,9,FALSE)</f>
        <v>1791464</v>
      </c>
      <c r="J38" s="39">
        <v>54.488395639933088</v>
      </c>
      <c r="K38" s="39">
        <f>VLOOKUP(A38,Costdrivere!$A$3:$J$50,10,FALSE)</f>
        <v>2.8355640535372848E-2</v>
      </c>
      <c r="L38" s="96">
        <f t="shared" si="30"/>
        <v>18025481.520557012</v>
      </c>
      <c r="M38" s="51">
        <f t="shared" si="31"/>
        <v>25214301.860412154</v>
      </c>
      <c r="N38" s="83">
        <f t="shared" si="32"/>
        <v>22961485.978511695</v>
      </c>
      <c r="O38" s="96">
        <f>L38+'Potentialer og krav'!$F37</f>
        <v>18025481.520557012</v>
      </c>
      <c r="P38" s="51">
        <f t="shared" si="33"/>
        <v>25214301.860412154</v>
      </c>
      <c r="Q38" s="83">
        <f t="shared" si="34"/>
        <v>22961485.978511695</v>
      </c>
      <c r="R38" s="96">
        <f>O38+(0.2*'Potentialer og krav'!$C37)</f>
        <v>23053159.816858307</v>
      </c>
      <c r="S38" s="83">
        <f>P38+(0.2*'Potentialer og krav'!$C37)</f>
        <v>30241980.156713448</v>
      </c>
      <c r="T38" s="43">
        <f>Q38+(0.2*'Potentialer og krav'!$C37)</f>
        <v>27989164.274812989</v>
      </c>
      <c r="U38" s="96">
        <v>25252726</v>
      </c>
      <c r="V38" s="68">
        <f t="shared" si="12"/>
        <v>25833538.697999999</v>
      </c>
      <c r="X38" s="173">
        <f t="shared" si="13"/>
        <v>0.12415296631314875</v>
      </c>
      <c r="Y38" s="174">
        <f t="shared" si="14"/>
        <v>0.14420324899701636</v>
      </c>
      <c r="Z38" s="174">
        <f t="shared" si="15"/>
        <v>1.500431484682149E-3</v>
      </c>
      <c r="AA38" s="174">
        <f t="shared" si="16"/>
        <v>2.680516353746034E-2</v>
      </c>
      <c r="AB38" s="174">
        <f t="shared" si="17"/>
        <v>0.3773483017804467</v>
      </c>
      <c r="AC38" s="174">
        <f t="shared" si="18"/>
        <v>0.22660480361324509</v>
      </c>
      <c r="AD38" s="174">
        <f t="shared" si="19"/>
        <v>0</v>
      </c>
      <c r="AE38" s="175">
        <f t="shared" si="20"/>
        <v>9.938508427400064E-2</v>
      </c>
      <c r="AF38" s="176"/>
      <c r="AG38" s="194">
        <f t="shared" si="35"/>
        <v>0.22503848207183152</v>
      </c>
      <c r="AI38" s="173">
        <f t="shared" si="22"/>
        <v>9.2093391510265618E-2</v>
      </c>
      <c r="AJ38" s="174">
        <f t="shared" si="1"/>
        <v>5.7306278944080163E-2</v>
      </c>
      <c r="AK38" s="174">
        <f t="shared" si="2"/>
        <v>1.8811376493266758E-2</v>
      </c>
      <c r="AL38" s="174">
        <f t="shared" si="3"/>
        <v>-1.1897199633749755E-2</v>
      </c>
      <c r="AM38" s="174">
        <f t="shared" si="4"/>
        <v>-0.37678085496019398</v>
      </c>
      <c r="AN38" s="174">
        <f t="shared" si="5"/>
        <v>0.11541184387204334</v>
      </c>
      <c r="AO38" s="174">
        <f t="shared" si="6"/>
        <v>0.13378819580148499</v>
      </c>
      <c r="AP38" s="175">
        <f t="shared" si="7"/>
        <v>-2.8733032027197208E-2</v>
      </c>
      <c r="AQ38" s="172"/>
      <c r="AR38" s="196">
        <f t="shared" si="36"/>
        <v>0.22503848207183152</v>
      </c>
      <c r="AS38" s="197">
        <f t="shared" si="26"/>
        <v>8.2171735976335147E-2</v>
      </c>
      <c r="AT38" s="198">
        <f t="shared" si="24"/>
        <v>0</v>
      </c>
    </row>
    <row r="39" spans="1:46" x14ac:dyDescent="0.3">
      <c r="A39" s="33" t="s">
        <v>66</v>
      </c>
      <c r="B39" s="121">
        <f>VLOOKUP($A39,Costdrivere!$A$3:$I$50,2,FALSE)</f>
        <v>783887.12599999993</v>
      </c>
      <c r="C39" s="51">
        <f>VLOOKUP($A39,Costdrivere!$A$3:$I$50,3,FALSE)</f>
        <v>1630026</v>
      </c>
      <c r="D39" s="51">
        <f>VLOOKUP($A39,Costdrivere!$A$3:$I$50,4,FALSE)</f>
        <v>0</v>
      </c>
      <c r="E39" s="51">
        <f>VLOOKUP($A39,Costdrivere!$A$3:$I$50,5,FALSE)</f>
        <v>99232.98</v>
      </c>
      <c r="F39" s="51">
        <f>VLOOKUP($A39,Costdrivere!$A$3:$I$50,6,FALSE)</f>
        <v>1766839.9039683237</v>
      </c>
      <c r="G39" s="51">
        <f>VLOOKUP($A39,Costdrivere!$A$3:$I$50,7,FALSE)</f>
        <v>237385</v>
      </c>
      <c r="H39" s="51">
        <f>VLOOKUP($A39,Costdrivere!$A$3:$I$50,8,FALSE)</f>
        <v>0</v>
      </c>
      <c r="I39" s="43">
        <f>VLOOKUP($A39,Costdrivere!$A$3:$I$50,9,FALSE)</f>
        <v>274578.39999999997</v>
      </c>
      <c r="J39" s="39">
        <v>26.93168564460769</v>
      </c>
      <c r="K39" s="39">
        <f>VLOOKUP(A39,Costdrivere!$A$3:$J$50,10,FALSE)</f>
        <v>1.2407611603000098E-2</v>
      </c>
      <c r="L39" s="96">
        <f t="shared" si="30"/>
        <v>4791949.409968324</v>
      </c>
      <c r="M39" s="51">
        <f t="shared" si="31"/>
        <v>4590241.74119939</v>
      </c>
      <c r="N39" s="83">
        <f t="shared" si="32"/>
        <v>4608799.8395751249</v>
      </c>
      <c r="O39" s="96">
        <f>L39+'Potentialer og krav'!$F38</f>
        <v>4791949.409968324</v>
      </c>
      <c r="P39" s="51">
        <f t="shared" si="33"/>
        <v>4590241.74119939</v>
      </c>
      <c r="Q39" s="83">
        <f t="shared" si="34"/>
        <v>4608799.8395751249</v>
      </c>
      <c r="R39" s="96">
        <f>O39+(0.2*'Potentialer og krav'!$C38)</f>
        <v>5815217.8176571233</v>
      </c>
      <c r="S39" s="83">
        <f>P39+(0.2*'Potentialer og krav'!$C38)</f>
        <v>5613510.1488881893</v>
      </c>
      <c r="T39" s="43">
        <f>Q39+(0.2*'Potentialer og krav'!$C38)</f>
        <v>5632068.2472639242</v>
      </c>
      <c r="U39" s="96">
        <v>4892014</v>
      </c>
      <c r="V39" s="68">
        <f t="shared" si="12"/>
        <v>5004530.3219999997</v>
      </c>
      <c r="X39" s="173">
        <f t="shared" si="13"/>
        <v>0.16358418233075245</v>
      </c>
      <c r="Y39" s="174">
        <f t="shared" si="14"/>
        <v>0.34015926725127404</v>
      </c>
      <c r="Z39" s="174">
        <f t="shared" si="15"/>
        <v>0</v>
      </c>
      <c r="AA39" s="174">
        <f t="shared" si="16"/>
        <v>2.0708269539234544E-2</v>
      </c>
      <c r="AB39" s="174">
        <f t="shared" si="17"/>
        <v>0.36871004946189589</v>
      </c>
      <c r="AC39" s="174">
        <f t="shared" si="18"/>
        <v>4.9538294270424943E-2</v>
      </c>
      <c r="AD39" s="174">
        <f t="shared" si="19"/>
        <v>0</v>
      </c>
      <c r="AE39" s="175">
        <f t="shared" si="20"/>
        <v>5.729993714641804E-2</v>
      </c>
      <c r="AF39" s="176"/>
      <c r="AG39" s="194">
        <f t="shared" si="35"/>
        <v>0.22088411947717049</v>
      </c>
      <c r="AI39" s="173">
        <f t="shared" si="22"/>
        <v>5.2662175492661917E-2</v>
      </c>
      <c r="AJ39" s="174">
        <f t="shared" si="1"/>
        <v>-0.13864973931017752</v>
      </c>
      <c r="AK39" s="174">
        <f t="shared" si="2"/>
        <v>2.0311807977948907E-2</v>
      </c>
      <c r="AL39" s="174">
        <f t="shared" si="3"/>
        <v>-5.8003056355239585E-3</v>
      </c>
      <c r="AM39" s="174">
        <f t="shared" si="4"/>
        <v>-0.36814260264164317</v>
      </c>
      <c r="AN39" s="174">
        <f t="shared" si="5"/>
        <v>0.29247835321486348</v>
      </c>
      <c r="AO39" s="174">
        <f t="shared" si="6"/>
        <v>0.13378819580148499</v>
      </c>
      <c r="AP39" s="175">
        <f t="shared" si="7"/>
        <v>1.3352115100385392E-2</v>
      </c>
      <c r="AQ39" s="172"/>
      <c r="AR39" s="196">
        <f t="shared" si="36"/>
        <v>0.22088411947717049</v>
      </c>
      <c r="AS39" s="197">
        <f t="shared" si="26"/>
        <v>8.6326098570996185E-2</v>
      </c>
      <c r="AT39" s="198">
        <f t="shared" si="24"/>
        <v>0</v>
      </c>
    </row>
    <row r="40" spans="1:46" x14ac:dyDescent="0.3">
      <c r="A40" s="33" t="s">
        <v>74</v>
      </c>
      <c r="B40" s="121">
        <f>VLOOKUP($A40,Costdrivere!$A$3:$I$50,2,FALSE)</f>
        <v>12595716</v>
      </c>
      <c r="C40" s="51">
        <f>VLOOKUP($A40,Costdrivere!$A$3:$I$50,3,FALSE)</f>
        <v>4812983</v>
      </c>
      <c r="D40" s="51">
        <f>VLOOKUP($A40,Costdrivere!$A$3:$I$50,4,FALSE)</f>
        <v>1703898</v>
      </c>
      <c r="E40" s="51">
        <f>VLOOKUP($A40,Costdrivere!$A$3:$I$50,5,FALSE)</f>
        <v>177581.03999999998</v>
      </c>
      <c r="F40" s="51">
        <f>VLOOKUP($A40,Costdrivere!$A$3:$I$50,6,FALSE)</f>
        <v>22552686.247994442</v>
      </c>
      <c r="G40" s="51">
        <f>VLOOKUP($A40,Costdrivere!$A$3:$I$50,7,FALSE)</f>
        <v>5833670.1000000006</v>
      </c>
      <c r="H40" s="51">
        <f>VLOOKUP($A40,Costdrivere!$A$3:$I$50,8,FALSE)</f>
        <v>17780</v>
      </c>
      <c r="I40" s="43">
        <f>VLOOKUP($A40,Costdrivere!$A$3:$I$50,9,FALSE)</f>
        <v>3203012</v>
      </c>
      <c r="J40" s="39">
        <v>31.524586980297535</v>
      </c>
      <c r="K40" s="39">
        <f>VLOOKUP(A40,Costdrivere!$A$3:$J$50,10,FALSE)</f>
        <v>1.6098967820279295E-2</v>
      </c>
      <c r="L40" s="96">
        <f t="shared" si="30"/>
        <v>50897326.387994446</v>
      </c>
      <c r="M40" s="51">
        <f t="shared" si="31"/>
        <v>52495166.090999857</v>
      </c>
      <c r="N40" s="83">
        <f t="shared" si="32"/>
        <v>52628268.282427333</v>
      </c>
      <c r="O40" s="96">
        <f>L40+'Potentialer og krav'!$F39</f>
        <v>50897326.387994446</v>
      </c>
      <c r="P40" s="51">
        <f t="shared" si="33"/>
        <v>52495166.090999857</v>
      </c>
      <c r="Q40" s="83">
        <f t="shared" si="34"/>
        <v>52628268.282427333</v>
      </c>
      <c r="R40" s="96">
        <f>O40+(0.2*'Potentialer og krav'!$C39)</f>
        <v>59907752.004781947</v>
      </c>
      <c r="S40" s="83">
        <f>P40+(0.2*'Potentialer og krav'!$C39)</f>
        <v>61505591.707787357</v>
      </c>
      <c r="T40" s="43">
        <f>Q40+(0.2*'Potentialer og krav'!$C39)</f>
        <v>61638693.899214834</v>
      </c>
      <c r="U40" s="96">
        <v>41269000</v>
      </c>
      <c r="V40" s="68">
        <f t="shared" si="12"/>
        <v>42218186.999999993</v>
      </c>
      <c r="X40" s="173">
        <f t="shared" si="13"/>
        <v>0.24747303824923603</v>
      </c>
      <c r="Y40" s="174">
        <f t="shared" si="14"/>
        <v>9.4562589856100498E-2</v>
      </c>
      <c r="Z40" s="174">
        <f t="shared" si="15"/>
        <v>3.3477161197251255E-2</v>
      </c>
      <c r="AA40" s="174">
        <f t="shared" si="16"/>
        <v>3.489005270066355E-3</v>
      </c>
      <c r="AB40" s="174">
        <f t="shared" si="17"/>
        <v>0.44310158997495241</v>
      </c>
      <c r="AC40" s="174">
        <f t="shared" si="18"/>
        <v>0.1146164349681054</v>
      </c>
      <c r="AD40" s="174">
        <f t="shared" si="19"/>
        <v>3.4933072642090505E-4</v>
      </c>
      <c r="AE40" s="175">
        <f t="shared" si="20"/>
        <v>6.2930849757867044E-2</v>
      </c>
      <c r="AF40" s="176"/>
      <c r="AG40" s="194">
        <f t="shared" si="35"/>
        <v>0.34388104920435436</v>
      </c>
      <c r="AI40" s="173">
        <f t="shared" si="22"/>
        <v>-3.1226680425821662E-2</v>
      </c>
      <c r="AJ40" s="174">
        <f t="shared" si="1"/>
        <v>0.10694693808499603</v>
      </c>
      <c r="AK40" s="174">
        <f t="shared" si="2"/>
        <v>-1.3165353219302348E-2</v>
      </c>
      <c r="AL40" s="174">
        <f t="shared" si="3"/>
        <v>1.1418958633644231E-2</v>
      </c>
      <c r="AM40" s="174">
        <f t="shared" si="4"/>
        <v>-0.44253414315469969</v>
      </c>
      <c r="AN40" s="174">
        <f t="shared" si="5"/>
        <v>0.22740021251718301</v>
      </c>
      <c r="AO40" s="174">
        <f t="shared" si="6"/>
        <v>0.13343886507506408</v>
      </c>
      <c r="AP40" s="175">
        <f t="shared" si="7"/>
        <v>7.7212024889363878E-3</v>
      </c>
      <c r="AQ40" s="172"/>
      <c r="AR40" s="196">
        <f t="shared" si="36"/>
        <v>0.34388104920435436</v>
      </c>
      <c r="AS40" s="197">
        <f t="shared" si="26"/>
        <v>-3.6670831156187689E-2</v>
      </c>
      <c r="AT40" s="198">
        <f t="shared" si="24"/>
        <v>0</v>
      </c>
    </row>
    <row r="41" spans="1:46" x14ac:dyDescent="0.3">
      <c r="A41" s="33" t="s">
        <v>75</v>
      </c>
      <c r="B41" s="121">
        <f>VLOOKUP($A41,Costdrivere!$A$3:$I$50,2,FALSE)</f>
        <v>13191684</v>
      </c>
      <c r="C41" s="51">
        <f>VLOOKUP($A41,Costdrivere!$A$3:$I$50,3,FALSE)</f>
        <v>5211340</v>
      </c>
      <c r="D41" s="51">
        <f>VLOOKUP($A41,Costdrivere!$A$3:$I$50,4,FALSE)</f>
        <v>1379346</v>
      </c>
      <c r="E41" s="51">
        <f>VLOOKUP($A41,Costdrivere!$A$3:$I$50,5,FALSE)</f>
        <v>114097.2</v>
      </c>
      <c r="F41" s="51">
        <f>VLOOKUP($A41,Costdrivere!$A$3:$I$50,6,FALSE)</f>
        <v>13503313.459897542</v>
      </c>
      <c r="G41" s="51">
        <f>VLOOKUP($A41,Costdrivere!$A$3:$I$50,7,FALSE)</f>
        <v>4040742.6</v>
      </c>
      <c r="H41" s="51">
        <f>VLOOKUP($A41,Costdrivere!$A$3:$I$50,8,FALSE)</f>
        <v>10160</v>
      </c>
      <c r="I41" s="43">
        <f>VLOOKUP($A41,Costdrivere!$A$3:$I$50,9,FALSE)</f>
        <v>2162440.7999999998</v>
      </c>
      <c r="J41" s="39">
        <v>29.693019065002645</v>
      </c>
      <c r="K41" s="39">
        <f>VLOOKUP(A41,Costdrivere!$A$3:$J$50,10,FALSE)</f>
        <v>1.5339331619537275E-2</v>
      </c>
      <c r="L41" s="96">
        <f t="shared" si="30"/>
        <v>39613124.059897542</v>
      </c>
      <c r="M41" s="51">
        <f t="shared" si="31"/>
        <v>39695848.34652365</v>
      </c>
      <c r="N41" s="83">
        <f t="shared" si="32"/>
        <v>40371505.507370323</v>
      </c>
      <c r="O41" s="96">
        <f>L41+'Potentialer og krav'!$F40</f>
        <v>39613124.059897542</v>
      </c>
      <c r="P41" s="51">
        <f t="shared" si="33"/>
        <v>39695848.34652365</v>
      </c>
      <c r="Q41" s="83">
        <f t="shared" si="34"/>
        <v>40371505.507370323</v>
      </c>
      <c r="R41" s="96">
        <f>O41+(0.2*'Potentialer og krav'!$C40)</f>
        <v>46175337.730555966</v>
      </c>
      <c r="S41" s="83">
        <f>P41+(0.2*'Potentialer og krav'!$C40)</f>
        <v>46258062.017182074</v>
      </c>
      <c r="T41" s="43">
        <f>Q41+(0.2*'Potentialer og krav'!$C40)</f>
        <v>46933719.178028747</v>
      </c>
      <c r="U41" s="96">
        <v>26814153</v>
      </c>
      <c r="V41" s="68">
        <f t="shared" si="12"/>
        <v>27430878.518999998</v>
      </c>
      <c r="X41" s="173">
        <f t="shared" si="13"/>
        <v>0.33301296762288535</v>
      </c>
      <c r="Y41" s="174">
        <f t="shared" si="14"/>
        <v>0.13155589526643052</v>
      </c>
      <c r="Z41" s="174">
        <f t="shared" si="15"/>
        <v>3.4820429661501624E-2</v>
      </c>
      <c r="AA41" s="174">
        <f t="shared" si="16"/>
        <v>2.8802878517603871E-3</v>
      </c>
      <c r="AB41" s="174">
        <f t="shared" si="17"/>
        <v>0.34087979123988504</v>
      </c>
      <c r="AC41" s="174">
        <f t="shared" si="18"/>
        <v>0.10200514844247432</v>
      </c>
      <c r="AD41" s="174">
        <f t="shared" si="19"/>
        <v>2.5648065486169277E-4</v>
      </c>
      <c r="AE41" s="175">
        <f t="shared" si="20"/>
        <v>5.4588999260201061E-2</v>
      </c>
      <c r="AF41" s="176"/>
      <c r="AG41" s="194">
        <f t="shared" si="35"/>
        <v>0.42242239654458802</v>
      </c>
      <c r="AI41" s="173">
        <f t="shared" si="22"/>
        <v>-0.11676660979947098</v>
      </c>
      <c r="AJ41" s="174">
        <f t="shared" si="1"/>
        <v>6.9953632674666005E-2</v>
      </c>
      <c r="AK41" s="174">
        <f t="shared" si="2"/>
        <v>-1.4508621683552717E-2</v>
      </c>
      <c r="AL41" s="174">
        <f t="shared" si="3"/>
        <v>1.2027676051950199E-2</v>
      </c>
      <c r="AM41" s="174">
        <f t="shared" si="4"/>
        <v>-0.34031234441963232</v>
      </c>
      <c r="AN41" s="174">
        <f t="shared" si="5"/>
        <v>0.2400114990428141</v>
      </c>
      <c r="AO41" s="174">
        <f t="shared" si="6"/>
        <v>0.13353171514662329</v>
      </c>
      <c r="AP41" s="175">
        <f t="shared" si="7"/>
        <v>1.6063052986602371E-2</v>
      </c>
      <c r="AQ41" s="172"/>
      <c r="AR41" s="196">
        <f t="shared" si="36"/>
        <v>0.42242239654458802</v>
      </c>
      <c r="AS41" s="197">
        <f t="shared" si="26"/>
        <v>-0.11521217849642135</v>
      </c>
      <c r="AT41" s="198">
        <f t="shared" si="24"/>
        <v>0</v>
      </c>
    </row>
    <row r="42" spans="1:46" x14ac:dyDescent="0.3">
      <c r="A42" s="33" t="s">
        <v>76</v>
      </c>
      <c r="B42" s="121">
        <f>VLOOKUP($A42,Costdrivere!$A$3:$I$50,2,FALSE)</f>
        <v>5983614.6959999995</v>
      </c>
      <c r="C42" s="51">
        <f>VLOOKUP($A42,Costdrivere!$A$3:$I$50,3,FALSE)</f>
        <v>4396179</v>
      </c>
      <c r="D42" s="51">
        <f>VLOOKUP($A42,Costdrivere!$A$3:$I$50,4,FALSE)</f>
        <v>960133</v>
      </c>
      <c r="E42" s="51">
        <f>VLOOKUP($A42,Costdrivere!$A$3:$I$50,5,FALSE)</f>
        <v>486275.16</v>
      </c>
      <c r="F42" s="51">
        <f>VLOOKUP($A42,Costdrivere!$A$3:$I$50,6,FALSE)</f>
        <v>13372461.184207451</v>
      </c>
      <c r="G42" s="51">
        <f>VLOOKUP($A42,Costdrivere!$A$3:$I$50,7,FALSE)</f>
        <v>3190474.6</v>
      </c>
      <c r="H42" s="51">
        <f>VLOOKUP($A42,Costdrivere!$A$3:$I$50,8,FALSE)</f>
        <v>0</v>
      </c>
      <c r="I42" s="43">
        <f>VLOOKUP($A42,Costdrivere!$A$3:$I$50,9,FALSE)</f>
        <v>1819731.2</v>
      </c>
      <c r="J42" s="39">
        <v>33.511763928440224</v>
      </c>
      <c r="K42" s="39">
        <f>VLOOKUP(A42,Costdrivere!$A$3:$J$50,10,FALSE)</f>
        <v>1.4346338750352372E-2</v>
      </c>
      <c r="L42" s="96">
        <f t="shared" si="30"/>
        <v>30208868.84020745</v>
      </c>
      <c r="M42" s="51">
        <f t="shared" si="31"/>
        <v>32117713.57668126</v>
      </c>
      <c r="N42" s="83">
        <f t="shared" si="32"/>
        <v>30200253.582815796</v>
      </c>
      <c r="O42" s="96">
        <f>L42+'Potentialer og krav'!$F41</f>
        <v>30208868.84020745</v>
      </c>
      <c r="P42" s="51">
        <f t="shared" si="33"/>
        <v>32117713.57668126</v>
      </c>
      <c r="Q42" s="83">
        <f t="shared" si="34"/>
        <v>30200253.582815796</v>
      </c>
      <c r="R42" s="96">
        <f>O42+(0.2*'Potentialer og krav'!$C41)</f>
        <v>36560632.061612695</v>
      </c>
      <c r="S42" s="83">
        <f>P42+(0.2*'Potentialer og krav'!$C41)</f>
        <v>38469476.798086509</v>
      </c>
      <c r="T42" s="43">
        <f>Q42+(0.2*'Potentialer og krav'!$C41)</f>
        <v>36552016.804221042</v>
      </c>
      <c r="U42" s="96">
        <v>25766022</v>
      </c>
      <c r="V42" s="68">
        <f t="shared" si="12"/>
        <v>26358640.505999997</v>
      </c>
      <c r="X42" s="173">
        <f t="shared" si="13"/>
        <v>0.19807476829572374</v>
      </c>
      <c r="Y42" s="174">
        <f t="shared" si="14"/>
        <v>0.14552610437861765</v>
      </c>
      <c r="Z42" s="174">
        <f t="shared" si="15"/>
        <v>3.1783149679609338E-2</v>
      </c>
      <c r="AA42" s="174">
        <f t="shared" si="16"/>
        <v>1.6097099251620329E-2</v>
      </c>
      <c r="AB42" s="174">
        <f t="shared" si="17"/>
        <v>0.44266672992432443</v>
      </c>
      <c r="AC42" s="174">
        <f t="shared" si="18"/>
        <v>0.10561383866692609</v>
      </c>
      <c r="AD42" s="174">
        <f t="shared" si="19"/>
        <v>0</v>
      </c>
      <c r="AE42" s="175">
        <f t="shared" si="20"/>
        <v>6.023830980317843E-2</v>
      </c>
      <c r="AF42" s="176"/>
      <c r="AG42" s="194">
        <f t="shared" si="35"/>
        <v>0.29009622777851152</v>
      </c>
      <c r="AI42" s="173">
        <f t="shared" si="22"/>
        <v>1.8171589527690629E-2</v>
      </c>
      <c r="AJ42" s="174">
        <f t="shared" si="1"/>
        <v>5.5983423562478873E-2</v>
      </c>
      <c r="AK42" s="174">
        <f t="shared" si="2"/>
        <v>-1.1471341701660431E-2</v>
      </c>
      <c r="AL42" s="174">
        <f t="shared" si="3"/>
        <v>-1.1891353479097436E-3</v>
      </c>
      <c r="AM42" s="174">
        <f t="shared" si="4"/>
        <v>-0.44209928310407171</v>
      </c>
      <c r="AN42" s="174">
        <f t="shared" si="5"/>
        <v>0.23640280881836234</v>
      </c>
      <c r="AO42" s="174">
        <f t="shared" si="6"/>
        <v>0.13378819580148499</v>
      </c>
      <c r="AP42" s="175">
        <f t="shared" si="7"/>
        <v>1.0413742443625001E-2</v>
      </c>
      <c r="AQ42" s="172"/>
      <c r="AR42" s="196">
        <f t="shared" si="36"/>
        <v>0.29009622777851152</v>
      </c>
      <c r="AS42" s="197">
        <f t="shared" si="26"/>
        <v>1.7113990269655155E-2</v>
      </c>
      <c r="AT42" s="198">
        <f t="shared" si="24"/>
        <v>0</v>
      </c>
    </row>
    <row r="43" spans="1:46" x14ac:dyDescent="0.3">
      <c r="A43" s="33" t="s">
        <v>77</v>
      </c>
      <c r="B43" s="121">
        <f>VLOOKUP($A43,Costdrivere!$A$3:$I$50,2,FALSE)</f>
        <v>2971341</v>
      </c>
      <c r="C43" s="51">
        <f>VLOOKUP($A43,Costdrivere!$A$3:$I$50,3,FALSE)</f>
        <v>2278365</v>
      </c>
      <c r="D43" s="51">
        <f>VLOOKUP($A43,Costdrivere!$A$3:$I$50,4,FALSE)</f>
        <v>175799</v>
      </c>
      <c r="E43" s="51">
        <f>VLOOKUP($A43,Costdrivere!$A$3:$I$50,5,FALSE)</f>
        <v>0</v>
      </c>
      <c r="F43" s="51">
        <f>VLOOKUP($A43,Costdrivere!$A$3:$I$50,6,FALSE)</f>
        <v>3869011.4943817193</v>
      </c>
      <c r="G43" s="51">
        <f>VLOOKUP($A43,Costdrivere!$A$3:$I$50,7,FALSE)</f>
        <v>1839945.6</v>
      </c>
      <c r="H43" s="51">
        <f>VLOOKUP($A43,Costdrivere!$A$3:$I$50,8,FALSE)</f>
        <v>0</v>
      </c>
      <c r="I43" s="43">
        <f>VLOOKUP($A43,Costdrivere!$A$3:$I$50,9,FALSE)</f>
        <v>803561.6</v>
      </c>
      <c r="J43" s="39">
        <v>37.595660880447227</v>
      </c>
      <c r="K43" s="39">
        <f>VLOOKUP(A43,Costdrivere!$A$3:$J$50,10,FALSE)</f>
        <v>2.3097222222222224E-2</v>
      </c>
      <c r="L43" s="96">
        <f t="shared" si="30"/>
        <v>11938023.694381718</v>
      </c>
      <c r="M43" s="51">
        <f t="shared" si="31"/>
        <v>13472424.733286666</v>
      </c>
      <c r="N43" s="83">
        <f t="shared" si="32"/>
        <v>13978749.423917526</v>
      </c>
      <c r="O43" s="96">
        <f>L43+'Potentialer og krav'!$F42</f>
        <v>11938023.694381718</v>
      </c>
      <c r="P43" s="51">
        <f t="shared" si="33"/>
        <v>13472424.733286666</v>
      </c>
      <c r="Q43" s="83">
        <f t="shared" si="34"/>
        <v>13978749.423917526</v>
      </c>
      <c r="R43" s="96">
        <f>O43+(0.2*'Potentialer og krav'!$C42)</f>
        <v>14044633.415093804</v>
      </c>
      <c r="S43" s="83">
        <f>P43+(0.2*'Potentialer og krav'!$C42)</f>
        <v>15579034.453998752</v>
      </c>
      <c r="T43" s="43">
        <f>Q43+(0.2*'Potentialer og krav'!$C42)</f>
        <v>16085359.144629613</v>
      </c>
      <c r="U43" s="96">
        <v>9213655</v>
      </c>
      <c r="V43" s="68">
        <f t="shared" si="12"/>
        <v>9425569.0649999995</v>
      </c>
      <c r="X43" s="173">
        <f t="shared" si="13"/>
        <v>0.24889722755353341</v>
      </c>
      <c r="Y43" s="174">
        <f t="shared" si="14"/>
        <v>0.19084942854253556</v>
      </c>
      <c r="Z43" s="174">
        <f t="shared" si="15"/>
        <v>1.4725971777282925E-2</v>
      </c>
      <c r="AA43" s="174">
        <f t="shared" si="16"/>
        <v>0</v>
      </c>
      <c r="AB43" s="174">
        <f t="shared" si="17"/>
        <v>0.32409145713143095</v>
      </c>
      <c r="AC43" s="174">
        <f t="shared" si="18"/>
        <v>0.15412480717942592</v>
      </c>
      <c r="AD43" s="174">
        <f t="shared" si="19"/>
        <v>0</v>
      </c>
      <c r="AE43" s="175">
        <f t="shared" si="20"/>
        <v>6.7311107815791388E-2</v>
      </c>
      <c r="AF43" s="176"/>
      <c r="AG43" s="194">
        <f t="shared" si="35"/>
        <v>0.33093430714660776</v>
      </c>
      <c r="AI43" s="173">
        <f t="shared" si="22"/>
        <v>-3.2650869730119048E-2</v>
      </c>
      <c r="AJ43" s="174">
        <f t="shared" si="1"/>
        <v>1.0660099398560968E-2</v>
      </c>
      <c r="AK43" s="174">
        <f t="shared" si="2"/>
        <v>5.5858362006659824E-3</v>
      </c>
      <c r="AL43" s="174">
        <f t="shared" si="3"/>
        <v>1.4907963903710585E-2</v>
      </c>
      <c r="AM43" s="174">
        <f t="shared" si="4"/>
        <v>-0.32352401031117822</v>
      </c>
      <c r="AN43" s="174">
        <f t="shared" si="5"/>
        <v>0.18789184030586251</v>
      </c>
      <c r="AO43" s="174">
        <f t="shared" si="6"/>
        <v>0.13378819580148499</v>
      </c>
      <c r="AP43" s="175">
        <f t="shared" si="7"/>
        <v>3.340944431012044E-3</v>
      </c>
      <c r="AQ43" s="172"/>
      <c r="AR43" s="196">
        <f t="shared" si="36"/>
        <v>0.33093430714660776</v>
      </c>
      <c r="AS43" s="197">
        <f t="shared" si="26"/>
        <v>-2.3724089098441092E-2</v>
      </c>
      <c r="AT43" s="198">
        <f t="shared" si="24"/>
        <v>0</v>
      </c>
    </row>
    <row r="44" spans="1:46" x14ac:dyDescent="0.3">
      <c r="A44" s="33" t="s">
        <v>78</v>
      </c>
      <c r="B44" s="121">
        <f>VLOOKUP($A44,Costdrivere!$A$3:$I$50,2,FALSE)</f>
        <v>235345</v>
      </c>
      <c r="C44" s="51">
        <f>VLOOKUP($A44,Costdrivere!$A$3:$I$50,3,FALSE)</f>
        <v>11995282</v>
      </c>
      <c r="D44" s="51">
        <f>VLOOKUP($A44,Costdrivere!$A$3:$I$50,4,FALSE)</f>
        <v>0</v>
      </c>
      <c r="E44" s="51">
        <f>VLOOKUP($A44,Costdrivere!$A$3:$I$50,5,FALSE)</f>
        <v>2653056</v>
      </c>
      <c r="F44" s="51">
        <f>VLOOKUP($A44,Costdrivere!$A$3:$I$50,6,FALSE)</f>
        <v>21847453.210476149</v>
      </c>
      <c r="G44" s="51">
        <f>VLOOKUP($A44,Costdrivere!$A$3:$I$50,7,FALSE)</f>
        <v>28320030.5</v>
      </c>
      <c r="H44" s="51">
        <f>VLOOKUP($A44,Costdrivere!$A$3:$I$50,8,FALSE)</f>
        <v>0</v>
      </c>
      <c r="I44" s="43">
        <f>VLOOKUP($A44,Costdrivere!$A$3:$I$50,9,FALSE)</f>
        <v>1208</v>
      </c>
      <c r="J44" s="39">
        <v>36.309693580522399</v>
      </c>
      <c r="K44" s="39">
        <f>VLOOKUP(A44,Costdrivere!$A$3:$J$50,10,FALSE)</f>
        <v>1.8181818181818181E-4</v>
      </c>
      <c r="L44" s="96">
        <f t="shared" si="30"/>
        <v>65052374.710476145</v>
      </c>
      <c r="M44" s="51">
        <f t="shared" si="31"/>
        <v>72075110.151184335</v>
      </c>
      <c r="N44" s="83">
        <f t="shared" si="32"/>
        <v>47004090.110643238</v>
      </c>
      <c r="O44" s="96">
        <f>L44+'Potentialer og krav'!$F43</f>
        <v>65052374.710476145</v>
      </c>
      <c r="P44" s="51">
        <f t="shared" si="33"/>
        <v>72075110.151184335</v>
      </c>
      <c r="Q44" s="83">
        <f t="shared" si="34"/>
        <v>47004090.110643238</v>
      </c>
      <c r="R44" s="96">
        <f>O44+(0.2*'Potentialer og krav'!$C43)</f>
        <v>75958714.510476142</v>
      </c>
      <c r="S44" s="83">
        <f>P44+(0.2*'Potentialer og krav'!$C43)</f>
        <v>82981449.951184332</v>
      </c>
      <c r="T44" s="43">
        <f>Q44+(0.2*'Potentialer og krav'!$C43)</f>
        <v>57910429.910643235</v>
      </c>
      <c r="U44" s="96">
        <v>53836750</v>
      </c>
      <c r="V44" s="68">
        <f t="shared" si="12"/>
        <v>55074995.249999993</v>
      </c>
      <c r="X44" s="173">
        <f t="shared" si="13"/>
        <v>3.6177772302307611E-3</v>
      </c>
      <c r="Y44" s="174">
        <f t="shared" si="14"/>
        <v>0.18439422163120911</v>
      </c>
      <c r="Z44" s="174">
        <f t="shared" si="15"/>
        <v>0</v>
      </c>
      <c r="AA44" s="174">
        <f t="shared" si="16"/>
        <v>4.0783384339276814E-2</v>
      </c>
      <c r="AB44" s="174">
        <f t="shared" si="17"/>
        <v>0.3358440534678559</v>
      </c>
      <c r="AC44" s="174">
        <f t="shared" si="18"/>
        <v>0.43534199367881482</v>
      </c>
      <c r="AD44" s="174">
        <f t="shared" si="19"/>
        <v>0</v>
      </c>
      <c r="AE44" s="175">
        <f t="shared" si="20"/>
        <v>1.8569652612627246E-5</v>
      </c>
      <c r="AF44" s="176"/>
      <c r="AG44" s="194">
        <f t="shared" si="35"/>
        <v>3.6363468828433882E-3</v>
      </c>
      <c r="AI44" s="173">
        <f t="shared" si="22"/>
        <v>0.2126285805931836</v>
      </c>
      <c r="AJ44" s="174">
        <f t="shared" si="1"/>
        <v>1.7115306309887418E-2</v>
      </c>
      <c r="AK44" s="174">
        <f t="shared" si="2"/>
        <v>2.0311807977948907E-2</v>
      </c>
      <c r="AL44" s="174">
        <f t="shared" si="3"/>
        <v>-2.5875420435566229E-2</v>
      </c>
      <c r="AM44" s="174">
        <f t="shared" si="4"/>
        <v>-0.33527660664760317</v>
      </c>
      <c r="AN44" s="174">
        <f t="shared" si="5"/>
        <v>-9.3325346193526393E-2</v>
      </c>
      <c r="AO44" s="174">
        <f t="shared" si="6"/>
        <v>0.13378819580148499</v>
      </c>
      <c r="AP44" s="175">
        <f t="shared" si="7"/>
        <v>7.0633482594190805E-2</v>
      </c>
      <c r="AQ44" s="172"/>
      <c r="AR44" s="196">
        <f t="shared" si="36"/>
        <v>3.6363468828433882E-3</v>
      </c>
      <c r="AS44" s="197">
        <f t="shared" si="26"/>
        <v>0.30357387116532331</v>
      </c>
      <c r="AT44" s="198">
        <f t="shared" si="24"/>
        <v>0</v>
      </c>
    </row>
    <row r="45" spans="1:46" x14ac:dyDescent="0.3">
      <c r="A45" s="33" t="s">
        <v>67</v>
      </c>
      <c r="B45" s="121">
        <f>VLOOKUP($A45,Costdrivere!$A$3:$I$50,2,FALSE)</f>
        <v>3200692</v>
      </c>
      <c r="C45" s="51">
        <f>VLOOKUP($A45,Costdrivere!$A$3:$I$50,3,FALSE)</f>
        <v>10949487</v>
      </c>
      <c r="D45" s="51">
        <f>VLOOKUP($A45,Costdrivere!$A$3:$I$50,4,FALSE)</f>
        <v>743765</v>
      </c>
      <c r="E45" s="51">
        <f>VLOOKUP($A45,Costdrivere!$A$3:$I$50,5,FALSE)</f>
        <v>123197.34</v>
      </c>
      <c r="F45" s="51">
        <f>VLOOKUP($A45,Costdrivere!$A$3:$I$50,6,FALSE)</f>
        <v>10366605.954121582</v>
      </c>
      <c r="G45" s="51">
        <f>VLOOKUP($A45,Costdrivere!$A$3:$I$50,7,FALSE)</f>
        <v>2200797</v>
      </c>
      <c r="H45" s="51">
        <f>VLOOKUP($A45,Costdrivere!$A$3:$I$50,8,FALSE)</f>
        <v>210820</v>
      </c>
      <c r="I45" s="43">
        <f>VLOOKUP($A45,Costdrivere!$A$3:$I$50,9,FALSE)</f>
        <v>2071116</v>
      </c>
      <c r="J45" s="39">
        <v>40.898493958815145</v>
      </c>
      <c r="K45" s="39">
        <f>VLOOKUP(A45,Costdrivere!$A$3:$J$50,10,FALSE)</f>
        <v>2.2921122994652408E-2</v>
      </c>
      <c r="L45" s="96">
        <f t="shared" si="30"/>
        <v>29866480.294121582</v>
      </c>
      <c r="M45" s="51">
        <f t="shared" si="31"/>
        <v>35283540.137085326</v>
      </c>
      <c r="N45" s="83">
        <f t="shared" si="32"/>
        <v>34869044.471104421</v>
      </c>
      <c r="O45" s="96">
        <f>L45+'Potentialer og krav'!$F44</f>
        <v>29866480.294121582</v>
      </c>
      <c r="P45" s="51">
        <f t="shared" si="33"/>
        <v>35283540.137085326</v>
      </c>
      <c r="Q45" s="83">
        <f t="shared" si="34"/>
        <v>34869044.471104421</v>
      </c>
      <c r="R45" s="96">
        <f>O45+(0.2*'Potentialer og krav'!$C44)</f>
        <v>35143715.094121583</v>
      </c>
      <c r="S45" s="83">
        <f>P45+(0.2*'Potentialer og krav'!$C44)</f>
        <v>40560774.93708533</v>
      </c>
      <c r="T45" s="43">
        <f>Q45+(0.2*'Potentialer og krav'!$C44)</f>
        <v>40146279.271104425</v>
      </c>
      <c r="U45" s="96">
        <v>26595657</v>
      </c>
      <c r="V45" s="68">
        <f t="shared" si="12"/>
        <v>27207357.110999998</v>
      </c>
      <c r="X45" s="173">
        <f t="shared" si="13"/>
        <v>0.10716669552220288</v>
      </c>
      <c r="Y45" s="174">
        <f t="shared" si="14"/>
        <v>0.36661457567717187</v>
      </c>
      <c r="Z45" s="174">
        <f t="shared" si="15"/>
        <v>2.4903001380661191E-2</v>
      </c>
      <c r="AA45" s="174">
        <f t="shared" si="16"/>
        <v>4.1249366777325984E-3</v>
      </c>
      <c r="AB45" s="174">
        <f t="shared" si="17"/>
        <v>0.34709834744611573</v>
      </c>
      <c r="AC45" s="174">
        <f t="shared" si="18"/>
        <v>7.3687859377027695E-2</v>
      </c>
      <c r="AD45" s="174">
        <f t="shared" si="19"/>
        <v>7.0587494048133378E-3</v>
      </c>
      <c r="AE45" s="175">
        <f t="shared" si="20"/>
        <v>6.9345834514274646E-2</v>
      </c>
      <c r="AF45" s="176"/>
      <c r="AG45" s="194">
        <f t="shared" si="35"/>
        <v>0.20141553141713872</v>
      </c>
      <c r="AI45" s="173">
        <f t="shared" si="22"/>
        <v>0.10907966230121148</v>
      </c>
      <c r="AJ45" s="174">
        <f t="shared" si="1"/>
        <v>-0.16510504773607534</v>
      </c>
      <c r="AK45" s="174">
        <f t="shared" si="2"/>
        <v>-4.591193402712284E-3</v>
      </c>
      <c r="AL45" s="174">
        <f t="shared" si="3"/>
        <v>1.0783027225977987E-2</v>
      </c>
      <c r="AM45" s="174">
        <f t="shared" si="4"/>
        <v>-0.346530900625863</v>
      </c>
      <c r="AN45" s="174">
        <f t="shared" si="5"/>
        <v>0.26832878810826072</v>
      </c>
      <c r="AO45" s="174">
        <f t="shared" si="6"/>
        <v>0.12672944639667166</v>
      </c>
      <c r="AP45" s="175">
        <f t="shared" si="7"/>
        <v>1.306217732528786E-3</v>
      </c>
      <c r="AQ45" s="172"/>
      <c r="AR45" s="196">
        <f t="shared" si="36"/>
        <v>0.20141553141713872</v>
      </c>
      <c r="AS45" s="197">
        <f t="shared" si="26"/>
        <v>0.10579468663102795</v>
      </c>
      <c r="AT45" s="198">
        <f t="shared" si="24"/>
        <v>0</v>
      </c>
    </row>
    <row r="46" spans="1:46" x14ac:dyDescent="0.3">
      <c r="A46" s="33" t="s">
        <v>68</v>
      </c>
      <c r="B46" s="121">
        <f>VLOOKUP($A46,Costdrivere!$A$3:$I$50,2,FALSE)</f>
        <v>28097701</v>
      </c>
      <c r="C46" s="51">
        <f>VLOOKUP($A46,Costdrivere!$A$3:$I$50,3,FALSE)</f>
        <v>18953428</v>
      </c>
      <c r="D46" s="51">
        <f>VLOOKUP($A46,Costdrivere!$A$3:$I$50,4,FALSE)</f>
        <v>2136634</v>
      </c>
      <c r="E46" s="51">
        <f>VLOOKUP($A46,Costdrivere!$A$3:$I$50,5,FALSE)</f>
        <v>779947.1399999999</v>
      </c>
      <c r="F46" s="51">
        <f>VLOOKUP($A46,Costdrivere!$A$3:$I$50,6,FALSE)</f>
        <v>42458891.686032742</v>
      </c>
      <c r="G46" s="51">
        <f>VLOOKUP($A46,Costdrivere!$A$3:$I$50,7,FALSE)</f>
        <v>33993517</v>
      </c>
      <c r="H46" s="51">
        <f>VLOOKUP($A46,Costdrivere!$A$3:$I$50,8,FALSE)</f>
        <v>256540</v>
      </c>
      <c r="I46" s="43">
        <f>VLOOKUP($A46,Costdrivere!$A$3:$I$50,9,FALSE)</f>
        <v>8941616</v>
      </c>
      <c r="J46" s="39">
        <v>37.876900207822771</v>
      </c>
      <c r="K46" s="39">
        <f>VLOOKUP(A46,Costdrivere!$A$3:$J$50,10,FALSE)</f>
        <v>3.0523711340206185E-2</v>
      </c>
      <c r="L46" s="96">
        <f t="shared" si="30"/>
        <v>135618274.82603276</v>
      </c>
      <c r="M46" s="51">
        <f t="shared" si="31"/>
        <v>153659628.62440288</v>
      </c>
      <c r="N46" s="83">
        <f t="shared" si="32"/>
        <v>178508565.92413327</v>
      </c>
      <c r="O46" s="96">
        <f>L46+'Potentialer og krav'!$F45</f>
        <v>135618274.82603276</v>
      </c>
      <c r="P46" s="51">
        <f t="shared" si="33"/>
        <v>153659628.62440288</v>
      </c>
      <c r="Q46" s="83">
        <f t="shared" si="34"/>
        <v>178508565.92413327</v>
      </c>
      <c r="R46" s="96">
        <f>O46+(0.2*'Potentialer og krav'!$C45)</f>
        <v>160959198.5920569</v>
      </c>
      <c r="S46" s="83">
        <f>P46+(0.2*'Potentialer og krav'!$C45)</f>
        <v>179000552.39042702</v>
      </c>
      <c r="T46" s="43">
        <f>Q46+(0.2*'Potentialer og krav'!$C45)</f>
        <v>203849489.69015741</v>
      </c>
      <c r="U46" s="96">
        <v>116370379.40000001</v>
      </c>
      <c r="V46" s="68">
        <f t="shared" si="12"/>
        <v>119046898.12619999</v>
      </c>
      <c r="X46" s="173">
        <f t="shared" si="13"/>
        <v>0.20718226239083876</v>
      </c>
      <c r="Y46" s="174">
        <f t="shared" si="14"/>
        <v>0.13975570788164732</v>
      </c>
      <c r="Z46" s="174">
        <f t="shared" si="15"/>
        <v>1.5754764634344547E-2</v>
      </c>
      <c r="AA46" s="174">
        <f t="shared" si="16"/>
        <v>5.7510474971053408E-3</v>
      </c>
      <c r="AB46" s="174">
        <f t="shared" si="17"/>
        <v>0.31307647690178769</v>
      </c>
      <c r="AC46" s="174">
        <f t="shared" si="18"/>
        <v>0.25065587247445753</v>
      </c>
      <c r="AD46" s="174">
        <f t="shared" si="19"/>
        <v>1.89163297003359E-3</v>
      </c>
      <c r="AE46" s="175">
        <f t="shared" si="20"/>
        <v>6.5932235249785101E-2</v>
      </c>
      <c r="AF46" s="176"/>
      <c r="AG46" s="194">
        <f t="shared" si="35"/>
        <v>0.2888692622749684</v>
      </c>
      <c r="AI46" s="173">
        <f t="shared" si="22"/>
        <v>9.0640954325756085E-3</v>
      </c>
      <c r="AJ46" s="174">
        <f t="shared" si="1"/>
        <v>6.175382005944921E-2</v>
      </c>
      <c r="AK46" s="174">
        <f t="shared" si="2"/>
        <v>4.5570433436043604E-3</v>
      </c>
      <c r="AL46" s="174">
        <f t="shared" si="3"/>
        <v>9.1569164066052436E-3</v>
      </c>
      <c r="AM46" s="174">
        <f t="shared" si="4"/>
        <v>-0.31250903008153497</v>
      </c>
      <c r="AN46" s="174">
        <f t="shared" si="5"/>
        <v>9.1360775010830897E-2</v>
      </c>
      <c r="AO46" s="174">
        <f t="shared" si="6"/>
        <v>0.1318965628314514</v>
      </c>
      <c r="AP46" s="175">
        <f t="shared" si="7"/>
        <v>4.7198169970183307E-3</v>
      </c>
      <c r="AQ46" s="172"/>
      <c r="AR46" s="196">
        <f t="shared" si="36"/>
        <v>0.2888692622749684</v>
      </c>
      <c r="AS46" s="197">
        <f t="shared" si="26"/>
        <v>1.8340955773198275E-2</v>
      </c>
      <c r="AT46" s="198">
        <f t="shared" si="24"/>
        <v>0</v>
      </c>
    </row>
    <row r="47" spans="1:46" x14ac:dyDescent="0.3">
      <c r="A47" s="33" t="s">
        <v>69</v>
      </c>
      <c r="B47" s="121">
        <f>VLOOKUP($A47,Costdrivere!$A$3:$I$50,2,FALSE)</f>
        <v>4326559</v>
      </c>
      <c r="C47" s="51">
        <f>VLOOKUP($A47,Costdrivere!$A$3:$I$50,3,FALSE)</f>
        <v>5973688</v>
      </c>
      <c r="D47" s="51">
        <f>VLOOKUP($A47,Costdrivere!$A$3:$I$50,4,FALSE)</f>
        <v>297506</v>
      </c>
      <c r="E47" s="51">
        <f>VLOOKUP($A47,Costdrivere!$A$3:$I$50,5,FALSE)</f>
        <v>349753.31999999995</v>
      </c>
      <c r="F47" s="51">
        <f>VLOOKUP($A47,Costdrivere!$A$3:$I$50,6,FALSE)</f>
        <v>15080437.447707653</v>
      </c>
      <c r="G47" s="51">
        <f>VLOOKUP($A47,Costdrivere!$A$3:$I$50,7,FALSE)</f>
        <v>2093407.8</v>
      </c>
      <c r="H47" s="51">
        <f>VLOOKUP($A47,Costdrivere!$A$3:$I$50,8,FALSE)</f>
        <v>2540</v>
      </c>
      <c r="I47" s="43">
        <f>VLOOKUP($A47,Costdrivere!$A$3:$I$50,9,FALSE)</f>
        <v>2052754.4</v>
      </c>
      <c r="J47" s="39">
        <v>30.51835827024032</v>
      </c>
      <c r="K47" s="39">
        <f>VLOOKUP(A47,Costdrivere!$A$3:$J$50,10,FALSE)</f>
        <v>1.8986592178770949E-2</v>
      </c>
      <c r="L47" s="96">
        <f t="shared" si="30"/>
        <v>30176645.967707653</v>
      </c>
      <c r="M47" s="51">
        <f t="shared" si="31"/>
        <v>30638159.513569213</v>
      </c>
      <c r="N47" s="83">
        <f t="shared" si="32"/>
        <v>32907953.783777058</v>
      </c>
      <c r="O47" s="96">
        <f>L47+'Potentialer og krav'!$F46</f>
        <v>30176645.967707653</v>
      </c>
      <c r="P47" s="51">
        <f t="shared" si="33"/>
        <v>30638159.513569213</v>
      </c>
      <c r="Q47" s="83">
        <f t="shared" si="34"/>
        <v>32907953.783777058</v>
      </c>
      <c r="R47" s="96">
        <f>O47+(0.2*'Potentialer og krav'!$C46)</f>
        <v>36909633.167707652</v>
      </c>
      <c r="S47" s="83">
        <f>P47+(0.2*'Potentialer og krav'!$C46)</f>
        <v>37371146.713569216</v>
      </c>
      <c r="T47" s="43">
        <f>Q47+(0.2*'Potentialer og krav'!$C46)</f>
        <v>39640940.983777061</v>
      </c>
      <c r="U47" s="96">
        <v>28907189</v>
      </c>
      <c r="V47" s="68">
        <f t="shared" si="12"/>
        <v>29572054.346999999</v>
      </c>
      <c r="X47" s="173">
        <f t="shared" si="13"/>
        <v>0.14337441624990055</v>
      </c>
      <c r="Y47" s="174">
        <f t="shared" si="14"/>
        <v>0.19795732124744767</v>
      </c>
      <c r="Z47" s="174">
        <f t="shared" si="15"/>
        <v>9.8588159969257121E-3</v>
      </c>
      <c r="AA47" s="174">
        <f t="shared" si="16"/>
        <v>1.1590198605049569E-2</v>
      </c>
      <c r="AB47" s="174">
        <f t="shared" si="17"/>
        <v>0.49973868745537153</v>
      </c>
      <c r="AC47" s="174">
        <f t="shared" si="18"/>
        <v>6.9371785129473229E-2</v>
      </c>
      <c r="AD47" s="174">
        <f t="shared" si="19"/>
        <v>8.4171050776089595E-5</v>
      </c>
      <c r="AE47" s="175">
        <f t="shared" si="20"/>
        <v>6.8024604265055633E-2</v>
      </c>
      <c r="AF47" s="176"/>
      <c r="AG47" s="194">
        <f t="shared" si="35"/>
        <v>0.22125783651188188</v>
      </c>
      <c r="AI47" s="173">
        <f t="shared" si="22"/>
        <v>7.2871941573513815E-2</v>
      </c>
      <c r="AJ47" s="174">
        <f t="shared" si="1"/>
        <v>3.5522066936488628E-3</v>
      </c>
      <c r="AK47" s="174">
        <f t="shared" si="2"/>
        <v>1.0452991981023195E-2</v>
      </c>
      <c r="AL47" s="174">
        <f t="shared" si="3"/>
        <v>3.3177652986610164E-3</v>
      </c>
      <c r="AM47" s="174">
        <f t="shared" si="4"/>
        <v>-0.49917124063511881</v>
      </c>
      <c r="AN47" s="174">
        <f t="shared" si="5"/>
        <v>0.2726448623558152</v>
      </c>
      <c r="AO47" s="174">
        <f t="shared" si="6"/>
        <v>0.13370402475070889</v>
      </c>
      <c r="AP47" s="175">
        <f t="shared" si="7"/>
        <v>2.6274479817477991E-3</v>
      </c>
      <c r="AQ47" s="172"/>
      <c r="AR47" s="196">
        <f>X47+Z47+AE47</f>
        <v>0.22125783651188188</v>
      </c>
      <c r="AS47" s="197">
        <f t="shared" si="26"/>
        <v>8.5952381536284789E-2</v>
      </c>
      <c r="AT47" s="198">
        <f t="shared" si="24"/>
        <v>0</v>
      </c>
    </row>
    <row r="48" spans="1:46" x14ac:dyDescent="0.3">
      <c r="A48" s="33" t="s">
        <v>79</v>
      </c>
      <c r="B48" s="121">
        <f>VLOOKUP($A48,Costdrivere!$A$3:$I$50,2,FALSE)</f>
        <v>3346178</v>
      </c>
      <c r="C48" s="51">
        <f>VLOOKUP($A48,Costdrivere!$A$3:$I$50,3,FALSE)</f>
        <v>2086433</v>
      </c>
      <c r="D48" s="51">
        <f>VLOOKUP($A48,Costdrivere!$A$3:$I$50,4,FALSE)</f>
        <v>892518</v>
      </c>
      <c r="E48" s="51">
        <f>VLOOKUP($A48,Costdrivere!$A$3:$I$50,5,FALSE)</f>
        <v>596799.41999999993</v>
      </c>
      <c r="F48" s="51">
        <f>VLOOKUP($A48,Costdrivere!$A$3:$I$50,6,FALSE)</f>
        <v>11434412.095005726</v>
      </c>
      <c r="G48" s="51">
        <f>VLOOKUP($A48,Costdrivere!$A$3:$I$50,7,FALSE)</f>
        <v>2922499.8000000003</v>
      </c>
      <c r="H48" s="51">
        <f>VLOOKUP($A48,Costdrivere!$A$3:$I$50,8,FALSE)</f>
        <v>0</v>
      </c>
      <c r="I48" s="43">
        <f>VLOOKUP($A48,Costdrivere!$A$3:$I$50,9,FALSE)</f>
        <v>0</v>
      </c>
      <c r="J48" s="39">
        <v>34.509130459597372</v>
      </c>
      <c r="K48" s="39">
        <f>VLOOKUP(A48,Costdrivere!$A$3:$J$50,10,FALSE)</f>
        <v>0</v>
      </c>
      <c r="L48" s="96">
        <f t="shared" si="30"/>
        <v>21278840.315005727</v>
      </c>
      <c r="M48" s="51">
        <f t="shared" si="31"/>
        <v>22962977.269359581</v>
      </c>
      <c r="N48" s="83">
        <f t="shared" si="32"/>
        <v>15299486.186489116</v>
      </c>
      <c r="O48" s="96">
        <f>L48+'Potentialer og krav'!$F47</f>
        <v>21278840.315005727</v>
      </c>
      <c r="P48" s="51">
        <f t="shared" si="33"/>
        <v>22962977.269359581</v>
      </c>
      <c r="Q48" s="83">
        <f t="shared" si="34"/>
        <v>15299486.186489116</v>
      </c>
      <c r="R48" s="96">
        <f>O48+(0.2*'Potentialer og krav'!$C47)</f>
        <v>26061628.515005726</v>
      </c>
      <c r="S48" s="83">
        <f>P48+(0.2*'Potentialer og krav'!$C47)</f>
        <v>27745765.46935958</v>
      </c>
      <c r="T48" s="43">
        <f>Q48+(0.2*'Potentialer og krav'!$C47)</f>
        <v>20082274.386489116</v>
      </c>
      <c r="U48" s="96">
        <v>23270989</v>
      </c>
      <c r="V48" s="68">
        <f t="shared" si="12"/>
        <v>23806221.746999998</v>
      </c>
      <c r="X48" s="173">
        <f t="shared" si="13"/>
        <v>0.1572537765434657</v>
      </c>
      <c r="Y48" s="174">
        <f t="shared" si="14"/>
        <v>9.8052007022612894E-2</v>
      </c>
      <c r="Z48" s="174">
        <f t="shared" si="15"/>
        <v>4.1943921134207723E-2</v>
      </c>
      <c r="AA48" s="174">
        <f t="shared" si="16"/>
        <v>2.8046613967920991E-2</v>
      </c>
      <c r="AB48" s="174">
        <f t="shared" si="17"/>
        <v>0.53736067970500434</v>
      </c>
      <c r="AC48" s="174">
        <f t="shared" si="18"/>
        <v>0.13734300162678831</v>
      </c>
      <c r="AD48" s="174">
        <f t="shared" si="19"/>
        <v>0</v>
      </c>
      <c r="AE48" s="175">
        <f t="shared" si="20"/>
        <v>0</v>
      </c>
      <c r="AF48" s="176"/>
      <c r="AG48" s="194">
        <f t="shared" si="35"/>
        <v>0.19919769767767342</v>
      </c>
      <c r="AI48" s="173">
        <f t="shared" si="22"/>
        <v>5.8992581279948664E-2</v>
      </c>
      <c r="AJ48" s="174">
        <f t="shared" si="1"/>
        <v>0.10345752091848363</v>
      </c>
      <c r="AK48" s="174">
        <f t="shared" si="2"/>
        <v>-2.1632113156258816E-2</v>
      </c>
      <c r="AL48" s="174">
        <f t="shared" si="3"/>
        <v>-1.3138650064210406E-2</v>
      </c>
      <c r="AM48" s="174">
        <f t="shared" si="4"/>
        <v>-0.53679323288475167</v>
      </c>
      <c r="AN48" s="174">
        <f t="shared" si="5"/>
        <v>0.20467364585850012</v>
      </c>
      <c r="AO48" s="174">
        <f t="shared" si="6"/>
        <v>0.13378819580148499</v>
      </c>
      <c r="AP48" s="175">
        <f t="shared" si="7"/>
        <v>7.0652052246803432E-2</v>
      </c>
      <c r="AQ48" s="172"/>
      <c r="AR48" s="196">
        <f t="shared" si="36"/>
        <v>0.19919769767767342</v>
      </c>
      <c r="AS48" s="197">
        <f t="shared" si="26"/>
        <v>0.10801252037049325</v>
      </c>
      <c r="AT48" s="198">
        <f t="shared" si="24"/>
        <v>0</v>
      </c>
    </row>
    <row r="49" spans="1:46" x14ac:dyDescent="0.3">
      <c r="A49" s="33" t="s">
        <v>70</v>
      </c>
      <c r="B49" s="121">
        <f>VLOOKUP($A49,Costdrivere!$A$3:$I$50,2,FALSE)</f>
        <v>15238980.199999999</v>
      </c>
      <c r="C49" s="51">
        <f>VLOOKUP($A49,Costdrivere!$A$3:$I$50,3,FALSE)</f>
        <v>8895587</v>
      </c>
      <c r="D49" s="51">
        <f>VLOOKUP($A49,Costdrivere!$A$3:$I$50,4,FALSE)</f>
        <v>2488232</v>
      </c>
      <c r="E49" s="51">
        <f>VLOOKUP($A49,Costdrivere!$A$3:$I$50,5,FALSE)</f>
        <v>546462.41999999993</v>
      </c>
      <c r="F49" s="51">
        <f>VLOOKUP($A49,Costdrivere!$A$3:$I$50,6,FALSE)</f>
        <v>30206890.626271933</v>
      </c>
      <c r="G49" s="51">
        <f>VLOOKUP($A49,Costdrivere!$A$3:$I$50,7,FALSE)</f>
        <v>9366274.8000000007</v>
      </c>
      <c r="H49" s="51">
        <f>VLOOKUP($A49,Costdrivere!$A$3:$I$50,8,FALSE)</f>
        <v>218440</v>
      </c>
      <c r="I49" s="43">
        <f>VLOOKUP($A49,Costdrivere!$A$3:$I$50,9,FALSE)</f>
        <v>3448719.1999999997</v>
      </c>
      <c r="J49" s="39">
        <v>31.854633317277955</v>
      </c>
      <c r="K49" s="39">
        <f>VLOOKUP(A49,Costdrivere!$A$3:$J$50,10,FALSE)</f>
        <v>1.5606516153720003E-2</v>
      </c>
      <c r="L49" s="96">
        <f t="shared" si="30"/>
        <v>70409586.246271938</v>
      </c>
      <c r="M49" s="51">
        <f t="shared" si="31"/>
        <v>72991796.782125309</v>
      </c>
      <c r="N49" s="83">
        <f t="shared" si="32"/>
        <v>72125658.080212265</v>
      </c>
      <c r="O49" s="96">
        <f>L49+'Potentialer og krav'!$F48</f>
        <v>83659464.246271938</v>
      </c>
      <c r="P49" s="51">
        <f t="shared" si="33"/>
        <v>86727602.571144</v>
      </c>
      <c r="Q49" s="83">
        <f t="shared" si="34"/>
        <v>85698471.402675554</v>
      </c>
      <c r="R49" s="96">
        <f>O49+(0.2*'Potentialer og krav'!$C48)</f>
        <v>98839479.846271932</v>
      </c>
      <c r="S49" s="83">
        <f>P49+(0.2*'Potentialer og krav'!$C48)</f>
        <v>101907618.17114401</v>
      </c>
      <c r="T49" s="43">
        <f>Q49+(0.2*'Potentialer og krav'!$C48)</f>
        <v>100878487.00267556</v>
      </c>
      <c r="U49" s="96">
        <v>70115250</v>
      </c>
      <c r="V49" s="68">
        <f t="shared" si="12"/>
        <v>71727900.75</v>
      </c>
      <c r="X49" s="173">
        <f t="shared" si="13"/>
        <v>0.2164333155814685</v>
      </c>
      <c r="Y49" s="174">
        <f t="shared" si="14"/>
        <v>0.12634056630990365</v>
      </c>
      <c r="Z49" s="174">
        <f t="shared" si="15"/>
        <v>3.5339392441490841E-2</v>
      </c>
      <c r="AA49" s="174">
        <f t="shared" si="16"/>
        <v>7.7611934557978478E-3</v>
      </c>
      <c r="AB49" s="174">
        <f t="shared" si="17"/>
        <v>0.42901673247471089</v>
      </c>
      <c r="AC49" s="174">
        <f t="shared" si="18"/>
        <v>0.133025562275562</v>
      </c>
      <c r="AD49" s="174">
        <f t="shared" si="19"/>
        <v>3.1024184581338312E-3</v>
      </c>
      <c r="AE49" s="175">
        <f t="shared" si="20"/>
        <v>4.8980819002932337E-2</v>
      </c>
      <c r="AF49" s="176"/>
      <c r="AG49" s="194">
        <f t="shared" si="35"/>
        <v>0.3007535270258917</v>
      </c>
      <c r="AI49" s="173">
        <f t="shared" si="22"/>
        <v>-1.8695775805413484E-4</v>
      </c>
      <c r="AJ49" s="174">
        <f t="shared" si="1"/>
        <v>7.5168961631192882E-2</v>
      </c>
      <c r="AK49" s="174">
        <f t="shared" si="2"/>
        <v>-1.5027584463541934E-2</v>
      </c>
      <c r="AL49" s="174">
        <f t="shared" si="3"/>
        <v>7.1467704479127375E-3</v>
      </c>
      <c r="AM49" s="174">
        <f t="shared" si="4"/>
        <v>-0.42844928565445817</v>
      </c>
      <c r="AN49" s="174">
        <f t="shared" si="5"/>
        <v>0.20899108520972642</v>
      </c>
      <c r="AO49" s="174">
        <f t="shared" si="6"/>
        <v>0.13068577734335116</v>
      </c>
      <c r="AP49" s="175">
        <f t="shared" si="7"/>
        <v>2.1671233243871095E-2</v>
      </c>
      <c r="AQ49" s="172"/>
      <c r="AR49" s="196">
        <f t="shared" si="36"/>
        <v>0.3007535270258917</v>
      </c>
      <c r="AS49" s="197">
        <f t="shared" si="26"/>
        <v>6.456691022274974E-3</v>
      </c>
      <c r="AT49" s="198">
        <f t="shared" si="24"/>
        <v>0</v>
      </c>
    </row>
    <row r="50" spans="1:46" ht="15" thickBot="1" x14ac:dyDescent="0.35">
      <c r="A50" s="34" t="s">
        <v>72</v>
      </c>
      <c r="B50" s="101">
        <f>VLOOKUP($A50,Costdrivere!$A$3:$I$50,2,FALSE)</f>
        <v>40961051</v>
      </c>
      <c r="C50" s="84">
        <f>VLOOKUP($A50,Costdrivere!$A$3:$I$50,3,FALSE)</f>
        <v>6367321</v>
      </c>
      <c r="D50" s="84">
        <f>VLOOKUP($A50,Costdrivere!$A$3:$I$50,4,FALSE)</f>
        <v>4300314</v>
      </c>
      <c r="E50" s="84">
        <f>VLOOKUP($A50,Costdrivere!$A$3:$I$50,5,FALSE)</f>
        <v>1636781.5799999998</v>
      </c>
      <c r="F50" s="84">
        <f>VLOOKUP($A50,Costdrivere!$A$3:$I$50,6,FALSE)</f>
        <v>49017914.673603907</v>
      </c>
      <c r="G50" s="84">
        <f>VLOOKUP($A50,Costdrivere!$A$3:$I$50,7,FALSE)</f>
        <v>31378210.199999999</v>
      </c>
      <c r="H50" s="84">
        <f>VLOOKUP($A50,Costdrivere!$A$3:$I$50,8,FALSE)</f>
        <v>403860</v>
      </c>
      <c r="I50" s="41">
        <f>VLOOKUP($A50,Costdrivere!$A$3:$I$50,9,FALSE)</f>
        <v>9362724.7999999989</v>
      </c>
      <c r="J50" s="127">
        <v>37.526826070710399</v>
      </c>
      <c r="K50" s="127">
        <f>VLOOKUP(A50,Costdrivere!$A$3:$J$50,10,FALSE)</f>
        <v>3.0193221659524736E-2</v>
      </c>
      <c r="L50" s="115">
        <f t="shared" si="30"/>
        <v>143428177.25360391</v>
      </c>
      <c r="M50" s="42">
        <f t="shared" si="31"/>
        <v>161705117.59560952</v>
      </c>
      <c r="N50" s="94">
        <f t="shared" si="32"/>
        <v>187860902.46823338</v>
      </c>
      <c r="O50" s="115">
        <f>L50+'Potentialer og krav'!$F49</f>
        <v>143428177.25360391</v>
      </c>
      <c r="P50" s="42">
        <f t="shared" si="33"/>
        <v>161705117.59560952</v>
      </c>
      <c r="Q50" s="94">
        <f t="shared" si="34"/>
        <v>187860902.46823338</v>
      </c>
      <c r="R50" s="115">
        <f>O50+(0.2*'Potentialer og krav'!$C49)</f>
        <v>170574798.34502614</v>
      </c>
      <c r="S50" s="94">
        <f>P50+(0.2*'Potentialer og krav'!$C49)</f>
        <v>188851738.68703175</v>
      </c>
      <c r="T50" s="41">
        <f>Q50+(0.2*'Potentialer og krav'!$C49)</f>
        <v>215007523.55965561</v>
      </c>
      <c r="U50" s="115">
        <v>117542254</v>
      </c>
      <c r="V50" s="105">
        <f t="shared" si="12"/>
        <v>120245725.84199999</v>
      </c>
      <c r="X50" s="178">
        <f t="shared" si="13"/>
        <v>0.28558580178826592</v>
      </c>
      <c r="Y50" s="179">
        <f t="shared" si="14"/>
        <v>4.4393794315196244E-2</v>
      </c>
      <c r="Z50" s="179">
        <f t="shared" si="15"/>
        <v>2.998235132275549E-2</v>
      </c>
      <c r="AA50" s="179">
        <f t="shared" si="16"/>
        <v>1.1411855127363913E-2</v>
      </c>
      <c r="AB50" s="179">
        <f t="shared" si="17"/>
        <v>0.34175930847208924</v>
      </c>
      <c r="AC50" s="179">
        <f t="shared" si="18"/>
        <v>0.21877298311138904</v>
      </c>
      <c r="AD50" s="179">
        <f t="shared" si="19"/>
        <v>2.8157647104858001E-3</v>
      </c>
      <c r="AE50" s="180">
        <f t="shared" si="20"/>
        <v>6.5278141152454353E-2</v>
      </c>
      <c r="AF50" s="176"/>
      <c r="AG50" s="195">
        <f>X50+Z50+AE50</f>
        <v>0.38084629426347577</v>
      </c>
      <c r="AI50" s="178">
        <f>X$52-X50</f>
        <v>-6.933944396485156E-2</v>
      </c>
      <c r="AJ50" s="179">
        <f t="shared" si="1"/>
        <v>0.15711573362590028</v>
      </c>
      <c r="AK50" s="179">
        <f t="shared" si="2"/>
        <v>-9.6705433448065828E-3</v>
      </c>
      <c r="AL50" s="179">
        <f t="shared" si="3"/>
        <v>3.4961087763466722E-3</v>
      </c>
      <c r="AM50" s="179">
        <f t="shared" si="4"/>
        <v>-0.34119186165183651</v>
      </c>
      <c r="AN50" s="179">
        <f t="shared" si="5"/>
        <v>0.12324366437389939</v>
      </c>
      <c r="AO50" s="179">
        <f t="shared" si="6"/>
        <v>0.13097243109099918</v>
      </c>
      <c r="AP50" s="180">
        <f t="shared" si="7"/>
        <v>5.3739110943490792E-3</v>
      </c>
      <c r="AQ50" s="172"/>
      <c r="AR50" s="199">
        <f t="shared" si="36"/>
        <v>0.38084629426347577</v>
      </c>
      <c r="AS50" s="200">
        <f>$AG$52-AR50</f>
        <v>-7.3636076215309099E-2</v>
      </c>
      <c r="AT50" s="201">
        <f t="shared" si="24"/>
        <v>0</v>
      </c>
    </row>
    <row r="51" spans="1:46" ht="15" thickBot="1" x14ac:dyDescent="0.35">
      <c r="N51" s="28"/>
    </row>
    <row r="52" spans="1:46" x14ac:dyDescent="0.3">
      <c r="W52" s="185" t="s">
        <v>115</v>
      </c>
      <c r="X52" s="186">
        <v>0.21624635782341436</v>
      </c>
      <c r="Y52" s="186">
        <v>0.20150952794109653</v>
      </c>
      <c r="Z52" s="186">
        <v>2.0311807977948907E-2</v>
      </c>
      <c r="AA52" s="186">
        <v>1.4907963903710585E-2</v>
      </c>
      <c r="AB52" s="186">
        <v>5.6744682025271079E-4</v>
      </c>
      <c r="AC52" s="186">
        <v>0.34201664748528843</v>
      </c>
      <c r="AD52" s="186">
        <v>0.13378819580148499</v>
      </c>
      <c r="AE52" s="186">
        <v>7.0652052246803432E-2</v>
      </c>
      <c r="AF52" s="186"/>
      <c r="AG52" s="187">
        <v>0.30721021804816667</v>
      </c>
    </row>
    <row r="53" spans="1:46" x14ac:dyDescent="0.3">
      <c r="W53" s="188" t="s">
        <v>116</v>
      </c>
      <c r="X53" s="189">
        <v>3.2441988756174305</v>
      </c>
      <c r="Y53" s="189">
        <v>1.5778322314414504</v>
      </c>
      <c r="Z53" s="189">
        <v>3.2413807245213186E-2</v>
      </c>
      <c r="AA53" s="189">
        <v>4.9862517950666117E-2</v>
      </c>
      <c r="AB53" s="189">
        <v>2.1479347057795344E-4</v>
      </c>
      <c r="AC53" s="189">
        <v>3.2911075065021707</v>
      </c>
      <c r="AD53" s="189">
        <v>1.6035644166163368</v>
      </c>
      <c r="AE53" s="189">
        <v>0.22872003601799407</v>
      </c>
      <c r="AF53" s="189"/>
      <c r="AG53" s="190">
        <v>4.3421930609075963</v>
      </c>
    </row>
    <row r="54" spans="1:46" x14ac:dyDescent="0.3">
      <c r="W54" s="188" t="s">
        <v>117</v>
      </c>
      <c r="X54" s="189">
        <v>0.18011659766988244</v>
      </c>
      <c r="Y54" s="189">
        <v>0.12561179209936663</v>
      </c>
      <c r="Z54" s="189">
        <v>1.8003834937371867E-2</v>
      </c>
      <c r="AA54" s="189">
        <v>2.2329916692783724E-2</v>
      </c>
      <c r="AB54" s="189">
        <v>1.4655834011681268E-3</v>
      </c>
      <c r="AC54" s="189">
        <v>0.18141409830832253</v>
      </c>
      <c r="AD54" s="189">
        <v>0.12663192396139045</v>
      </c>
      <c r="AE54" s="189">
        <v>4.782468358682513E-2</v>
      </c>
      <c r="AF54" s="189"/>
      <c r="AG54" s="190">
        <v>0.20837929505849653</v>
      </c>
    </row>
    <row r="55" spans="1:46" ht="15" thickBot="1" x14ac:dyDescent="0.35">
      <c r="W55" s="191" t="s">
        <v>118</v>
      </c>
      <c r="X55" s="192">
        <v>-0.18011659766988244</v>
      </c>
      <c r="Y55" s="192">
        <v>-0.12561179209936663</v>
      </c>
      <c r="Z55" s="192">
        <v>-1.8003834937371867E-2</v>
      </c>
      <c r="AA55" s="192">
        <v>-2.2329916692783724E-2</v>
      </c>
      <c r="AB55" s="192">
        <v>-1.4655834011681268E-3</v>
      </c>
      <c r="AC55" s="192">
        <v>-0.18141409830832253</v>
      </c>
      <c r="AD55" s="192">
        <v>-0.12663192396139045</v>
      </c>
      <c r="AE55" s="192">
        <v>-4.782468358682513E-2</v>
      </c>
      <c r="AF55" s="192"/>
      <c r="AG55" s="193">
        <v>-0.20837929505849653</v>
      </c>
    </row>
    <row r="58" spans="1:46" x14ac:dyDescent="0.3">
      <c r="X58" s="171"/>
      <c r="Y58" s="171"/>
      <c r="Z58" s="171"/>
      <c r="AA58" s="171"/>
      <c r="AB58" s="171"/>
      <c r="AC58" s="171"/>
      <c r="AD58" s="171"/>
      <c r="AE58" s="171"/>
      <c r="AF58" s="171"/>
      <c r="AG58" s="171"/>
    </row>
    <row r="59" spans="1:46" x14ac:dyDescent="0.3">
      <c r="X59" s="171"/>
      <c r="Y59" s="171"/>
      <c r="Z59" s="171"/>
      <c r="AA59" s="171"/>
      <c r="AB59" s="171"/>
      <c r="AC59" s="171"/>
      <c r="AD59" s="171"/>
      <c r="AE59" s="171"/>
      <c r="AF59" s="171"/>
      <c r="AG59" s="171"/>
    </row>
    <row r="60" spans="1:46" x14ac:dyDescent="0.3">
      <c r="X60" s="171"/>
      <c r="Y60" s="171"/>
      <c r="Z60" s="171"/>
      <c r="AA60" s="171"/>
      <c r="AB60" s="171"/>
      <c r="AC60" s="171"/>
      <c r="AD60" s="171"/>
      <c r="AE60" s="171"/>
      <c r="AF60" s="171"/>
      <c r="AG60" s="171"/>
    </row>
    <row r="61" spans="1:46" x14ac:dyDescent="0.3">
      <c r="X61" s="171"/>
      <c r="Y61" s="171"/>
      <c r="Z61" s="171"/>
      <c r="AA61" s="171"/>
      <c r="AB61" s="171"/>
      <c r="AC61" s="171"/>
      <c r="AD61" s="171"/>
      <c r="AE61" s="171"/>
      <c r="AF61" s="171"/>
      <c r="AG61" s="171"/>
    </row>
  </sheetData>
  <sortState ref="A3:P111">
    <sortCondition ref="A2"/>
  </sortState>
  <customSheetViews>
    <customSheetView guid="{CA125778-F8FD-4378-B746-C94ABF8D8556}">
      <pane xSplit="1" ySplit="2" topLeftCell="L44" activePane="bottomRight" state="frozen"/>
      <selection pane="bottomRight" activeCell="S62" sqref="S62"/>
      <pageMargins left="0.7" right="0.7" top="0.75" bottom="0.75" header="0.3" footer="0.3"/>
      <pageSetup paperSize="9" orientation="portrait" r:id="rId1"/>
    </customSheetView>
    <customSheetView guid="{671B1274-D827-4B17-9362-3AC860C70530}">
      <pane xSplit="1" ySplit="2" topLeftCell="B3" activePane="bottomRight" state="frozen"/>
      <selection pane="bottomRight" activeCell="AG21" sqref="AG21"/>
      <pageMargins left="0.7" right="0.7" top="0.75" bottom="0.75" header="0.3" footer="0.3"/>
      <pageSetup paperSize="9" orientation="portrait" r:id="rId2"/>
    </customSheetView>
    <customSheetView guid="{88D7A6C6-1D77-4300-8600-F7BD640C7FF4}">
      <pane xSplit="1" ySplit="2" topLeftCell="B3" activePane="bottomRight" state="frozen"/>
      <selection pane="bottomRight" activeCell="W27" sqref="W27"/>
      <pageMargins left="0.7" right="0.7" top="0.75" bottom="0.75" header="0.3" footer="0.3"/>
      <pageSetup paperSize="9" orientation="portrait" r:id="rId3"/>
    </customSheetView>
    <customSheetView guid="{630A50AD-37E0-4B13-8A0F-82608C065D57}">
      <pane xSplit="1" ySplit="2" topLeftCell="Z3" activePane="bottomRight" state="frozen"/>
      <selection pane="bottomRight" activeCell="AM4" sqref="AM4"/>
      <pageMargins left="0.7" right="0.7" top="0.75" bottom="0.75" header="0.3" footer="0.3"/>
      <pageSetup paperSize="9" orientation="portrait" r:id="rId4"/>
    </customSheetView>
    <customSheetView guid="{80E426B4-B9D0-45E3-ACA1-6AA797532F97}">
      <pane xSplit="1" ySplit="2" topLeftCell="K81" activePane="bottomRight" state="frozen"/>
      <selection pane="bottomRight" activeCell="A109" sqref="A109:XFD109"/>
      <pageMargins left="0.7" right="0.7" top="0.75" bottom="0.75" header="0.3" footer="0.3"/>
      <pageSetup paperSize="9" orientation="portrait" r:id="rId5"/>
    </customSheetView>
    <customSheetView guid="{A178F800-3B7E-4511-BF10-5AA233FDE985}">
      <pane xSplit="3" ySplit="2" topLeftCell="D3" activePane="bottomRight" state="frozen"/>
      <selection pane="bottomRight" activeCell="B68" sqref="B68"/>
      <pageMargins left="0.7" right="0.7" top="0.75" bottom="0.75" header="0.3" footer="0.3"/>
      <pageSetup paperSize="9" orientation="portrait" r:id="rId6"/>
    </customSheetView>
    <customSheetView guid="{1AAC2EB3-B963-4CB8-8604-06326666FF8C}" scale="90">
      <pane xSplit="1" ySplit="2" topLeftCell="B43" activePane="bottomRight" state="frozen"/>
      <selection pane="bottomRight" activeCell="A43" sqref="A43"/>
      <pageMargins left="0.7" right="0.7" top="0.75" bottom="0.75" header="0.3" footer="0.3"/>
      <pageSetup paperSize="9" orientation="portrait" r:id="rId7"/>
    </customSheetView>
    <customSheetView guid="{898A57C7-EA84-4A1C-AA42-8284F31DD32C}">
      <pane xSplit="1" ySplit="2" topLeftCell="K30" activePane="bottomRight" state="frozen"/>
      <selection pane="bottomRight" activeCell="L36" sqref="L36"/>
      <pageMargins left="0.7" right="0.7" top="0.75" bottom="0.75" header="0.3" footer="0.3"/>
      <pageSetup paperSize="9" orientation="portrait" r:id="rId8"/>
    </customSheetView>
  </customSheetViews>
  <mergeCells count="6">
    <mergeCell ref="AI1:AP1"/>
    <mergeCell ref="B1:I1"/>
    <mergeCell ref="L1:N1"/>
    <mergeCell ref="O1:Q1"/>
    <mergeCell ref="R1:T1"/>
    <mergeCell ref="X1:AE1"/>
  </mergeCells>
  <conditionalFormatting sqref="AT3:AT50">
    <cfRule type="cellIs" dxfId="8" priority="1" operator="equal">
      <formula>0</formula>
    </cfRule>
  </conditionalFormatting>
  <conditionalFormatting sqref="AL3:AL50">
    <cfRule type="cellIs" dxfId="7" priority="410" operator="between">
      <formula>$AA$54</formula>
      <formula>$AA$55</formula>
    </cfRule>
  </conditionalFormatting>
  <conditionalFormatting sqref="AI3:AI50">
    <cfRule type="cellIs" dxfId="6" priority="412" operator="between">
      <formula>$X$54</formula>
      <formula>$X$55</formula>
    </cfRule>
  </conditionalFormatting>
  <conditionalFormatting sqref="AJ3:AK50">
    <cfRule type="cellIs" dxfId="5" priority="414" operator="between">
      <formula>$Y$54</formula>
      <formula>$Y$55</formula>
    </cfRule>
  </conditionalFormatting>
  <conditionalFormatting sqref="AK3:AK50">
    <cfRule type="cellIs" dxfId="4" priority="416" operator="between">
      <formula>$Z$54</formula>
      <formula>$Z$55</formula>
    </cfRule>
  </conditionalFormatting>
  <conditionalFormatting sqref="AM3:AM50">
    <cfRule type="cellIs" dxfId="3" priority="418" operator="between">
      <formula>$AB$54</formula>
      <formula>$AB$55</formula>
    </cfRule>
  </conditionalFormatting>
  <conditionalFormatting sqref="AN3:AN50">
    <cfRule type="cellIs" dxfId="2" priority="420" operator="between">
      <formula>$AC$54</formula>
      <formula>$AC$55</formula>
    </cfRule>
  </conditionalFormatting>
  <conditionalFormatting sqref="AO3:AO50">
    <cfRule type="cellIs" dxfId="1" priority="422" operator="between">
      <formula>$AD$54</formula>
      <formula>$AD$55</formula>
    </cfRule>
  </conditionalFormatting>
  <conditionalFormatting sqref="AP3:AP50">
    <cfRule type="cellIs" dxfId="0" priority="424" operator="between">
      <formula>$AE$54</formula>
      <formula>$AE$55</formula>
    </cfRule>
  </conditionalFormatting>
  <pageMargins left="0.7" right="0.7" top="0.75" bottom="0.75" header="0.3" footer="0.3"/>
  <pageSetup paperSize="9" orientation="portrait" r:id="rId9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P60"/>
  <sheetViews>
    <sheetView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K4" sqref="K4"/>
    </sheetView>
  </sheetViews>
  <sheetFormatPr defaultColWidth="9.109375" defaultRowHeight="14.4" x14ac:dyDescent="0.3"/>
  <cols>
    <col min="1" max="1" width="32" style="6" customWidth="1"/>
    <col min="2" max="2" width="13.6640625" style="6" customWidth="1"/>
    <col min="3" max="9" width="12.33203125" style="6" customWidth="1"/>
    <col min="10" max="10" width="9.109375" style="6" bestFit="1" customWidth="1"/>
    <col min="11" max="32" width="9.109375" style="6" customWidth="1"/>
    <col min="33" max="33" width="14" style="6" customWidth="1"/>
    <col min="34" max="34" width="11.88671875" style="6" customWidth="1"/>
    <col min="35" max="35" width="11.5546875" style="6" customWidth="1"/>
    <col min="36" max="39" width="9.109375" style="6" customWidth="1"/>
    <col min="40" max="40" width="10.33203125" style="6" customWidth="1"/>
    <col min="41" max="41" width="9.109375" style="6" customWidth="1"/>
    <col min="42" max="42" width="13" style="6" customWidth="1"/>
    <col min="43" max="16384" width="9.109375" style="6"/>
  </cols>
  <sheetData>
    <row r="1" spans="1:42" s="134" customFormat="1" ht="18.75" customHeight="1" thickBot="1" x14ac:dyDescent="0.35">
      <c r="A1" s="272" t="s">
        <v>0</v>
      </c>
      <c r="B1" s="275" t="s">
        <v>84</v>
      </c>
      <c r="C1" s="276"/>
      <c r="D1" s="276"/>
      <c r="E1" s="276"/>
      <c r="F1" s="276"/>
      <c r="G1" s="276"/>
      <c r="H1" s="276"/>
      <c r="I1" s="277"/>
      <c r="J1" s="5"/>
      <c r="K1" s="271" t="s">
        <v>1</v>
      </c>
      <c r="L1" s="271"/>
      <c r="M1" s="271"/>
      <c r="N1" s="271"/>
      <c r="O1" s="271"/>
      <c r="P1" s="271"/>
      <c r="Q1" s="271"/>
      <c r="R1" s="274"/>
      <c r="S1" s="270" t="s">
        <v>2</v>
      </c>
      <c r="T1" s="271"/>
      <c r="U1" s="271"/>
      <c r="V1" s="271"/>
      <c r="W1" s="271"/>
      <c r="X1" s="271"/>
      <c r="Y1" s="271"/>
      <c r="Z1" s="271"/>
      <c r="AA1" s="271"/>
      <c r="AB1" s="271"/>
      <c r="AC1" s="271"/>
      <c r="AD1" s="271"/>
      <c r="AE1" s="274"/>
      <c r="AF1" s="270" t="s">
        <v>3</v>
      </c>
      <c r="AG1" s="274"/>
      <c r="AH1" s="270" t="s">
        <v>4</v>
      </c>
      <c r="AI1" s="274"/>
      <c r="AJ1" s="270" t="s">
        <v>5</v>
      </c>
      <c r="AK1" s="271"/>
      <c r="AL1" s="274"/>
      <c r="AM1" s="270" t="s">
        <v>6</v>
      </c>
      <c r="AN1" s="271"/>
      <c r="AO1" s="112" t="s">
        <v>7</v>
      </c>
      <c r="AP1" s="91" t="s">
        <v>8</v>
      </c>
    </row>
    <row r="2" spans="1:42" s="134" customFormat="1" ht="120.75" customHeight="1" thickBot="1" x14ac:dyDescent="0.35">
      <c r="A2" s="273"/>
      <c r="B2" s="133" t="s">
        <v>1</v>
      </c>
      <c r="C2" s="56" t="s">
        <v>92</v>
      </c>
      <c r="D2" s="56" t="s">
        <v>93</v>
      </c>
      <c r="E2" s="56" t="s">
        <v>97</v>
      </c>
      <c r="F2" s="56" t="s">
        <v>136</v>
      </c>
      <c r="G2" s="56" t="s">
        <v>95</v>
      </c>
      <c r="H2" s="56" t="s">
        <v>96</v>
      </c>
      <c r="I2" s="170" t="s">
        <v>7</v>
      </c>
      <c r="J2" s="7" t="s">
        <v>88</v>
      </c>
      <c r="K2" s="21" t="s">
        <v>9</v>
      </c>
      <c r="L2" s="22" t="s">
        <v>10</v>
      </c>
      <c r="M2" s="22" t="s">
        <v>11</v>
      </c>
      <c r="N2" s="22" t="s">
        <v>12</v>
      </c>
      <c r="O2" s="22" t="s">
        <v>13</v>
      </c>
      <c r="P2" s="22" t="s">
        <v>14</v>
      </c>
      <c r="Q2" s="22" t="s">
        <v>15</v>
      </c>
      <c r="R2" s="23" t="s">
        <v>16</v>
      </c>
      <c r="S2" s="24" t="s">
        <v>17</v>
      </c>
      <c r="T2" s="22" t="s">
        <v>18</v>
      </c>
      <c r="U2" s="22" t="s">
        <v>19</v>
      </c>
      <c r="V2" s="22" t="s">
        <v>20</v>
      </c>
      <c r="W2" s="22" t="s">
        <v>21</v>
      </c>
      <c r="X2" s="22" t="s">
        <v>22</v>
      </c>
      <c r="Y2" s="22" t="s">
        <v>23</v>
      </c>
      <c r="Z2" s="22" t="s">
        <v>24</v>
      </c>
      <c r="AA2" s="22" t="s">
        <v>25</v>
      </c>
      <c r="AB2" s="22" t="s">
        <v>26</v>
      </c>
      <c r="AC2" s="22" t="s">
        <v>27</v>
      </c>
      <c r="AD2" s="22" t="s">
        <v>28</v>
      </c>
      <c r="AE2" s="23" t="s">
        <v>29</v>
      </c>
      <c r="AF2" s="21" t="s">
        <v>30</v>
      </c>
      <c r="AG2" s="23" t="s">
        <v>31</v>
      </c>
      <c r="AH2" s="24" t="s">
        <v>30</v>
      </c>
      <c r="AI2" s="23" t="s">
        <v>32</v>
      </c>
      <c r="AJ2" s="21" t="s">
        <v>33</v>
      </c>
      <c r="AK2" s="22" t="s">
        <v>34</v>
      </c>
      <c r="AL2" s="23" t="s">
        <v>35</v>
      </c>
      <c r="AM2" s="24" t="s">
        <v>30</v>
      </c>
      <c r="AN2" s="25" t="s">
        <v>36</v>
      </c>
      <c r="AO2" s="25" t="s">
        <v>37</v>
      </c>
      <c r="AP2" s="135" t="s">
        <v>38</v>
      </c>
    </row>
    <row r="3" spans="1:42" s="206" customFormat="1" x14ac:dyDescent="0.3">
      <c r="A3" s="136" t="s">
        <v>39</v>
      </c>
      <c r="B3" s="151">
        <f>4.279*SUM(K3:N3)*1000+87.088*SUM(O3:R3)*1000</f>
        <v>1339327</v>
      </c>
      <c r="C3" s="152">
        <f>6628*S3+13891*T3+24337*V3+102864*(X3+Z3)+598*(AC3+AE3)</f>
        <v>2588081</v>
      </c>
      <c r="D3" s="152">
        <f t="shared" ref="D3:D17" si="0">13523*AF3</f>
        <v>270460</v>
      </c>
      <c r="E3" s="152">
        <f t="shared" ref="E3:E17" si="1">19.74*AI3</f>
        <v>296672.45999999996</v>
      </c>
      <c r="F3" s="152">
        <f>VLOOKUP(A3,Renseanlæg!$I$1:$K$56,3,FALSE)</f>
        <v>6632348.3900470575</v>
      </c>
      <c r="G3" s="152">
        <f>3965.4*AJ3+4747.7*(AK3+AL3)</f>
        <v>2406997.8000000003</v>
      </c>
      <c r="H3" s="152">
        <f t="shared" ref="H3:H17" si="2">2540*AM3</f>
        <v>0</v>
      </c>
      <c r="I3" s="153">
        <f t="shared" ref="I3:I17" si="3">120.8*AO3</f>
        <v>891866.4</v>
      </c>
      <c r="J3" s="205">
        <f>AO3/(SUM(K3:R3)*1000)</f>
        <v>2.3587859424920126E-2</v>
      </c>
      <c r="K3" s="99">
        <v>29</v>
      </c>
      <c r="L3" s="162">
        <v>25</v>
      </c>
      <c r="M3" s="162">
        <v>174</v>
      </c>
      <c r="N3" s="162">
        <v>85</v>
      </c>
      <c r="O3" s="162">
        <v>0</v>
      </c>
      <c r="P3" s="162">
        <v>0</v>
      </c>
      <c r="Q3" s="162">
        <v>0</v>
      </c>
      <c r="R3" s="163">
        <v>0</v>
      </c>
      <c r="S3" s="99">
        <v>142</v>
      </c>
      <c r="T3" s="162">
        <v>14</v>
      </c>
      <c r="U3" s="162">
        <v>113</v>
      </c>
      <c r="V3" s="162">
        <v>47</v>
      </c>
      <c r="W3" s="162">
        <v>1342</v>
      </c>
      <c r="X3" s="162">
        <v>3</v>
      </c>
      <c r="Y3" s="162">
        <v>593</v>
      </c>
      <c r="Z3" s="162">
        <v>0</v>
      </c>
      <c r="AA3" s="162">
        <v>0</v>
      </c>
      <c r="AB3" s="162">
        <v>0</v>
      </c>
      <c r="AC3" s="162">
        <v>0</v>
      </c>
      <c r="AD3" s="162">
        <v>0</v>
      </c>
      <c r="AE3" s="163">
        <v>0</v>
      </c>
      <c r="AF3" s="99">
        <v>20</v>
      </c>
      <c r="AG3" s="163">
        <v>72663</v>
      </c>
      <c r="AH3" s="99">
        <v>11</v>
      </c>
      <c r="AI3" s="163">
        <v>15029</v>
      </c>
      <c r="AJ3" s="99">
        <v>607</v>
      </c>
      <c r="AK3" s="162">
        <v>0</v>
      </c>
      <c r="AL3" s="163">
        <v>0</v>
      </c>
      <c r="AM3" s="99">
        <v>0</v>
      </c>
      <c r="AN3" s="162">
        <v>0</v>
      </c>
      <c r="AO3" s="163">
        <v>7383</v>
      </c>
      <c r="AP3" s="159">
        <v>1534456</v>
      </c>
    </row>
    <row r="4" spans="1:42" s="206" customFormat="1" x14ac:dyDescent="0.3">
      <c r="A4" s="26" t="s">
        <v>104</v>
      </c>
      <c r="B4" s="154">
        <f t="shared" ref="B4:B17" si="4">4.279*SUM(K4:N4)*1000+87.088*SUM(O4:R4)*1000</f>
        <v>6307246</v>
      </c>
      <c r="C4" s="52">
        <f t="shared" ref="C4:C50" si="5">6628*S4+13891*T4+24337*V4+102864*(X4+Z4)+598*(AC4+AE4)</f>
        <v>7279316</v>
      </c>
      <c r="D4" s="52">
        <f t="shared" si="0"/>
        <v>1433438</v>
      </c>
      <c r="E4" s="52">
        <f t="shared" si="1"/>
        <v>42756.84</v>
      </c>
      <c r="F4" s="52">
        <f>VLOOKUP(A4,Renseanlæg!$I$1:$K$56,3,FALSE)</f>
        <v>16409139.2283468</v>
      </c>
      <c r="G4" s="52">
        <f t="shared" ref="G4:G17" si="6">3965.4*AJ4+4747.7*(AK4+AL4)</f>
        <v>3470737.5</v>
      </c>
      <c r="H4" s="52">
        <f t="shared" si="2"/>
        <v>0</v>
      </c>
      <c r="I4" s="155">
        <f t="shared" si="3"/>
        <v>2996444</v>
      </c>
      <c r="J4" s="149">
        <f t="shared" ref="J4:J17" si="7">AO4/(SUM(K4:R4)*1000)</f>
        <v>1.6828358208955223E-2</v>
      </c>
      <c r="K4" s="63">
        <v>93</v>
      </c>
      <c r="L4" s="168">
        <v>443</v>
      </c>
      <c r="M4" s="168">
        <v>232</v>
      </c>
      <c r="N4" s="168">
        <v>706</v>
      </c>
      <c r="O4" s="168">
        <v>0</v>
      </c>
      <c r="P4" s="168">
        <v>0</v>
      </c>
      <c r="Q4" s="168">
        <v>0</v>
      </c>
      <c r="R4" s="164">
        <v>0</v>
      </c>
      <c r="S4" s="63">
        <v>131</v>
      </c>
      <c r="T4" s="168">
        <v>62</v>
      </c>
      <c r="U4" s="168">
        <v>0</v>
      </c>
      <c r="V4" s="168">
        <v>190</v>
      </c>
      <c r="W4" s="168">
        <v>0</v>
      </c>
      <c r="X4" s="168">
        <v>9</v>
      </c>
      <c r="Y4" s="168">
        <v>0</v>
      </c>
      <c r="Z4" s="168">
        <v>0</v>
      </c>
      <c r="AA4" s="168">
        <v>0</v>
      </c>
      <c r="AB4" s="168">
        <v>1</v>
      </c>
      <c r="AC4" s="168">
        <v>0</v>
      </c>
      <c r="AD4" s="168">
        <v>0</v>
      </c>
      <c r="AE4" s="164">
        <v>0</v>
      </c>
      <c r="AF4" s="63">
        <v>106</v>
      </c>
      <c r="AG4" s="164">
        <v>301567</v>
      </c>
      <c r="AH4" s="63">
        <v>8</v>
      </c>
      <c r="AI4" s="164">
        <v>2166</v>
      </c>
      <c r="AJ4" s="207">
        <v>767.5</v>
      </c>
      <c r="AK4" s="168">
        <v>90</v>
      </c>
      <c r="AL4" s="164">
        <v>0</v>
      </c>
      <c r="AM4" s="63">
        <v>0</v>
      </c>
      <c r="AN4" s="168">
        <v>0</v>
      </c>
      <c r="AO4" s="164">
        <v>24805</v>
      </c>
      <c r="AP4" s="160">
        <v>3838724</v>
      </c>
    </row>
    <row r="5" spans="1:42" s="206" customFormat="1" ht="15" x14ac:dyDescent="0.25">
      <c r="A5" s="26" t="s">
        <v>40</v>
      </c>
      <c r="B5" s="154">
        <f t="shared" si="4"/>
        <v>1741553</v>
      </c>
      <c r="C5" s="52">
        <f t="shared" si="5"/>
        <v>1721250</v>
      </c>
      <c r="D5" s="52">
        <f t="shared" si="0"/>
        <v>189322</v>
      </c>
      <c r="E5" s="52">
        <f t="shared" si="1"/>
        <v>247046.09999999998</v>
      </c>
      <c r="F5" s="52">
        <f>VLOOKUP(A5,Renseanlæg!$I$1:$K$56,3,FALSE)</f>
        <v>12641343.810135681</v>
      </c>
      <c r="G5" s="52">
        <f t="shared" si="6"/>
        <v>4770376.2</v>
      </c>
      <c r="H5" s="52">
        <f t="shared" si="2"/>
        <v>0</v>
      </c>
      <c r="I5" s="155">
        <f t="shared" si="3"/>
        <v>1108460.8</v>
      </c>
      <c r="J5" s="149">
        <f t="shared" si="7"/>
        <v>2.2545454545454546E-2</v>
      </c>
      <c r="K5" s="63">
        <v>12</v>
      </c>
      <c r="L5" s="168">
        <v>16</v>
      </c>
      <c r="M5" s="168">
        <v>238</v>
      </c>
      <c r="N5" s="168">
        <v>141</v>
      </c>
      <c r="O5" s="168">
        <v>0</v>
      </c>
      <c r="P5" s="168">
        <v>0</v>
      </c>
      <c r="Q5" s="168">
        <v>0</v>
      </c>
      <c r="R5" s="164">
        <v>0</v>
      </c>
      <c r="S5" s="63">
        <v>1</v>
      </c>
      <c r="T5" s="168">
        <v>0</v>
      </c>
      <c r="U5" s="168">
        <v>0</v>
      </c>
      <c r="V5" s="168">
        <v>62</v>
      </c>
      <c r="W5" s="168">
        <v>1440</v>
      </c>
      <c r="X5" s="168">
        <v>2</v>
      </c>
      <c r="Y5" s="168">
        <v>440</v>
      </c>
      <c r="Z5" s="168">
        <v>0</v>
      </c>
      <c r="AA5" s="168">
        <v>0</v>
      </c>
      <c r="AB5" s="168">
        <v>0</v>
      </c>
      <c r="AC5" s="168">
        <v>0</v>
      </c>
      <c r="AD5" s="168">
        <v>0</v>
      </c>
      <c r="AE5" s="164">
        <v>0</v>
      </c>
      <c r="AF5" s="63">
        <v>14</v>
      </c>
      <c r="AG5" s="164">
        <v>14450</v>
      </c>
      <c r="AH5" s="63">
        <v>6</v>
      </c>
      <c r="AI5" s="164">
        <v>12515</v>
      </c>
      <c r="AJ5" s="63">
        <v>1203</v>
      </c>
      <c r="AK5" s="168">
        <v>0</v>
      </c>
      <c r="AL5" s="164">
        <v>0</v>
      </c>
      <c r="AM5" s="63">
        <v>0</v>
      </c>
      <c r="AN5" s="168">
        <v>0</v>
      </c>
      <c r="AO5" s="164">
        <v>9176</v>
      </c>
      <c r="AP5" s="160">
        <v>3481962</v>
      </c>
    </row>
    <row r="6" spans="1:42" s="206" customFormat="1" ht="15" x14ac:dyDescent="0.25">
      <c r="A6" s="26" t="s">
        <v>41</v>
      </c>
      <c r="B6" s="154">
        <f t="shared" si="4"/>
        <v>3500221.9999999995</v>
      </c>
      <c r="C6" s="52">
        <f t="shared" si="5"/>
        <v>3207707</v>
      </c>
      <c r="D6" s="52">
        <f t="shared" si="0"/>
        <v>40569</v>
      </c>
      <c r="E6" s="52">
        <f t="shared" si="1"/>
        <v>888299.99999999988</v>
      </c>
      <c r="F6" s="52">
        <f>VLOOKUP(A6,Renseanlæg!$I$1:$K$56,3,FALSE)</f>
        <v>15417983.733680261</v>
      </c>
      <c r="G6" s="52">
        <f t="shared" si="6"/>
        <v>6344640</v>
      </c>
      <c r="H6" s="52">
        <f t="shared" si="2"/>
        <v>0</v>
      </c>
      <c r="I6" s="155">
        <f t="shared" si="3"/>
        <v>2019896.8</v>
      </c>
      <c r="J6" s="149">
        <f t="shared" si="7"/>
        <v>2.0441320293398534E-2</v>
      </c>
      <c r="K6" s="63">
        <v>180</v>
      </c>
      <c r="L6" s="168">
        <v>50</v>
      </c>
      <c r="M6" s="168">
        <v>300</v>
      </c>
      <c r="N6" s="168">
        <v>288</v>
      </c>
      <c r="O6" s="168">
        <v>0</v>
      </c>
      <c r="P6" s="168">
        <v>0</v>
      </c>
      <c r="Q6" s="168">
        <v>0</v>
      </c>
      <c r="R6" s="164">
        <v>0</v>
      </c>
      <c r="S6" s="63">
        <v>0</v>
      </c>
      <c r="T6" s="168">
        <v>82</v>
      </c>
      <c r="U6" s="168">
        <v>310</v>
      </c>
      <c r="V6" s="168">
        <v>85</v>
      </c>
      <c r="W6" s="168">
        <v>4250</v>
      </c>
      <c r="X6" s="168">
        <v>0</v>
      </c>
      <c r="Y6" s="168">
        <v>0</v>
      </c>
      <c r="Z6" s="168">
        <v>0</v>
      </c>
      <c r="AA6" s="168">
        <v>0</v>
      </c>
      <c r="AB6" s="168">
        <v>0</v>
      </c>
      <c r="AC6" s="168">
        <v>0</v>
      </c>
      <c r="AD6" s="168">
        <v>0</v>
      </c>
      <c r="AE6" s="164">
        <v>0</v>
      </c>
      <c r="AF6" s="63">
        <v>3</v>
      </c>
      <c r="AG6" s="164">
        <v>1000</v>
      </c>
      <c r="AH6" s="63">
        <v>16</v>
      </c>
      <c r="AI6" s="164">
        <v>45000</v>
      </c>
      <c r="AJ6" s="63">
        <v>1600</v>
      </c>
      <c r="AK6" s="168">
        <v>0</v>
      </c>
      <c r="AL6" s="164">
        <v>0</v>
      </c>
      <c r="AM6" s="63">
        <v>0</v>
      </c>
      <c r="AN6" s="168">
        <v>0</v>
      </c>
      <c r="AO6" s="164">
        <v>16721</v>
      </c>
      <c r="AP6" s="160">
        <v>3872184</v>
      </c>
    </row>
    <row r="7" spans="1:42" s="206" customFormat="1" ht="15" x14ac:dyDescent="0.25">
      <c r="A7" s="26" t="s">
        <v>42</v>
      </c>
      <c r="B7" s="154">
        <f>4.279*SUM(K7:N7)*1000+87.088*SUM(O7:R7)*1000</f>
        <v>16372626.699999999</v>
      </c>
      <c r="C7" s="52">
        <f t="shared" si="5"/>
        <v>8934525</v>
      </c>
      <c r="D7" s="52">
        <f t="shared" si="0"/>
        <v>1866174</v>
      </c>
      <c r="E7" s="52">
        <f t="shared" si="1"/>
        <v>1724466.66</v>
      </c>
      <c r="F7" s="52">
        <f>VLOOKUP(A7,Renseanlæg!$I$1:$K$56,3,FALSE)</f>
        <v>26760823.311775081</v>
      </c>
      <c r="G7" s="52">
        <f t="shared" si="6"/>
        <v>8613485.9000000004</v>
      </c>
      <c r="H7" s="52">
        <f t="shared" si="2"/>
        <v>0</v>
      </c>
      <c r="I7" s="155">
        <f t="shared" si="3"/>
        <v>3382400</v>
      </c>
      <c r="J7" s="149">
        <f t="shared" si="7"/>
        <v>1.4044943820224717E-2</v>
      </c>
      <c r="K7" s="63">
        <v>540.4</v>
      </c>
      <c r="L7" s="168">
        <v>202</v>
      </c>
      <c r="M7" s="168">
        <v>722.6</v>
      </c>
      <c r="N7" s="168">
        <v>433.9</v>
      </c>
      <c r="O7" s="168">
        <v>33.5</v>
      </c>
      <c r="P7" s="168">
        <v>61.2</v>
      </c>
      <c r="Q7" s="168">
        <v>0</v>
      </c>
      <c r="R7" s="164">
        <v>0</v>
      </c>
      <c r="S7" s="63">
        <v>0</v>
      </c>
      <c r="T7" s="168">
        <v>28</v>
      </c>
      <c r="U7" s="168">
        <v>178</v>
      </c>
      <c r="V7" s="168">
        <v>179</v>
      </c>
      <c r="W7" s="168">
        <v>9700</v>
      </c>
      <c r="X7" s="168">
        <v>32</v>
      </c>
      <c r="Y7" s="168">
        <v>5599</v>
      </c>
      <c r="Z7" s="168">
        <v>1</v>
      </c>
      <c r="AA7" s="168">
        <v>363</v>
      </c>
      <c r="AB7" s="168">
        <v>2</v>
      </c>
      <c r="AC7" s="168">
        <v>1329</v>
      </c>
      <c r="AD7" s="168">
        <v>0</v>
      </c>
      <c r="AE7" s="164">
        <v>0</v>
      </c>
      <c r="AF7" s="63">
        <v>138</v>
      </c>
      <c r="AG7" s="164">
        <v>673095</v>
      </c>
      <c r="AH7" s="63">
        <v>118</v>
      </c>
      <c r="AI7" s="164">
        <v>87359</v>
      </c>
      <c r="AJ7" s="63">
        <v>217</v>
      </c>
      <c r="AK7" s="168">
        <v>0</v>
      </c>
      <c r="AL7" s="164">
        <v>1633</v>
      </c>
      <c r="AM7" s="63">
        <v>0</v>
      </c>
      <c r="AN7" s="168">
        <v>0</v>
      </c>
      <c r="AO7" s="164">
        <v>28000</v>
      </c>
      <c r="AP7" s="160">
        <v>6135989</v>
      </c>
    </row>
    <row r="8" spans="1:42" s="206" customFormat="1" ht="15" x14ac:dyDescent="0.25">
      <c r="A8" s="26" t="s">
        <v>43</v>
      </c>
      <c r="B8" s="154">
        <f t="shared" si="4"/>
        <v>11909813</v>
      </c>
      <c r="C8" s="52">
        <f t="shared" si="5"/>
        <v>3590284</v>
      </c>
      <c r="D8" s="52">
        <f t="shared" si="0"/>
        <v>838426</v>
      </c>
      <c r="E8" s="52">
        <f t="shared" si="1"/>
        <v>1140360.0599999998</v>
      </c>
      <c r="F8" s="52">
        <f>VLOOKUP(A8,Renseanlæg!$I$1:$K$56,3,FALSE)</f>
        <v>36313216.451936185</v>
      </c>
      <c r="G8" s="52">
        <f t="shared" si="6"/>
        <v>12883101</v>
      </c>
      <c r="H8" s="52">
        <f t="shared" si="2"/>
        <v>10160</v>
      </c>
      <c r="I8" s="155">
        <f t="shared" si="3"/>
        <v>5256249.5999999996</v>
      </c>
      <c r="J8" s="149">
        <f t="shared" si="7"/>
        <v>3.0049723756906076E-2</v>
      </c>
      <c r="K8" s="63">
        <v>188</v>
      </c>
      <c r="L8" s="168">
        <v>98</v>
      </c>
      <c r="M8" s="168">
        <v>565</v>
      </c>
      <c r="N8" s="168">
        <v>528</v>
      </c>
      <c r="O8" s="168">
        <v>35</v>
      </c>
      <c r="P8" s="168">
        <v>34</v>
      </c>
      <c r="Q8" s="168">
        <v>0</v>
      </c>
      <c r="R8" s="164">
        <v>0</v>
      </c>
      <c r="S8" s="63">
        <v>6</v>
      </c>
      <c r="T8" s="168">
        <v>64</v>
      </c>
      <c r="U8" s="168">
        <v>435</v>
      </c>
      <c r="V8" s="168">
        <v>84</v>
      </c>
      <c r="W8" s="168">
        <v>2409</v>
      </c>
      <c r="X8" s="168">
        <v>5</v>
      </c>
      <c r="Y8" s="168">
        <v>909</v>
      </c>
      <c r="Z8" s="168">
        <v>1</v>
      </c>
      <c r="AA8" s="168">
        <v>333</v>
      </c>
      <c r="AB8" s="168">
        <v>0</v>
      </c>
      <c r="AC8" s="168">
        <v>0</v>
      </c>
      <c r="AD8" s="168">
        <v>0</v>
      </c>
      <c r="AE8" s="164">
        <v>0</v>
      </c>
      <c r="AF8" s="63">
        <v>62</v>
      </c>
      <c r="AG8" s="164">
        <v>351130</v>
      </c>
      <c r="AH8" s="63">
        <v>16</v>
      </c>
      <c r="AI8" s="164">
        <v>57769</v>
      </c>
      <c r="AJ8" s="63">
        <v>3019</v>
      </c>
      <c r="AK8" s="168">
        <v>0</v>
      </c>
      <c r="AL8" s="164">
        <v>192</v>
      </c>
      <c r="AM8" s="63">
        <v>4</v>
      </c>
      <c r="AN8" s="168">
        <v>20</v>
      </c>
      <c r="AO8" s="164">
        <v>43512</v>
      </c>
      <c r="AP8" s="160">
        <v>8600000</v>
      </c>
    </row>
    <row r="9" spans="1:42" s="206" customFormat="1" x14ac:dyDescent="0.3">
      <c r="A9" s="26" t="s">
        <v>44</v>
      </c>
      <c r="B9" s="154">
        <f t="shared" si="4"/>
        <v>393668</v>
      </c>
      <c r="C9" s="52">
        <f t="shared" si="5"/>
        <v>924712</v>
      </c>
      <c r="D9" s="52">
        <f t="shared" si="0"/>
        <v>0</v>
      </c>
      <c r="E9" s="52">
        <f t="shared" si="1"/>
        <v>0</v>
      </c>
      <c r="F9" s="52">
        <f>VLOOKUP(A9,Renseanlæg!$I$1:$K$56,3,FALSE)</f>
        <v>0</v>
      </c>
      <c r="G9" s="52">
        <f t="shared" si="6"/>
        <v>0</v>
      </c>
      <c r="H9" s="52">
        <f t="shared" si="2"/>
        <v>0</v>
      </c>
      <c r="I9" s="155">
        <f t="shared" si="3"/>
        <v>313113.59999999998</v>
      </c>
      <c r="J9" s="149">
        <f t="shared" si="7"/>
        <v>2.8173913043478261E-2</v>
      </c>
      <c r="K9" s="63">
        <v>22</v>
      </c>
      <c r="L9" s="168">
        <v>8</v>
      </c>
      <c r="M9" s="168">
        <v>59</v>
      </c>
      <c r="N9" s="168">
        <v>3</v>
      </c>
      <c r="O9" s="168">
        <v>0</v>
      </c>
      <c r="P9" s="168">
        <v>0</v>
      </c>
      <c r="Q9" s="168">
        <v>0</v>
      </c>
      <c r="R9" s="164">
        <v>0</v>
      </c>
      <c r="S9" s="63">
        <v>8</v>
      </c>
      <c r="T9" s="168">
        <v>61</v>
      </c>
      <c r="U9" s="168">
        <v>183</v>
      </c>
      <c r="V9" s="168">
        <v>1</v>
      </c>
      <c r="W9" s="168">
        <v>15</v>
      </c>
      <c r="X9" s="168">
        <v>0</v>
      </c>
      <c r="Y9" s="168">
        <v>0</v>
      </c>
      <c r="Z9" s="168">
        <v>0</v>
      </c>
      <c r="AA9" s="168">
        <v>0</v>
      </c>
      <c r="AB9" s="168">
        <v>0</v>
      </c>
      <c r="AC9" s="168">
        <v>0</v>
      </c>
      <c r="AD9" s="168">
        <v>0</v>
      </c>
      <c r="AE9" s="164">
        <v>0</v>
      </c>
      <c r="AF9" s="63">
        <v>0</v>
      </c>
      <c r="AG9" s="164">
        <v>0</v>
      </c>
      <c r="AH9" s="63">
        <v>0</v>
      </c>
      <c r="AI9" s="164">
        <v>0</v>
      </c>
      <c r="AJ9" s="63">
        <v>0</v>
      </c>
      <c r="AK9" s="168">
        <v>0</v>
      </c>
      <c r="AL9" s="164">
        <v>0</v>
      </c>
      <c r="AM9" s="63">
        <v>0</v>
      </c>
      <c r="AN9" s="168">
        <v>0</v>
      </c>
      <c r="AO9" s="164">
        <v>2592</v>
      </c>
      <c r="AP9" s="160">
        <v>101614</v>
      </c>
    </row>
    <row r="10" spans="1:42" s="206" customFormat="1" ht="15" x14ac:dyDescent="0.25">
      <c r="A10" s="26" t="s">
        <v>45</v>
      </c>
      <c r="B10" s="154">
        <f t="shared" si="4"/>
        <v>5134800</v>
      </c>
      <c r="C10" s="52">
        <f t="shared" si="5"/>
        <v>11033119</v>
      </c>
      <c r="D10" s="52">
        <f t="shared" si="0"/>
        <v>1095363</v>
      </c>
      <c r="E10" s="52">
        <f t="shared" si="1"/>
        <v>187529.99999999997</v>
      </c>
      <c r="F10" s="52">
        <f>VLOOKUP(A10,Renseanlæg!$I$1:$K$56,3,FALSE)</f>
        <v>16886346.446521521</v>
      </c>
      <c r="G10" s="52">
        <f t="shared" si="6"/>
        <v>4636909.0999999996</v>
      </c>
      <c r="H10" s="52">
        <f t="shared" si="2"/>
        <v>139700</v>
      </c>
      <c r="I10" s="155">
        <f t="shared" si="3"/>
        <v>2322742.4</v>
      </c>
      <c r="J10" s="149">
        <f t="shared" si="7"/>
        <v>1.6023333333333334E-2</v>
      </c>
      <c r="K10" s="63">
        <v>226</v>
      </c>
      <c r="L10" s="168">
        <v>272</v>
      </c>
      <c r="M10" s="168">
        <v>293</v>
      </c>
      <c r="N10" s="168">
        <v>409</v>
      </c>
      <c r="O10" s="168">
        <v>0</v>
      </c>
      <c r="P10" s="168">
        <v>0</v>
      </c>
      <c r="Q10" s="168">
        <v>0</v>
      </c>
      <c r="R10" s="164">
        <v>0</v>
      </c>
      <c r="S10" s="63">
        <v>143</v>
      </c>
      <c r="T10" s="168">
        <v>411</v>
      </c>
      <c r="U10" s="168">
        <v>1537</v>
      </c>
      <c r="V10" s="168">
        <v>146</v>
      </c>
      <c r="W10" s="168">
        <v>2975</v>
      </c>
      <c r="X10" s="168">
        <v>6</v>
      </c>
      <c r="Y10" s="168">
        <v>660</v>
      </c>
      <c r="Z10" s="168">
        <v>2</v>
      </c>
      <c r="AA10" s="168">
        <v>950</v>
      </c>
      <c r="AB10" s="168">
        <v>0</v>
      </c>
      <c r="AC10" s="168">
        <v>0</v>
      </c>
      <c r="AD10" s="168">
        <v>0</v>
      </c>
      <c r="AE10" s="164">
        <v>0</v>
      </c>
      <c r="AF10" s="63">
        <v>81</v>
      </c>
      <c r="AG10" s="164">
        <v>649000</v>
      </c>
      <c r="AH10" s="63">
        <v>25</v>
      </c>
      <c r="AI10" s="164">
        <v>9500</v>
      </c>
      <c r="AJ10" s="63">
        <v>263</v>
      </c>
      <c r="AK10" s="168">
        <v>0</v>
      </c>
      <c r="AL10" s="164">
        <v>757</v>
      </c>
      <c r="AM10" s="63">
        <v>55</v>
      </c>
      <c r="AN10" s="168">
        <v>275</v>
      </c>
      <c r="AO10" s="164">
        <v>19228</v>
      </c>
      <c r="AP10" s="160">
        <v>6482700</v>
      </c>
    </row>
    <row r="11" spans="1:42" s="206" customFormat="1" ht="15" x14ac:dyDescent="0.25">
      <c r="A11" s="26" t="s">
        <v>46</v>
      </c>
      <c r="B11" s="154">
        <f t="shared" si="4"/>
        <v>1792901</v>
      </c>
      <c r="C11" s="52">
        <f t="shared" si="5"/>
        <v>2771854</v>
      </c>
      <c r="D11" s="52">
        <f t="shared" si="0"/>
        <v>27046</v>
      </c>
      <c r="E11" s="52">
        <f t="shared" si="1"/>
        <v>193175.63999999998</v>
      </c>
      <c r="F11" s="52">
        <f>VLOOKUP(A11,Renseanlæg!$I$1:$K$56,3,FALSE)</f>
        <v>5382349.1460003592</v>
      </c>
      <c r="G11" s="52">
        <f t="shared" si="6"/>
        <v>2020767.84</v>
      </c>
      <c r="H11" s="52">
        <f t="shared" si="2"/>
        <v>0</v>
      </c>
      <c r="I11" s="155">
        <f t="shared" si="3"/>
        <v>1223824.8</v>
      </c>
      <c r="J11" s="149">
        <f t="shared" si="7"/>
        <v>2.4178997613365154E-2</v>
      </c>
      <c r="K11" s="63">
        <v>67</v>
      </c>
      <c r="L11" s="168">
        <v>33</v>
      </c>
      <c r="M11" s="168">
        <v>214</v>
      </c>
      <c r="N11" s="168">
        <v>105</v>
      </c>
      <c r="O11" s="168">
        <v>0</v>
      </c>
      <c r="P11" s="168">
        <v>0</v>
      </c>
      <c r="Q11" s="168">
        <v>0</v>
      </c>
      <c r="R11" s="164">
        <v>0</v>
      </c>
      <c r="S11" s="63">
        <v>0</v>
      </c>
      <c r="T11" s="168">
        <v>109</v>
      </c>
      <c r="U11" s="168">
        <v>702</v>
      </c>
      <c r="V11" s="168">
        <v>39</v>
      </c>
      <c r="W11" s="168">
        <v>1402</v>
      </c>
      <c r="X11" s="168">
        <v>1</v>
      </c>
      <c r="Y11" s="168">
        <v>240</v>
      </c>
      <c r="Z11" s="168">
        <v>2</v>
      </c>
      <c r="AA11" s="168">
        <v>1250</v>
      </c>
      <c r="AB11" s="168">
        <v>0</v>
      </c>
      <c r="AC11" s="168">
        <v>0</v>
      </c>
      <c r="AD11" s="168">
        <v>0</v>
      </c>
      <c r="AE11" s="164">
        <v>0</v>
      </c>
      <c r="AF11" s="63">
        <v>2</v>
      </c>
      <c r="AG11" s="164">
        <v>1589</v>
      </c>
      <c r="AH11" s="63">
        <v>17</v>
      </c>
      <c r="AI11" s="164">
        <v>9786</v>
      </c>
      <c r="AJ11" s="63">
        <v>509.6</v>
      </c>
      <c r="AK11" s="168">
        <v>0</v>
      </c>
      <c r="AL11" s="164">
        <v>0</v>
      </c>
      <c r="AM11" s="63">
        <v>0</v>
      </c>
      <c r="AN11" s="168">
        <v>0</v>
      </c>
      <c r="AO11" s="164">
        <v>10131</v>
      </c>
      <c r="AP11" s="160">
        <v>2257890</v>
      </c>
    </row>
    <row r="12" spans="1:42" s="206" customFormat="1" ht="15" x14ac:dyDescent="0.25">
      <c r="A12" s="26" t="s">
        <v>47</v>
      </c>
      <c r="B12" s="154">
        <f t="shared" si="4"/>
        <v>9841548</v>
      </c>
      <c r="C12" s="52">
        <f t="shared" si="5"/>
        <v>8007738</v>
      </c>
      <c r="D12" s="52">
        <f t="shared" si="0"/>
        <v>662627</v>
      </c>
      <c r="E12" s="52">
        <f t="shared" si="1"/>
        <v>298133.21999999997</v>
      </c>
      <c r="F12" s="52">
        <f>VLOOKUP(A12,Renseanlæg!$I$1:$K$56,3,FALSE)</f>
        <v>23397784.971941523</v>
      </c>
      <c r="G12" s="52">
        <f t="shared" si="6"/>
        <v>6785989.0199999996</v>
      </c>
      <c r="H12" s="52">
        <f t="shared" si="2"/>
        <v>17780</v>
      </c>
      <c r="I12" s="155">
        <f t="shared" si="3"/>
        <v>1872158.4</v>
      </c>
      <c r="J12" s="149">
        <f t="shared" si="7"/>
        <v>1.575E-2</v>
      </c>
      <c r="K12" s="63">
        <v>152</v>
      </c>
      <c r="L12" s="168">
        <v>51</v>
      </c>
      <c r="M12" s="168">
        <v>448</v>
      </c>
      <c r="N12" s="168">
        <v>265</v>
      </c>
      <c r="O12" s="168">
        <v>38</v>
      </c>
      <c r="P12" s="168">
        <v>30</v>
      </c>
      <c r="Q12" s="168">
        <v>0</v>
      </c>
      <c r="R12" s="164">
        <v>0</v>
      </c>
      <c r="S12" s="63">
        <v>0</v>
      </c>
      <c r="T12" s="168">
        <v>345</v>
      </c>
      <c r="U12" s="168">
        <v>398</v>
      </c>
      <c r="V12" s="168">
        <v>27</v>
      </c>
      <c r="W12" s="168">
        <v>856</v>
      </c>
      <c r="X12" s="168">
        <v>0</v>
      </c>
      <c r="Y12" s="168">
        <v>0</v>
      </c>
      <c r="Z12" s="168">
        <v>0</v>
      </c>
      <c r="AA12" s="168">
        <v>0</v>
      </c>
      <c r="AB12" s="168">
        <v>0</v>
      </c>
      <c r="AC12" s="168">
        <v>0</v>
      </c>
      <c r="AD12" s="168">
        <v>3</v>
      </c>
      <c r="AE12" s="164">
        <v>4278</v>
      </c>
      <c r="AF12" s="63">
        <v>49</v>
      </c>
      <c r="AG12" s="164">
        <v>388240</v>
      </c>
      <c r="AH12" s="63">
        <v>42</v>
      </c>
      <c r="AI12" s="164">
        <v>15103</v>
      </c>
      <c r="AJ12" s="63">
        <v>1711.3</v>
      </c>
      <c r="AK12" s="168">
        <v>0</v>
      </c>
      <c r="AL12" s="164">
        <v>0</v>
      </c>
      <c r="AM12" s="63">
        <v>7</v>
      </c>
      <c r="AN12" s="168">
        <v>35</v>
      </c>
      <c r="AO12" s="164">
        <v>15498</v>
      </c>
      <c r="AP12" s="160">
        <v>6545924</v>
      </c>
    </row>
    <row r="13" spans="1:42" s="206" customFormat="1" ht="15" x14ac:dyDescent="0.25">
      <c r="A13" s="26" t="s">
        <v>51</v>
      </c>
      <c r="B13" s="154">
        <f t="shared" si="4"/>
        <v>8274982</v>
      </c>
      <c r="C13" s="52">
        <f t="shared" si="5"/>
        <v>19654922</v>
      </c>
      <c r="D13" s="52">
        <f t="shared" si="0"/>
        <v>297506</v>
      </c>
      <c r="E13" s="52">
        <f t="shared" si="1"/>
        <v>60404.399999999994</v>
      </c>
      <c r="F13" s="52">
        <f>VLOOKUP(A13,Renseanlæg!$I$1:$K$56,3,FALSE)</f>
        <v>37459133.668418676</v>
      </c>
      <c r="G13" s="52">
        <f t="shared" si="6"/>
        <v>12046481.699999999</v>
      </c>
      <c r="H13" s="52">
        <f t="shared" si="2"/>
        <v>0</v>
      </c>
      <c r="I13" s="155">
        <f t="shared" si="3"/>
        <v>2484614.4</v>
      </c>
      <c r="J13" s="149">
        <f t="shared" si="7"/>
        <v>1.9349012229539039E-2</v>
      </c>
      <c r="K13" s="63">
        <v>154</v>
      </c>
      <c r="L13" s="168">
        <v>137</v>
      </c>
      <c r="M13" s="168">
        <v>381</v>
      </c>
      <c r="N13" s="168">
        <v>346</v>
      </c>
      <c r="O13" s="168">
        <v>19</v>
      </c>
      <c r="P13" s="168">
        <v>26</v>
      </c>
      <c r="Q13" s="168">
        <v>0</v>
      </c>
      <c r="R13" s="164">
        <v>0</v>
      </c>
      <c r="S13" s="63">
        <v>0</v>
      </c>
      <c r="T13" s="168">
        <v>19</v>
      </c>
      <c r="U13" s="168">
        <v>117</v>
      </c>
      <c r="V13" s="168">
        <v>109</v>
      </c>
      <c r="W13" s="168">
        <v>3898</v>
      </c>
      <c r="X13" s="168">
        <v>18</v>
      </c>
      <c r="Y13" s="168">
        <v>3121</v>
      </c>
      <c r="Z13" s="168">
        <v>12</v>
      </c>
      <c r="AA13" s="168">
        <v>4677</v>
      </c>
      <c r="AB13" s="168">
        <v>4</v>
      </c>
      <c r="AC13" s="168">
        <v>3005</v>
      </c>
      <c r="AD13" s="168">
        <v>3</v>
      </c>
      <c r="AE13" s="164">
        <v>19825</v>
      </c>
      <c r="AF13" s="63">
        <v>22</v>
      </c>
      <c r="AG13" s="164">
        <v>117</v>
      </c>
      <c r="AH13" s="63">
        <v>6</v>
      </c>
      <c r="AI13" s="164">
        <v>3060</v>
      </c>
      <c r="AJ13" s="63">
        <v>2905</v>
      </c>
      <c r="AK13" s="168">
        <v>111</v>
      </c>
      <c r="AL13" s="164">
        <v>0</v>
      </c>
      <c r="AM13" s="63">
        <v>0</v>
      </c>
      <c r="AN13" s="168">
        <v>0</v>
      </c>
      <c r="AO13" s="164">
        <v>20568</v>
      </c>
      <c r="AP13" s="160">
        <v>8552675</v>
      </c>
    </row>
    <row r="14" spans="1:42" s="206" customFormat="1" ht="15" x14ac:dyDescent="0.25">
      <c r="A14" s="26" t="s">
        <v>48</v>
      </c>
      <c r="B14" s="154">
        <f t="shared" si="4"/>
        <v>7536919.9999999991</v>
      </c>
      <c r="C14" s="52">
        <f t="shared" si="5"/>
        <v>3277188</v>
      </c>
      <c r="D14" s="52">
        <f t="shared" si="0"/>
        <v>0</v>
      </c>
      <c r="E14" s="52">
        <f t="shared" si="1"/>
        <v>164434.19999999998</v>
      </c>
      <c r="F14" s="52">
        <f>VLOOKUP(A14,Renseanlæg!$I$1:$K$56,3,FALSE)</f>
        <v>0</v>
      </c>
      <c r="G14" s="52">
        <f t="shared" si="6"/>
        <v>0</v>
      </c>
      <c r="H14" s="52">
        <f t="shared" si="2"/>
        <v>0</v>
      </c>
      <c r="I14" s="155">
        <f t="shared" si="3"/>
        <v>1864306.4</v>
      </c>
      <c r="J14" s="149">
        <f t="shared" si="7"/>
        <v>4.1937500000000003E-2</v>
      </c>
      <c r="K14" s="63">
        <v>1</v>
      </c>
      <c r="L14" s="168">
        <v>9</v>
      </c>
      <c r="M14" s="168">
        <v>23</v>
      </c>
      <c r="N14" s="168">
        <v>263</v>
      </c>
      <c r="O14" s="168">
        <v>5</v>
      </c>
      <c r="P14" s="168">
        <v>67</v>
      </c>
      <c r="Q14" s="168">
        <v>0</v>
      </c>
      <c r="R14" s="164">
        <v>0</v>
      </c>
      <c r="S14" s="63">
        <v>0</v>
      </c>
      <c r="T14" s="168">
        <v>2</v>
      </c>
      <c r="U14" s="168">
        <v>20</v>
      </c>
      <c r="V14" s="168">
        <v>14</v>
      </c>
      <c r="W14" s="168">
        <v>387</v>
      </c>
      <c r="X14" s="168">
        <v>1</v>
      </c>
      <c r="Y14" s="168">
        <v>250</v>
      </c>
      <c r="Z14" s="168">
        <v>1</v>
      </c>
      <c r="AA14" s="168">
        <v>400</v>
      </c>
      <c r="AB14" s="168">
        <v>1</v>
      </c>
      <c r="AC14" s="168">
        <v>835</v>
      </c>
      <c r="AD14" s="168">
        <v>2</v>
      </c>
      <c r="AE14" s="164">
        <v>3685</v>
      </c>
      <c r="AF14" s="63">
        <v>0</v>
      </c>
      <c r="AG14" s="164">
        <v>0</v>
      </c>
      <c r="AH14" s="63">
        <v>6</v>
      </c>
      <c r="AI14" s="164">
        <v>8330</v>
      </c>
      <c r="AJ14" s="63">
        <v>0</v>
      </c>
      <c r="AK14" s="168">
        <v>0</v>
      </c>
      <c r="AL14" s="164">
        <v>0</v>
      </c>
      <c r="AM14" s="63">
        <v>0</v>
      </c>
      <c r="AN14" s="168">
        <v>0</v>
      </c>
      <c r="AO14" s="164">
        <v>15433</v>
      </c>
      <c r="AP14" s="160">
        <v>943048</v>
      </c>
    </row>
    <row r="15" spans="1:42" s="206" customFormat="1" ht="15" x14ac:dyDescent="0.25">
      <c r="A15" s="26" t="s">
        <v>49</v>
      </c>
      <c r="B15" s="154">
        <f t="shared" si="4"/>
        <v>4572705</v>
      </c>
      <c r="C15" s="52">
        <f t="shared" si="5"/>
        <v>8420960</v>
      </c>
      <c r="D15" s="52">
        <f t="shared" si="0"/>
        <v>595012</v>
      </c>
      <c r="E15" s="52">
        <f t="shared" si="1"/>
        <v>430095.11999999994</v>
      </c>
      <c r="F15" s="52">
        <f>VLOOKUP(A15,Renseanlæg!$I$1:$K$56,3,FALSE)</f>
        <v>15092702.472306404</v>
      </c>
      <c r="G15" s="52">
        <f t="shared" si="6"/>
        <v>4758480</v>
      </c>
      <c r="H15" s="52">
        <f t="shared" si="2"/>
        <v>2540</v>
      </c>
      <c r="I15" s="155">
        <f t="shared" si="3"/>
        <v>2797728</v>
      </c>
      <c r="J15" s="149">
        <f t="shared" si="7"/>
        <v>3.0513833992094862E-2</v>
      </c>
      <c r="K15" s="63">
        <v>360</v>
      </c>
      <c r="L15" s="168">
        <v>47</v>
      </c>
      <c r="M15" s="168">
        <v>214</v>
      </c>
      <c r="N15" s="168">
        <v>122</v>
      </c>
      <c r="O15" s="168">
        <v>10</v>
      </c>
      <c r="P15" s="168">
        <v>6</v>
      </c>
      <c r="Q15" s="168">
        <v>0</v>
      </c>
      <c r="R15" s="164">
        <v>0</v>
      </c>
      <c r="S15" s="63">
        <v>400</v>
      </c>
      <c r="T15" s="168">
        <v>100</v>
      </c>
      <c r="U15" s="168">
        <v>800</v>
      </c>
      <c r="V15" s="168">
        <v>180</v>
      </c>
      <c r="W15" s="168">
        <v>9000</v>
      </c>
      <c r="X15" s="168">
        <v>0</v>
      </c>
      <c r="Y15" s="168">
        <v>0</v>
      </c>
      <c r="Z15" s="168">
        <v>0</v>
      </c>
      <c r="AA15" s="168">
        <v>0</v>
      </c>
      <c r="AB15" s="168">
        <v>0</v>
      </c>
      <c r="AC15" s="168">
        <v>0</v>
      </c>
      <c r="AD15" s="168">
        <v>0</v>
      </c>
      <c r="AE15" s="164">
        <v>0</v>
      </c>
      <c r="AF15" s="63">
        <v>44</v>
      </c>
      <c r="AG15" s="164">
        <v>100210</v>
      </c>
      <c r="AH15" s="63">
        <v>39</v>
      </c>
      <c r="AI15" s="164">
        <v>21788</v>
      </c>
      <c r="AJ15" s="63">
        <v>1200</v>
      </c>
      <c r="AK15" s="168">
        <v>0</v>
      </c>
      <c r="AL15" s="164">
        <v>0</v>
      </c>
      <c r="AM15" s="63">
        <v>1</v>
      </c>
      <c r="AN15" s="168">
        <v>5</v>
      </c>
      <c r="AO15" s="164">
        <v>23160</v>
      </c>
      <c r="AP15" s="160">
        <v>4511193</v>
      </c>
    </row>
    <row r="16" spans="1:42" s="206" customFormat="1" ht="15" x14ac:dyDescent="0.25">
      <c r="A16" s="26" t="s">
        <v>50</v>
      </c>
      <c r="B16" s="154">
        <f t="shared" si="4"/>
        <v>8775663</v>
      </c>
      <c r="C16" s="52">
        <f t="shared" si="5"/>
        <v>14028444</v>
      </c>
      <c r="D16" s="52">
        <f t="shared" si="0"/>
        <v>446259</v>
      </c>
      <c r="E16" s="52">
        <f t="shared" si="1"/>
        <v>167790</v>
      </c>
      <c r="F16" s="52">
        <f>VLOOKUP(A16,Renseanlæg!$I$1:$K$56,3,FALSE)</f>
        <v>19696561.957583077</v>
      </c>
      <c r="G16" s="52">
        <f t="shared" si="6"/>
        <v>3967831.5</v>
      </c>
      <c r="H16" s="52">
        <f t="shared" si="2"/>
        <v>2540</v>
      </c>
      <c r="I16" s="155">
        <f t="shared" si="3"/>
        <v>4108408</v>
      </c>
      <c r="J16" s="149">
        <f t="shared" si="7"/>
        <v>2.2538104705102716E-2</v>
      </c>
      <c r="K16" s="63">
        <v>915</v>
      </c>
      <c r="L16" s="168">
        <v>0</v>
      </c>
      <c r="M16" s="168">
        <v>566</v>
      </c>
      <c r="N16" s="168">
        <v>0</v>
      </c>
      <c r="O16" s="168">
        <v>28</v>
      </c>
      <c r="P16" s="168">
        <v>0</v>
      </c>
      <c r="Q16" s="168">
        <v>0</v>
      </c>
      <c r="R16" s="164">
        <v>0</v>
      </c>
      <c r="S16" s="63">
        <v>1425</v>
      </c>
      <c r="T16" s="168">
        <v>270</v>
      </c>
      <c r="U16" s="168">
        <v>4320</v>
      </c>
      <c r="V16" s="168">
        <v>30</v>
      </c>
      <c r="W16" s="168">
        <v>2800</v>
      </c>
      <c r="X16" s="168">
        <v>0</v>
      </c>
      <c r="Y16" s="168">
        <v>0</v>
      </c>
      <c r="Z16" s="168">
        <v>1</v>
      </c>
      <c r="AA16" s="168">
        <v>834</v>
      </c>
      <c r="AB16" s="168">
        <v>0</v>
      </c>
      <c r="AC16" s="168">
        <v>0</v>
      </c>
      <c r="AD16" s="168">
        <v>0</v>
      </c>
      <c r="AE16" s="164">
        <v>0</v>
      </c>
      <c r="AF16" s="63">
        <v>33</v>
      </c>
      <c r="AG16" s="164">
        <v>36300</v>
      </c>
      <c r="AH16" s="63">
        <v>25</v>
      </c>
      <c r="AI16" s="164">
        <v>8500</v>
      </c>
      <c r="AJ16" s="63">
        <v>566</v>
      </c>
      <c r="AK16" s="168">
        <v>238</v>
      </c>
      <c r="AL16" s="164">
        <v>125</v>
      </c>
      <c r="AM16" s="63">
        <v>1</v>
      </c>
      <c r="AN16" s="168">
        <v>10</v>
      </c>
      <c r="AO16" s="164">
        <v>34010</v>
      </c>
      <c r="AP16" s="160">
        <v>6121750</v>
      </c>
    </row>
    <row r="17" spans="1:42" s="206" customFormat="1" ht="15" x14ac:dyDescent="0.25">
      <c r="A17" s="26" t="s">
        <v>52</v>
      </c>
      <c r="B17" s="154">
        <f t="shared" si="4"/>
        <v>3143029</v>
      </c>
      <c r="C17" s="52">
        <f t="shared" si="5"/>
        <v>8311320</v>
      </c>
      <c r="D17" s="52">
        <f t="shared" si="0"/>
        <v>283983</v>
      </c>
      <c r="E17" s="52">
        <f t="shared" si="1"/>
        <v>244598.33999999997</v>
      </c>
      <c r="F17" s="52">
        <f>VLOOKUP(A17,Renseanlæg!$I$1:$K$56,3,FALSE)</f>
        <v>8043738.9969542902</v>
      </c>
      <c r="G17" s="52">
        <f t="shared" si="6"/>
        <v>2866905.5999999996</v>
      </c>
      <c r="H17" s="52">
        <f t="shared" si="2"/>
        <v>10160</v>
      </c>
      <c r="I17" s="155">
        <f t="shared" si="3"/>
        <v>1589969.5999999999</v>
      </c>
      <c r="J17" s="149">
        <f t="shared" si="7"/>
        <v>2.432902033271719E-2</v>
      </c>
      <c r="K17" s="63">
        <v>197</v>
      </c>
      <c r="L17" s="168">
        <v>26</v>
      </c>
      <c r="M17" s="168">
        <v>211</v>
      </c>
      <c r="N17" s="168">
        <v>97</v>
      </c>
      <c r="O17" s="168">
        <v>6</v>
      </c>
      <c r="P17" s="168">
        <v>4</v>
      </c>
      <c r="Q17" s="168">
        <v>0</v>
      </c>
      <c r="R17" s="164">
        <v>0</v>
      </c>
      <c r="S17" s="63">
        <v>0</v>
      </c>
      <c r="T17" s="168">
        <v>390</v>
      </c>
      <c r="U17" s="168">
        <v>2730</v>
      </c>
      <c r="V17" s="168">
        <v>102</v>
      </c>
      <c r="W17" s="168">
        <v>7140</v>
      </c>
      <c r="X17" s="168">
        <v>2</v>
      </c>
      <c r="Y17" s="168">
        <v>400</v>
      </c>
      <c r="Z17" s="168">
        <v>2</v>
      </c>
      <c r="AA17" s="168">
        <v>900</v>
      </c>
      <c r="AB17" s="168">
        <v>0</v>
      </c>
      <c r="AC17" s="168">
        <v>0</v>
      </c>
      <c r="AD17" s="168">
        <v>0</v>
      </c>
      <c r="AE17" s="164">
        <v>0</v>
      </c>
      <c r="AF17" s="63">
        <v>21</v>
      </c>
      <c r="AG17" s="164">
        <v>21536</v>
      </c>
      <c r="AH17" s="63">
        <v>14</v>
      </c>
      <c r="AI17" s="164">
        <v>12391</v>
      </c>
      <c r="AJ17" s="63">
        <v>450</v>
      </c>
      <c r="AK17" s="168">
        <v>228</v>
      </c>
      <c r="AL17" s="164">
        <v>0</v>
      </c>
      <c r="AM17" s="63">
        <v>4</v>
      </c>
      <c r="AN17" s="168">
        <v>20</v>
      </c>
      <c r="AO17" s="164">
        <v>13162</v>
      </c>
      <c r="AP17" s="160">
        <v>2968028</v>
      </c>
    </row>
    <row r="18" spans="1:42" s="206" customFormat="1" x14ac:dyDescent="0.3">
      <c r="A18" s="26" t="s">
        <v>53</v>
      </c>
      <c r="B18" s="154">
        <f t="shared" ref="B18:B34" si="8">4.279*SUM(K18:N18)*1000+87.088*SUM(O18:R18)*1000</f>
        <v>1874202</v>
      </c>
      <c r="C18" s="52">
        <f t="shared" si="5"/>
        <v>17860194</v>
      </c>
      <c r="D18" s="52">
        <f t="shared" ref="D18:D34" si="9">13523*AF18</f>
        <v>567966</v>
      </c>
      <c r="E18" s="52">
        <f t="shared" ref="E18:E34" si="10">19.74*AI18</f>
        <v>1791898.4999999998</v>
      </c>
      <c r="F18" s="52">
        <f>VLOOKUP(A18,Renseanlæg!$I$1:$K$56,3,FALSE)</f>
        <v>10388687.228560092</v>
      </c>
      <c r="G18" s="52">
        <f t="shared" ref="G18:G34" si="11">3965.4*AJ18+4747.7*(AK18+AL18)</f>
        <v>3655729</v>
      </c>
      <c r="H18" s="52">
        <f t="shared" ref="H18:H34" si="12">2540*AM18</f>
        <v>152400</v>
      </c>
      <c r="I18" s="144">
        <v>1067309</v>
      </c>
      <c r="J18" s="149">
        <f>AO18/(SUM(K18:R18)*1000)</f>
        <v>3.2136986301369866E-2</v>
      </c>
      <c r="K18" s="63">
        <v>23</v>
      </c>
      <c r="L18" s="168">
        <v>32</v>
      </c>
      <c r="M18" s="168">
        <v>159</v>
      </c>
      <c r="N18" s="168">
        <v>224</v>
      </c>
      <c r="O18" s="168">
        <v>0</v>
      </c>
      <c r="P18" s="168">
        <v>0</v>
      </c>
      <c r="Q18" s="168">
        <v>0</v>
      </c>
      <c r="R18" s="164">
        <v>0</v>
      </c>
      <c r="S18" s="63">
        <v>125</v>
      </c>
      <c r="T18" s="168">
        <v>0</v>
      </c>
      <c r="U18" s="168">
        <v>1250</v>
      </c>
      <c r="V18" s="168">
        <v>270</v>
      </c>
      <c r="W18" s="168">
        <v>11640</v>
      </c>
      <c r="X18" s="168">
        <v>38</v>
      </c>
      <c r="Y18" s="168">
        <v>6640</v>
      </c>
      <c r="Z18" s="168">
        <v>23</v>
      </c>
      <c r="AA18" s="168">
        <v>9660</v>
      </c>
      <c r="AB18" s="168">
        <v>0</v>
      </c>
      <c r="AC18" s="168">
        <v>0</v>
      </c>
      <c r="AD18" s="168">
        <v>8</v>
      </c>
      <c r="AE18" s="164">
        <v>7000</v>
      </c>
      <c r="AF18" s="63">
        <v>42</v>
      </c>
      <c r="AG18" s="164">
        <v>75180</v>
      </c>
      <c r="AH18" s="63">
        <v>51</v>
      </c>
      <c r="AI18" s="164">
        <v>90775</v>
      </c>
      <c r="AJ18" s="63">
        <v>0</v>
      </c>
      <c r="AK18" s="168">
        <v>0</v>
      </c>
      <c r="AL18" s="164">
        <v>770</v>
      </c>
      <c r="AM18" s="63">
        <v>60</v>
      </c>
      <c r="AN18" s="168">
        <v>300</v>
      </c>
      <c r="AO18" s="164">
        <v>14076</v>
      </c>
      <c r="AP18" s="160">
        <v>4458255</v>
      </c>
    </row>
    <row r="19" spans="1:42" s="206" customFormat="1" x14ac:dyDescent="0.3">
      <c r="A19" s="26" t="s">
        <v>105</v>
      </c>
      <c r="B19" s="154">
        <f t="shared" si="8"/>
        <v>770220</v>
      </c>
      <c r="C19" s="52">
        <f t="shared" si="5"/>
        <v>2889328</v>
      </c>
      <c r="D19" s="52">
        <f t="shared" si="9"/>
        <v>108184</v>
      </c>
      <c r="E19" s="52">
        <f t="shared" si="10"/>
        <v>18753</v>
      </c>
      <c r="F19" s="52">
        <f>VLOOKUP(A19,Renseanlæg!$I$1:$K$56,3,FALSE)</f>
        <v>3301787.3262156001</v>
      </c>
      <c r="G19" s="52">
        <f t="shared" si="11"/>
        <v>1110312</v>
      </c>
      <c r="H19" s="52">
        <f t="shared" si="12"/>
        <v>0</v>
      </c>
      <c r="I19" s="155">
        <f t="shared" ref="I19:I35" si="13">120.8*AO19</f>
        <v>554834.4</v>
      </c>
      <c r="J19" s="149">
        <f t="shared" ref="J19:J22" si="14">AO19/(SUM(K19:R19)*1000)</f>
        <v>2.5516666666666667E-2</v>
      </c>
      <c r="K19" s="63">
        <v>21</v>
      </c>
      <c r="L19" s="168">
        <v>12</v>
      </c>
      <c r="M19" s="168">
        <v>93</v>
      </c>
      <c r="N19" s="168">
        <v>54</v>
      </c>
      <c r="O19" s="168">
        <v>0</v>
      </c>
      <c r="P19" s="168">
        <v>0</v>
      </c>
      <c r="Q19" s="168">
        <v>0</v>
      </c>
      <c r="R19" s="164">
        <v>0</v>
      </c>
      <c r="S19" s="63">
        <v>5</v>
      </c>
      <c r="T19" s="168">
        <v>0</v>
      </c>
      <c r="U19" s="168">
        <v>0</v>
      </c>
      <c r="V19" s="168">
        <v>92</v>
      </c>
      <c r="W19" s="168">
        <v>3350</v>
      </c>
      <c r="X19" s="168">
        <v>6</v>
      </c>
      <c r="Y19" s="168">
        <v>702</v>
      </c>
      <c r="Z19" s="168">
        <v>0</v>
      </c>
      <c r="AA19" s="168">
        <v>0</v>
      </c>
      <c r="AB19" s="168">
        <v>0</v>
      </c>
      <c r="AC19" s="168">
        <v>0</v>
      </c>
      <c r="AD19" s="168">
        <v>0</v>
      </c>
      <c r="AE19" s="164">
        <v>0</v>
      </c>
      <c r="AF19" s="63">
        <v>8</v>
      </c>
      <c r="AG19" s="164">
        <v>5385</v>
      </c>
      <c r="AH19" s="63">
        <v>2</v>
      </c>
      <c r="AI19" s="164">
        <v>950</v>
      </c>
      <c r="AJ19" s="63">
        <v>280</v>
      </c>
      <c r="AK19" s="168">
        <v>0</v>
      </c>
      <c r="AL19" s="164">
        <v>0</v>
      </c>
      <c r="AM19" s="63">
        <v>0</v>
      </c>
      <c r="AN19" s="168">
        <v>0</v>
      </c>
      <c r="AO19" s="164">
        <v>4593</v>
      </c>
      <c r="AP19" s="160">
        <v>1143054</v>
      </c>
    </row>
    <row r="20" spans="1:42" s="206" customFormat="1" x14ac:dyDescent="0.3">
      <c r="A20" s="26" t="s">
        <v>106</v>
      </c>
      <c r="B20" s="154">
        <f t="shared" si="8"/>
        <v>4210950</v>
      </c>
      <c r="C20" s="52">
        <f t="shared" si="5"/>
        <v>730994</v>
      </c>
      <c r="D20" s="52">
        <f t="shared" si="9"/>
        <v>175799</v>
      </c>
      <c r="E20" s="52">
        <f t="shared" si="10"/>
        <v>249691.25999999998</v>
      </c>
      <c r="F20" s="52">
        <f>VLOOKUP(A20,Renseanlæg!$I$1:$K$56,3,FALSE)</f>
        <v>0</v>
      </c>
      <c r="G20" s="52">
        <f t="shared" si="11"/>
        <v>0</v>
      </c>
      <c r="H20" s="52">
        <f t="shared" si="12"/>
        <v>0</v>
      </c>
      <c r="I20" s="155">
        <f t="shared" si="13"/>
        <v>724920.79999999993</v>
      </c>
      <c r="J20" s="149">
        <f t="shared" si="14"/>
        <v>2.8576190476190477E-2</v>
      </c>
      <c r="K20" s="63">
        <v>3</v>
      </c>
      <c r="L20" s="168">
        <v>6</v>
      </c>
      <c r="M20" s="168">
        <v>87</v>
      </c>
      <c r="N20" s="168">
        <v>74</v>
      </c>
      <c r="O20" s="168">
        <v>18</v>
      </c>
      <c r="P20" s="168">
        <v>22</v>
      </c>
      <c r="Q20" s="168">
        <v>0</v>
      </c>
      <c r="R20" s="164">
        <v>0</v>
      </c>
      <c r="S20" s="63">
        <v>0</v>
      </c>
      <c r="T20" s="168">
        <v>3</v>
      </c>
      <c r="U20" s="168">
        <v>15</v>
      </c>
      <c r="V20" s="168">
        <v>1</v>
      </c>
      <c r="W20" s="168">
        <v>67</v>
      </c>
      <c r="X20" s="168">
        <v>0</v>
      </c>
      <c r="Y20" s="168">
        <v>0</v>
      </c>
      <c r="Z20" s="168">
        <v>1</v>
      </c>
      <c r="AA20" s="168">
        <v>320</v>
      </c>
      <c r="AB20" s="168">
        <v>1</v>
      </c>
      <c r="AC20" s="168">
        <v>940</v>
      </c>
      <c r="AD20" s="168">
        <v>0</v>
      </c>
      <c r="AE20" s="164">
        <v>0</v>
      </c>
      <c r="AF20" s="63">
        <v>13</v>
      </c>
      <c r="AG20" s="164">
        <v>52750</v>
      </c>
      <c r="AH20" s="63">
        <v>3</v>
      </c>
      <c r="AI20" s="164">
        <v>12649</v>
      </c>
      <c r="AJ20" s="63">
        <v>0</v>
      </c>
      <c r="AK20" s="168">
        <v>0</v>
      </c>
      <c r="AL20" s="164">
        <v>0</v>
      </c>
      <c r="AM20" s="63">
        <v>0</v>
      </c>
      <c r="AN20" s="168">
        <v>0</v>
      </c>
      <c r="AO20" s="164">
        <v>6001</v>
      </c>
      <c r="AP20" s="160">
        <v>130000</v>
      </c>
    </row>
    <row r="21" spans="1:42" s="206" customFormat="1" x14ac:dyDescent="0.3">
      <c r="A21" s="26" t="s">
        <v>108</v>
      </c>
      <c r="B21" s="154">
        <f t="shared" si="8"/>
        <v>6908925</v>
      </c>
      <c r="C21" s="52">
        <f t="shared" si="5"/>
        <v>4067266</v>
      </c>
      <c r="D21" s="52">
        <f t="shared" si="9"/>
        <v>256937</v>
      </c>
      <c r="E21" s="52">
        <f t="shared" si="10"/>
        <v>360689.27999999997</v>
      </c>
      <c r="F21" s="52">
        <f>VLOOKUP(A21,Renseanlæg!$I$1:$K$56,3,FALSE)</f>
        <v>0</v>
      </c>
      <c r="G21" s="52">
        <f t="shared" si="11"/>
        <v>0</v>
      </c>
      <c r="H21" s="52">
        <f t="shared" si="12"/>
        <v>0</v>
      </c>
      <c r="I21" s="155">
        <f t="shared" si="13"/>
        <v>1185772.8</v>
      </c>
      <c r="J21" s="149">
        <f t="shared" si="14"/>
        <v>3.0867924528301886E-2</v>
      </c>
      <c r="K21" s="63">
        <v>2</v>
      </c>
      <c r="L21" s="168">
        <v>6</v>
      </c>
      <c r="M21" s="168">
        <v>62</v>
      </c>
      <c r="N21" s="168">
        <v>181</v>
      </c>
      <c r="O21" s="168">
        <v>13</v>
      </c>
      <c r="P21" s="168">
        <v>54</v>
      </c>
      <c r="Q21" s="168">
        <v>0</v>
      </c>
      <c r="R21" s="164">
        <v>0</v>
      </c>
      <c r="S21" s="63">
        <v>0</v>
      </c>
      <c r="T21" s="168">
        <v>0</v>
      </c>
      <c r="U21" s="168">
        <v>0</v>
      </c>
      <c r="V21" s="168">
        <v>12</v>
      </c>
      <c r="W21" s="168">
        <v>789</v>
      </c>
      <c r="X21" s="168">
        <v>6</v>
      </c>
      <c r="Y21" s="168">
        <v>1413</v>
      </c>
      <c r="Z21" s="168">
        <v>0</v>
      </c>
      <c r="AA21" s="168">
        <v>0</v>
      </c>
      <c r="AB21" s="168">
        <v>0</v>
      </c>
      <c r="AC21" s="168">
        <v>0</v>
      </c>
      <c r="AD21" s="168">
        <v>3</v>
      </c>
      <c r="AE21" s="164">
        <v>5281</v>
      </c>
      <c r="AF21" s="63">
        <v>19</v>
      </c>
      <c r="AG21" s="164">
        <v>164540</v>
      </c>
      <c r="AH21" s="63">
        <v>15</v>
      </c>
      <c r="AI21" s="164">
        <v>18272</v>
      </c>
      <c r="AJ21" s="63">
        <v>0</v>
      </c>
      <c r="AK21" s="168">
        <v>0</v>
      </c>
      <c r="AL21" s="164">
        <v>0</v>
      </c>
      <c r="AM21" s="63">
        <v>0</v>
      </c>
      <c r="AN21" s="168">
        <v>0</v>
      </c>
      <c r="AO21" s="164">
        <v>9816</v>
      </c>
      <c r="AP21" s="160">
        <v>936782</v>
      </c>
    </row>
    <row r="22" spans="1:42" s="206" customFormat="1" x14ac:dyDescent="0.3">
      <c r="A22" s="26" t="s">
        <v>109</v>
      </c>
      <c r="B22" s="154">
        <f t="shared" si="8"/>
        <v>51452334.118999995</v>
      </c>
      <c r="C22" s="52">
        <f t="shared" si="5"/>
        <v>25281959</v>
      </c>
      <c r="D22" s="52">
        <f t="shared" si="9"/>
        <v>0</v>
      </c>
      <c r="E22" s="52">
        <f t="shared" si="10"/>
        <v>2614938.0599999996</v>
      </c>
      <c r="F22" s="52">
        <f>VLOOKUP(A22,Renseanlæg!$I$1:$K$56,3,FALSE)</f>
        <v>0</v>
      </c>
      <c r="G22" s="52">
        <f t="shared" si="11"/>
        <v>0</v>
      </c>
      <c r="H22" s="52">
        <f t="shared" si="12"/>
        <v>0</v>
      </c>
      <c r="I22" s="155">
        <f t="shared" si="13"/>
        <v>4237664</v>
      </c>
      <c r="J22" s="149">
        <f t="shared" si="14"/>
        <v>3.2792034190463011E-2</v>
      </c>
      <c r="K22" s="63">
        <v>0.84</v>
      </c>
      <c r="L22" s="168">
        <v>10.585000000000001</v>
      </c>
      <c r="M22" s="168">
        <v>107.872</v>
      </c>
      <c r="N22" s="168">
        <v>384.416</v>
      </c>
      <c r="O22" s="168">
        <v>55.646000000000001</v>
      </c>
      <c r="P22" s="168">
        <v>293.47800000000001</v>
      </c>
      <c r="Q22" s="168">
        <v>25.536999999999999</v>
      </c>
      <c r="R22" s="164">
        <v>191.398</v>
      </c>
      <c r="S22" s="63">
        <v>0</v>
      </c>
      <c r="T22" s="168">
        <v>6</v>
      </c>
      <c r="U22" s="168">
        <v>15</v>
      </c>
      <c r="V22" s="168">
        <v>37</v>
      </c>
      <c r="W22" s="168">
        <v>1681</v>
      </c>
      <c r="X22" s="168">
        <v>13</v>
      </c>
      <c r="Y22" s="168">
        <v>2019</v>
      </c>
      <c r="Z22" s="168">
        <v>13</v>
      </c>
      <c r="AA22" s="168">
        <v>6027</v>
      </c>
      <c r="AB22" s="168">
        <v>6</v>
      </c>
      <c r="AC22" s="168">
        <v>4960</v>
      </c>
      <c r="AD22" s="168">
        <v>9</v>
      </c>
      <c r="AE22" s="164">
        <v>31200</v>
      </c>
      <c r="AF22" s="63">
        <v>0</v>
      </c>
      <c r="AG22" s="164">
        <v>0</v>
      </c>
      <c r="AH22" s="63">
        <v>17</v>
      </c>
      <c r="AI22" s="164">
        <v>132469</v>
      </c>
      <c r="AJ22" s="63">
        <v>0</v>
      </c>
      <c r="AK22" s="168">
        <v>0</v>
      </c>
      <c r="AL22" s="164">
        <v>0</v>
      </c>
      <c r="AM22" s="63">
        <v>0</v>
      </c>
      <c r="AN22" s="168">
        <v>0</v>
      </c>
      <c r="AO22" s="164">
        <v>35080</v>
      </c>
      <c r="AP22" s="160">
        <v>7139249</v>
      </c>
    </row>
    <row r="23" spans="1:42" s="206" customFormat="1" ht="15" x14ac:dyDescent="0.25">
      <c r="A23" s="26" t="s">
        <v>54</v>
      </c>
      <c r="B23" s="154">
        <f t="shared" si="8"/>
        <v>7757429.9999999991</v>
      </c>
      <c r="C23" s="52">
        <f t="shared" si="5"/>
        <v>2350141</v>
      </c>
      <c r="D23" s="52">
        <f t="shared" si="9"/>
        <v>716719</v>
      </c>
      <c r="E23" s="52">
        <f t="shared" si="10"/>
        <v>165816</v>
      </c>
      <c r="F23" s="52">
        <f>VLOOKUP(A23,Renseanlæg!$I$1:$K$56,3,FALSE)</f>
        <v>1666509.9948419062</v>
      </c>
      <c r="G23" s="52">
        <f t="shared" si="11"/>
        <v>761356.80000000005</v>
      </c>
      <c r="H23" s="52">
        <f t="shared" si="12"/>
        <v>0</v>
      </c>
      <c r="I23" s="155">
        <f t="shared" si="13"/>
        <v>1315874.3999999999</v>
      </c>
      <c r="J23" s="149">
        <f t="shared" ref="J23:J32" si="15">AO23/(SUM(K23:R23)*1000)</f>
        <v>1.9627027027027028E-2</v>
      </c>
      <c r="K23" s="63">
        <v>68</v>
      </c>
      <c r="L23" s="168">
        <v>35</v>
      </c>
      <c r="M23" s="168">
        <v>224</v>
      </c>
      <c r="N23" s="168">
        <v>163</v>
      </c>
      <c r="O23" s="168">
        <v>34</v>
      </c>
      <c r="P23" s="168">
        <v>31</v>
      </c>
      <c r="Q23" s="168">
        <v>0</v>
      </c>
      <c r="R23" s="164">
        <v>0</v>
      </c>
      <c r="S23" s="63">
        <v>190</v>
      </c>
      <c r="T23" s="168">
        <v>2</v>
      </c>
      <c r="U23" s="168">
        <v>6</v>
      </c>
      <c r="V23" s="168">
        <v>31</v>
      </c>
      <c r="W23" s="168">
        <v>1210</v>
      </c>
      <c r="X23" s="168">
        <v>2</v>
      </c>
      <c r="Y23" s="168">
        <v>850</v>
      </c>
      <c r="Z23" s="168">
        <v>1</v>
      </c>
      <c r="AA23" s="168">
        <v>680</v>
      </c>
      <c r="AB23" s="168">
        <v>0</v>
      </c>
      <c r="AC23" s="168">
        <v>0</v>
      </c>
      <c r="AD23" s="168">
        <v>0</v>
      </c>
      <c r="AE23" s="164">
        <v>0</v>
      </c>
      <c r="AF23" s="63">
        <v>53</v>
      </c>
      <c r="AG23" s="164">
        <v>561423</v>
      </c>
      <c r="AH23" s="63">
        <v>2</v>
      </c>
      <c r="AI23" s="164">
        <v>8400</v>
      </c>
      <c r="AJ23" s="63">
        <v>192</v>
      </c>
      <c r="AK23" s="168">
        <v>0</v>
      </c>
      <c r="AL23" s="164">
        <v>0</v>
      </c>
      <c r="AM23" s="63">
        <v>0</v>
      </c>
      <c r="AN23" s="168">
        <v>0</v>
      </c>
      <c r="AO23" s="164">
        <v>10893</v>
      </c>
      <c r="AP23" s="160">
        <v>560411</v>
      </c>
    </row>
    <row r="24" spans="1:42" s="206" customFormat="1" x14ac:dyDescent="0.3">
      <c r="A24" s="26" t="s">
        <v>107</v>
      </c>
      <c r="B24" s="154">
        <f t="shared" si="8"/>
        <v>0</v>
      </c>
      <c r="C24" s="52">
        <f t="shared" si="5"/>
        <v>0</v>
      </c>
      <c r="D24" s="52">
        <f t="shared" si="9"/>
        <v>0</v>
      </c>
      <c r="E24" s="52">
        <f t="shared" si="10"/>
        <v>0</v>
      </c>
      <c r="F24" s="52">
        <f>VLOOKUP(A24,Renseanlæg!$I$1:$K$56,3,FALSE)</f>
        <v>4262116.1085512033</v>
      </c>
      <c r="G24" s="52">
        <f t="shared" si="11"/>
        <v>4543548.8999999994</v>
      </c>
      <c r="H24" s="52">
        <f t="shared" si="12"/>
        <v>0</v>
      </c>
      <c r="I24" s="155">
        <f t="shared" si="13"/>
        <v>241.6</v>
      </c>
      <c r="J24" s="149">
        <v>0</v>
      </c>
      <c r="K24" s="63">
        <v>0</v>
      </c>
      <c r="L24" s="168">
        <v>0</v>
      </c>
      <c r="M24" s="168">
        <v>0</v>
      </c>
      <c r="N24" s="168">
        <v>0</v>
      </c>
      <c r="O24" s="168">
        <v>0</v>
      </c>
      <c r="P24" s="168">
        <v>0</v>
      </c>
      <c r="Q24" s="168">
        <v>0</v>
      </c>
      <c r="R24" s="164">
        <v>0</v>
      </c>
      <c r="S24" s="63">
        <v>0</v>
      </c>
      <c r="T24" s="168">
        <v>0</v>
      </c>
      <c r="U24" s="168">
        <v>0</v>
      </c>
      <c r="V24" s="168">
        <v>0</v>
      </c>
      <c r="W24" s="168">
        <v>0</v>
      </c>
      <c r="X24" s="168">
        <v>0</v>
      </c>
      <c r="Y24" s="168">
        <v>0</v>
      </c>
      <c r="Z24" s="168">
        <v>0</v>
      </c>
      <c r="AA24" s="168">
        <v>0</v>
      </c>
      <c r="AB24" s="168">
        <v>0</v>
      </c>
      <c r="AC24" s="168">
        <v>0</v>
      </c>
      <c r="AD24" s="168">
        <v>0</v>
      </c>
      <c r="AE24" s="164">
        <v>0</v>
      </c>
      <c r="AF24" s="63">
        <v>0</v>
      </c>
      <c r="AG24" s="164">
        <v>0</v>
      </c>
      <c r="AH24" s="63">
        <v>0</v>
      </c>
      <c r="AI24" s="164">
        <v>0</v>
      </c>
      <c r="AJ24" s="63">
        <v>0</v>
      </c>
      <c r="AK24" s="168">
        <v>250</v>
      </c>
      <c r="AL24" s="164">
        <v>707</v>
      </c>
      <c r="AM24" s="63">
        <v>0</v>
      </c>
      <c r="AN24" s="168">
        <v>0</v>
      </c>
      <c r="AO24" s="164">
        <v>2</v>
      </c>
      <c r="AP24" s="160">
        <v>1853099</v>
      </c>
    </row>
    <row r="25" spans="1:42" s="206" customFormat="1" ht="15" x14ac:dyDescent="0.25">
      <c r="A25" s="26" t="s">
        <v>55</v>
      </c>
      <c r="B25" s="154">
        <f t="shared" si="8"/>
        <v>4362789</v>
      </c>
      <c r="C25" s="52">
        <f t="shared" si="5"/>
        <v>1740475</v>
      </c>
      <c r="D25" s="52">
        <f t="shared" si="9"/>
        <v>567966</v>
      </c>
      <c r="E25" s="52">
        <f t="shared" si="10"/>
        <v>248763.47999999998</v>
      </c>
      <c r="F25" s="52">
        <f>VLOOKUP(A25,Renseanlæg!$I$1:$K$56,3,FALSE)</f>
        <v>10574248.057597009</v>
      </c>
      <c r="G25" s="52">
        <f t="shared" si="11"/>
        <v>3909884.4</v>
      </c>
      <c r="H25" s="52">
        <f t="shared" si="12"/>
        <v>0</v>
      </c>
      <c r="I25" s="155">
        <f t="shared" si="13"/>
        <v>1812000</v>
      </c>
      <c r="J25" s="149">
        <f t="shared" si="15"/>
        <v>1.953125E-2</v>
      </c>
      <c r="K25" s="63">
        <v>120</v>
      </c>
      <c r="L25" s="168">
        <v>79</v>
      </c>
      <c r="M25" s="168">
        <v>290</v>
      </c>
      <c r="N25" s="168">
        <v>266</v>
      </c>
      <c r="O25" s="168">
        <v>5</v>
      </c>
      <c r="P25" s="168">
        <v>8</v>
      </c>
      <c r="Q25" s="168">
        <v>0</v>
      </c>
      <c r="R25" s="164">
        <v>0</v>
      </c>
      <c r="S25" s="63">
        <v>0</v>
      </c>
      <c r="T25" s="168">
        <v>33</v>
      </c>
      <c r="U25" s="168">
        <v>158</v>
      </c>
      <c r="V25" s="168">
        <v>40</v>
      </c>
      <c r="W25" s="168">
        <v>1064</v>
      </c>
      <c r="X25" s="168">
        <v>3</v>
      </c>
      <c r="Y25" s="168">
        <v>570</v>
      </c>
      <c r="Z25" s="168">
        <v>0</v>
      </c>
      <c r="AA25" s="168">
        <v>0</v>
      </c>
      <c r="AB25" s="168">
        <v>0</v>
      </c>
      <c r="AC25" s="168">
        <v>0</v>
      </c>
      <c r="AD25" s="168">
        <v>0</v>
      </c>
      <c r="AE25" s="164">
        <v>0</v>
      </c>
      <c r="AF25" s="63">
        <v>42</v>
      </c>
      <c r="AG25" s="164">
        <v>182400</v>
      </c>
      <c r="AH25" s="63">
        <v>24</v>
      </c>
      <c r="AI25" s="164">
        <v>12602</v>
      </c>
      <c r="AJ25" s="63">
        <v>986</v>
      </c>
      <c r="AK25" s="168">
        <v>0</v>
      </c>
      <c r="AL25" s="164">
        <v>0</v>
      </c>
      <c r="AM25" s="63">
        <v>0</v>
      </c>
      <c r="AN25" s="168">
        <v>0</v>
      </c>
      <c r="AO25" s="164">
        <v>15000</v>
      </c>
      <c r="AP25" s="160">
        <v>3185172</v>
      </c>
    </row>
    <row r="26" spans="1:42" s="206" customFormat="1" x14ac:dyDescent="0.3">
      <c r="A26" s="26" t="s">
        <v>63</v>
      </c>
      <c r="B26" s="154">
        <f t="shared" si="8"/>
        <v>2339312</v>
      </c>
      <c r="C26" s="52">
        <f t="shared" si="5"/>
        <v>1916651</v>
      </c>
      <c r="D26" s="52">
        <f t="shared" si="9"/>
        <v>175799</v>
      </c>
      <c r="E26" s="52">
        <f t="shared" si="10"/>
        <v>0</v>
      </c>
      <c r="F26" s="52">
        <f>VLOOKUP(A26,Renseanlæg!$I$1:$K$56,3,FALSE)</f>
        <v>0</v>
      </c>
      <c r="G26" s="52">
        <f t="shared" si="11"/>
        <v>0</v>
      </c>
      <c r="H26" s="52">
        <f t="shared" si="12"/>
        <v>0</v>
      </c>
      <c r="I26" s="155">
        <f t="shared" si="13"/>
        <v>452275.20000000001</v>
      </c>
      <c r="J26" s="149">
        <f t="shared" si="15"/>
        <v>2.0916201117318435E-2</v>
      </c>
      <c r="K26" s="63">
        <v>34</v>
      </c>
      <c r="L26" s="168">
        <v>9</v>
      </c>
      <c r="M26" s="168">
        <v>82</v>
      </c>
      <c r="N26" s="168">
        <v>35</v>
      </c>
      <c r="O26" s="168">
        <v>9</v>
      </c>
      <c r="P26" s="168">
        <v>10</v>
      </c>
      <c r="Q26" s="168">
        <v>0</v>
      </c>
      <c r="R26" s="164">
        <v>0</v>
      </c>
      <c r="S26" s="63">
        <v>39</v>
      </c>
      <c r="T26" s="168">
        <v>0</v>
      </c>
      <c r="U26" s="168">
        <v>0</v>
      </c>
      <c r="V26" s="168">
        <v>47</v>
      </c>
      <c r="W26" s="168">
        <v>976</v>
      </c>
      <c r="X26" s="168">
        <v>5</v>
      </c>
      <c r="Y26" s="168">
        <v>802</v>
      </c>
      <c r="Z26" s="168">
        <v>0</v>
      </c>
      <c r="AA26" s="168">
        <v>0</v>
      </c>
      <c r="AB26" s="168">
        <v>0</v>
      </c>
      <c r="AC26" s="168">
        <v>0</v>
      </c>
      <c r="AD26" s="168">
        <v>0</v>
      </c>
      <c r="AE26" s="164">
        <v>0</v>
      </c>
      <c r="AF26" s="63">
        <v>13</v>
      </c>
      <c r="AG26" s="164">
        <v>35535</v>
      </c>
      <c r="AH26" s="63">
        <v>0</v>
      </c>
      <c r="AI26" s="164">
        <v>0</v>
      </c>
      <c r="AJ26" s="63">
        <v>0</v>
      </c>
      <c r="AK26" s="168">
        <v>0</v>
      </c>
      <c r="AL26" s="164">
        <v>0</v>
      </c>
      <c r="AM26" s="63">
        <v>0</v>
      </c>
      <c r="AN26" s="168">
        <v>0</v>
      </c>
      <c r="AO26" s="164">
        <v>3744</v>
      </c>
      <c r="AP26" s="160">
        <v>455715</v>
      </c>
    </row>
    <row r="27" spans="1:42" s="206" customFormat="1" ht="15" x14ac:dyDescent="0.25">
      <c r="A27" s="26" t="s">
        <v>56</v>
      </c>
      <c r="B27" s="154">
        <f t="shared" si="8"/>
        <v>3427479</v>
      </c>
      <c r="C27" s="52">
        <f t="shared" si="5"/>
        <v>5157166</v>
      </c>
      <c r="D27" s="52">
        <f t="shared" si="9"/>
        <v>256937</v>
      </c>
      <c r="E27" s="52">
        <f t="shared" si="10"/>
        <v>359287.74</v>
      </c>
      <c r="F27" s="52">
        <f>VLOOKUP(A27,Renseanlæg!$I$1:$K$56,3,FALSE)</f>
        <v>11700327.180483716</v>
      </c>
      <c r="G27" s="52">
        <f t="shared" si="11"/>
        <v>5269828.7</v>
      </c>
      <c r="H27" s="52">
        <f t="shared" si="12"/>
        <v>0</v>
      </c>
      <c r="I27" s="155">
        <f t="shared" si="13"/>
        <v>3047421.6</v>
      </c>
      <c r="J27" s="149">
        <f t="shared" si="15"/>
        <v>3.1494382022471908E-2</v>
      </c>
      <c r="K27" s="63">
        <v>295</v>
      </c>
      <c r="L27" s="168">
        <v>136</v>
      </c>
      <c r="M27" s="168">
        <v>169</v>
      </c>
      <c r="N27" s="168">
        <v>201</v>
      </c>
      <c r="O27" s="168">
        <v>0</v>
      </c>
      <c r="P27" s="168">
        <v>0</v>
      </c>
      <c r="Q27" s="168">
        <v>0</v>
      </c>
      <c r="R27" s="164">
        <v>0</v>
      </c>
      <c r="S27" s="63">
        <v>7</v>
      </c>
      <c r="T27" s="168">
        <v>0</v>
      </c>
      <c r="U27" s="168">
        <v>0</v>
      </c>
      <c r="V27" s="168">
        <v>210</v>
      </c>
      <c r="W27" s="168">
        <v>11000</v>
      </c>
      <c r="X27" s="168">
        <v>0</v>
      </c>
      <c r="Y27" s="168">
        <v>0</v>
      </c>
      <c r="Z27" s="168">
        <v>0</v>
      </c>
      <c r="AA27" s="168">
        <v>0</v>
      </c>
      <c r="AB27" s="168">
        <v>0</v>
      </c>
      <c r="AC27" s="168">
        <v>0</v>
      </c>
      <c r="AD27" s="168">
        <v>0</v>
      </c>
      <c r="AE27" s="164">
        <v>0</v>
      </c>
      <c r="AF27" s="63">
        <v>19</v>
      </c>
      <c r="AG27" s="164">
        <v>16415</v>
      </c>
      <c r="AH27" s="63">
        <v>17</v>
      </c>
      <c r="AI27" s="164">
        <v>18201</v>
      </c>
      <c r="AJ27" s="63">
        <v>1220</v>
      </c>
      <c r="AK27" s="168">
        <v>0</v>
      </c>
      <c r="AL27" s="164">
        <v>91</v>
      </c>
      <c r="AM27" s="63">
        <v>0</v>
      </c>
      <c r="AN27" s="168">
        <v>0</v>
      </c>
      <c r="AO27" s="164">
        <v>25227</v>
      </c>
      <c r="AP27" s="160">
        <v>4108603</v>
      </c>
    </row>
    <row r="28" spans="1:42" s="206" customFormat="1" x14ac:dyDescent="0.3">
      <c r="A28" s="26" t="s">
        <v>57</v>
      </c>
      <c r="B28" s="154">
        <f t="shared" si="8"/>
        <v>3851100</v>
      </c>
      <c r="C28" s="52">
        <f t="shared" si="5"/>
        <v>5976003</v>
      </c>
      <c r="D28" s="52">
        <f t="shared" si="9"/>
        <v>1217070</v>
      </c>
      <c r="E28" s="52">
        <f t="shared" si="10"/>
        <v>372039.77999999997</v>
      </c>
      <c r="F28" s="52">
        <f>VLOOKUP(A28,Renseanlæg!$I$1:$K$56,3,FALSE)</f>
        <v>0</v>
      </c>
      <c r="G28" s="52">
        <f t="shared" si="11"/>
        <v>0</v>
      </c>
      <c r="H28" s="52">
        <f t="shared" si="12"/>
        <v>0</v>
      </c>
      <c r="I28" s="155">
        <f t="shared" si="13"/>
        <v>1854763.2</v>
      </c>
      <c r="J28" s="149">
        <f t="shared" si="15"/>
        <v>1.7059999999999999E-2</v>
      </c>
      <c r="K28" s="63">
        <v>229</v>
      </c>
      <c r="L28" s="168">
        <v>124</v>
      </c>
      <c r="M28" s="168">
        <v>323</v>
      </c>
      <c r="N28" s="168">
        <v>224</v>
      </c>
      <c r="O28" s="168">
        <v>0</v>
      </c>
      <c r="P28" s="168">
        <v>0</v>
      </c>
      <c r="Q28" s="168">
        <v>0</v>
      </c>
      <c r="R28" s="164">
        <v>0</v>
      </c>
      <c r="S28" s="63">
        <v>0</v>
      </c>
      <c r="T28" s="168">
        <v>76</v>
      </c>
      <c r="U28" s="168">
        <v>504</v>
      </c>
      <c r="V28" s="168">
        <v>143</v>
      </c>
      <c r="W28" s="168">
        <v>5536</v>
      </c>
      <c r="X28" s="168">
        <v>14</v>
      </c>
      <c r="Y28" s="168">
        <v>2360</v>
      </c>
      <c r="Z28" s="168">
        <v>0</v>
      </c>
      <c r="AA28" s="168">
        <v>0</v>
      </c>
      <c r="AB28" s="168">
        <v>0</v>
      </c>
      <c r="AC28" s="168">
        <v>0</v>
      </c>
      <c r="AD28" s="168">
        <v>0</v>
      </c>
      <c r="AE28" s="164">
        <v>0</v>
      </c>
      <c r="AF28" s="63">
        <v>90</v>
      </c>
      <c r="AG28" s="164">
        <v>377995</v>
      </c>
      <c r="AH28" s="63">
        <v>24</v>
      </c>
      <c r="AI28" s="164">
        <v>18847</v>
      </c>
      <c r="AJ28" s="63">
        <v>0</v>
      </c>
      <c r="AK28" s="168">
        <v>0</v>
      </c>
      <c r="AL28" s="164">
        <v>0</v>
      </c>
      <c r="AM28" s="63">
        <v>0</v>
      </c>
      <c r="AN28" s="168">
        <v>0</v>
      </c>
      <c r="AO28" s="164">
        <v>15354</v>
      </c>
      <c r="AP28" s="160">
        <v>1008069</v>
      </c>
    </row>
    <row r="29" spans="1:42" s="206" customFormat="1" ht="15" x14ac:dyDescent="0.25">
      <c r="A29" s="26" t="s">
        <v>58</v>
      </c>
      <c r="B29" s="154">
        <f t="shared" si="8"/>
        <v>1720158</v>
      </c>
      <c r="C29" s="52">
        <f t="shared" si="5"/>
        <v>3840892</v>
      </c>
      <c r="D29" s="52">
        <f t="shared" si="9"/>
        <v>459782</v>
      </c>
      <c r="E29" s="52">
        <f t="shared" si="10"/>
        <v>82671.12</v>
      </c>
      <c r="F29" s="52">
        <f>VLOOKUP(A29,Renseanlæg!$I$1:$K$56,3,FALSE)</f>
        <v>2642102.3380839988</v>
      </c>
      <c r="G29" s="52">
        <f t="shared" si="11"/>
        <v>1586160</v>
      </c>
      <c r="H29" s="52">
        <f t="shared" si="12"/>
        <v>12700</v>
      </c>
      <c r="I29" s="155">
        <f t="shared" si="13"/>
        <v>1244602.3999999999</v>
      </c>
      <c r="J29" s="149">
        <f t="shared" si="15"/>
        <v>2.5629353233830844E-2</v>
      </c>
      <c r="K29" s="63">
        <v>98</v>
      </c>
      <c r="L29" s="168">
        <v>38</v>
      </c>
      <c r="M29" s="168">
        <v>149</v>
      </c>
      <c r="N29" s="168">
        <v>117</v>
      </c>
      <c r="O29" s="168">
        <v>0</v>
      </c>
      <c r="P29" s="168">
        <v>0</v>
      </c>
      <c r="Q29" s="168">
        <v>0</v>
      </c>
      <c r="R29" s="164">
        <v>0</v>
      </c>
      <c r="S29" s="63">
        <v>177</v>
      </c>
      <c r="T29" s="168">
        <v>30</v>
      </c>
      <c r="U29" s="168">
        <v>182</v>
      </c>
      <c r="V29" s="168">
        <v>46</v>
      </c>
      <c r="W29" s="168">
        <v>1213</v>
      </c>
      <c r="X29" s="168">
        <v>7</v>
      </c>
      <c r="Y29" s="168">
        <v>1220</v>
      </c>
      <c r="Z29" s="168">
        <v>4</v>
      </c>
      <c r="AA29" s="168">
        <v>1667</v>
      </c>
      <c r="AB29" s="168">
        <v>0</v>
      </c>
      <c r="AC29" s="168">
        <v>0</v>
      </c>
      <c r="AD29" s="168">
        <v>0</v>
      </c>
      <c r="AE29" s="164">
        <v>0</v>
      </c>
      <c r="AF29" s="63">
        <v>34</v>
      </c>
      <c r="AG29" s="164">
        <v>45887</v>
      </c>
      <c r="AH29" s="63">
        <v>5</v>
      </c>
      <c r="AI29" s="164">
        <v>4188</v>
      </c>
      <c r="AJ29" s="63">
        <v>400</v>
      </c>
      <c r="AK29" s="168">
        <v>0</v>
      </c>
      <c r="AL29" s="164">
        <v>0</v>
      </c>
      <c r="AM29" s="63">
        <v>5</v>
      </c>
      <c r="AN29" s="168">
        <v>30</v>
      </c>
      <c r="AO29" s="164">
        <v>10303</v>
      </c>
      <c r="AP29" s="160">
        <v>2392942</v>
      </c>
    </row>
    <row r="30" spans="1:42" s="206" customFormat="1" ht="15" x14ac:dyDescent="0.25">
      <c r="A30" s="26" t="s">
        <v>59</v>
      </c>
      <c r="B30" s="154">
        <f t="shared" si="8"/>
        <v>12438411</v>
      </c>
      <c r="C30" s="52">
        <f t="shared" si="5"/>
        <v>10723280</v>
      </c>
      <c r="D30" s="52">
        <f t="shared" si="9"/>
        <v>1757990</v>
      </c>
      <c r="E30" s="52">
        <f t="shared" si="10"/>
        <v>609867.29999999993</v>
      </c>
      <c r="F30" s="52">
        <f>VLOOKUP(A30,Renseanlæg!$I$1:$K$56,3,FALSE)</f>
        <v>22151917.426315155</v>
      </c>
      <c r="G30" s="52">
        <f t="shared" si="11"/>
        <v>10582823.9</v>
      </c>
      <c r="H30" s="52">
        <f t="shared" si="12"/>
        <v>83820</v>
      </c>
      <c r="I30" s="155">
        <f t="shared" si="13"/>
        <v>3930469.6</v>
      </c>
      <c r="J30" s="149">
        <f t="shared" si="15"/>
        <v>1.9060925600468657E-2</v>
      </c>
      <c r="K30" s="63">
        <v>435</v>
      </c>
      <c r="L30" s="168">
        <v>112</v>
      </c>
      <c r="M30" s="168">
        <v>678</v>
      </c>
      <c r="N30" s="168">
        <v>420</v>
      </c>
      <c r="O30" s="168">
        <v>25</v>
      </c>
      <c r="P30" s="168">
        <v>37</v>
      </c>
      <c r="Q30" s="168">
        <v>0</v>
      </c>
      <c r="R30" s="164">
        <v>0</v>
      </c>
      <c r="S30" s="63">
        <v>693</v>
      </c>
      <c r="T30" s="168">
        <v>84</v>
      </c>
      <c r="U30" s="168">
        <v>529</v>
      </c>
      <c r="V30" s="168">
        <v>120</v>
      </c>
      <c r="W30" s="168">
        <v>3328</v>
      </c>
      <c r="X30" s="168">
        <v>3</v>
      </c>
      <c r="Y30" s="168">
        <v>621</v>
      </c>
      <c r="Z30" s="168">
        <v>0</v>
      </c>
      <c r="AA30" s="168">
        <v>0</v>
      </c>
      <c r="AB30" s="168">
        <v>0</v>
      </c>
      <c r="AC30" s="168">
        <v>0</v>
      </c>
      <c r="AD30" s="168">
        <v>2</v>
      </c>
      <c r="AE30" s="164">
        <v>2900</v>
      </c>
      <c r="AF30" s="63">
        <v>130</v>
      </c>
      <c r="AG30" s="164">
        <v>535056</v>
      </c>
      <c r="AH30" s="63">
        <v>39</v>
      </c>
      <c r="AI30" s="164">
        <v>30895</v>
      </c>
      <c r="AJ30" s="63">
        <v>1784</v>
      </c>
      <c r="AK30" s="168">
        <v>739</v>
      </c>
      <c r="AL30" s="164">
        <v>0</v>
      </c>
      <c r="AM30" s="63">
        <v>33</v>
      </c>
      <c r="AN30" s="168">
        <v>165</v>
      </c>
      <c r="AO30" s="164">
        <v>32537</v>
      </c>
      <c r="AP30" s="160">
        <v>8490440</v>
      </c>
    </row>
    <row r="31" spans="1:42" s="206" customFormat="1" x14ac:dyDescent="0.3">
      <c r="A31" s="26" t="s">
        <v>60</v>
      </c>
      <c r="B31" s="154">
        <f t="shared" si="8"/>
        <v>6809849</v>
      </c>
      <c r="C31" s="52">
        <f t="shared" si="5"/>
        <v>6812530</v>
      </c>
      <c r="D31" s="52">
        <f t="shared" si="9"/>
        <v>662627</v>
      </c>
      <c r="E31" s="52">
        <f t="shared" si="10"/>
        <v>160881</v>
      </c>
      <c r="F31" s="52">
        <f>VLOOKUP(A31,Renseanlæg!$I$1:$K$56,3,FALSE)</f>
        <v>11424140.087735107</v>
      </c>
      <c r="G31" s="52">
        <f t="shared" si="11"/>
        <v>5132263.7</v>
      </c>
      <c r="H31" s="52">
        <f t="shared" si="12"/>
        <v>10160</v>
      </c>
      <c r="I31" s="155">
        <f t="shared" si="13"/>
        <v>2079572</v>
      </c>
      <c r="J31" s="149">
        <f t="shared" si="15"/>
        <v>1.5275066548358474E-2</v>
      </c>
      <c r="K31" s="63">
        <v>52</v>
      </c>
      <c r="L31" s="168">
        <v>187</v>
      </c>
      <c r="M31" s="168">
        <v>448</v>
      </c>
      <c r="N31" s="168">
        <v>416</v>
      </c>
      <c r="O31" s="168">
        <v>5</v>
      </c>
      <c r="P31" s="168">
        <v>19</v>
      </c>
      <c r="Q31" s="168">
        <v>0</v>
      </c>
      <c r="R31" s="164">
        <v>0</v>
      </c>
      <c r="S31" s="63">
        <v>92</v>
      </c>
      <c r="T31" s="168">
        <v>3</v>
      </c>
      <c r="U31" s="168">
        <v>24</v>
      </c>
      <c r="V31" s="168">
        <v>133</v>
      </c>
      <c r="W31" s="168">
        <v>5277</v>
      </c>
      <c r="X31" s="168">
        <v>4</v>
      </c>
      <c r="Y31" s="168">
        <v>1098</v>
      </c>
      <c r="Z31" s="168">
        <v>1</v>
      </c>
      <c r="AA31" s="168">
        <v>450</v>
      </c>
      <c r="AB31" s="168">
        <v>3</v>
      </c>
      <c r="AC31" s="168">
        <v>2220</v>
      </c>
      <c r="AD31" s="168">
        <v>1</v>
      </c>
      <c r="AE31" s="164">
        <v>1810</v>
      </c>
      <c r="AF31" s="63">
        <v>49</v>
      </c>
      <c r="AG31" s="164">
        <v>271274</v>
      </c>
      <c r="AH31" s="63">
        <v>11</v>
      </c>
      <c r="AI31" s="164">
        <v>8150</v>
      </c>
      <c r="AJ31" s="63">
        <v>0</v>
      </c>
      <c r="AK31" s="168">
        <v>0</v>
      </c>
      <c r="AL31" s="164">
        <v>1081</v>
      </c>
      <c r="AM31" s="63">
        <v>4</v>
      </c>
      <c r="AN31" s="168">
        <v>40</v>
      </c>
      <c r="AO31" s="164">
        <v>17215</v>
      </c>
      <c r="AP31" s="160">
        <v>3930695</v>
      </c>
    </row>
    <row r="32" spans="1:42" s="206" customFormat="1" ht="15" x14ac:dyDescent="0.25">
      <c r="A32" s="26" t="s">
        <v>99</v>
      </c>
      <c r="B32" s="154">
        <f t="shared" si="8"/>
        <v>4672668</v>
      </c>
      <c r="C32" s="52">
        <f t="shared" si="5"/>
        <v>14550168</v>
      </c>
      <c r="D32" s="52">
        <f t="shared" si="9"/>
        <v>162276</v>
      </c>
      <c r="E32" s="52">
        <f t="shared" si="10"/>
        <v>34584.479999999996</v>
      </c>
      <c r="F32" s="52">
        <f>VLOOKUP(A32,Renseanlæg!$I$1:$K$56,3,FALSE)</f>
        <v>14364594.231905608</v>
      </c>
      <c r="G32" s="52">
        <f t="shared" si="11"/>
        <v>4120050.6</v>
      </c>
      <c r="H32" s="52">
        <f t="shared" si="12"/>
        <v>17780</v>
      </c>
      <c r="I32" s="155">
        <f t="shared" si="13"/>
        <v>2914058.4</v>
      </c>
      <c r="J32" s="149">
        <f t="shared" si="15"/>
        <v>2.209065934065934E-2</v>
      </c>
      <c r="K32" s="63">
        <v>348</v>
      </c>
      <c r="L32" s="168">
        <v>233</v>
      </c>
      <c r="M32" s="168">
        <v>204</v>
      </c>
      <c r="N32" s="168">
        <v>307</v>
      </c>
      <c r="O32" s="168">
        <v>0</v>
      </c>
      <c r="P32" s="168">
        <v>0</v>
      </c>
      <c r="Q32" s="168">
        <v>0</v>
      </c>
      <c r="R32" s="164">
        <v>0</v>
      </c>
      <c r="S32" s="63">
        <v>312</v>
      </c>
      <c r="T32" s="168">
        <v>418</v>
      </c>
      <c r="U32" s="168">
        <v>3380</v>
      </c>
      <c r="V32" s="168">
        <v>194</v>
      </c>
      <c r="W32" s="168">
        <v>4959</v>
      </c>
      <c r="X32" s="168">
        <v>18</v>
      </c>
      <c r="Y32" s="168">
        <v>2711</v>
      </c>
      <c r="Z32" s="168">
        <v>1</v>
      </c>
      <c r="AA32" s="168">
        <v>500</v>
      </c>
      <c r="AB32" s="168">
        <v>0</v>
      </c>
      <c r="AC32" s="168">
        <v>0</v>
      </c>
      <c r="AD32" s="168">
        <v>0</v>
      </c>
      <c r="AE32" s="164">
        <v>0</v>
      </c>
      <c r="AF32" s="63">
        <v>12</v>
      </c>
      <c r="AG32" s="164">
        <v>43550</v>
      </c>
      <c r="AH32" s="63">
        <v>19</v>
      </c>
      <c r="AI32" s="164">
        <v>1752</v>
      </c>
      <c r="AJ32" s="63">
        <v>1039</v>
      </c>
      <c r="AK32" s="168">
        <v>0</v>
      </c>
      <c r="AL32" s="164">
        <v>0</v>
      </c>
      <c r="AM32" s="63">
        <v>7</v>
      </c>
      <c r="AN32" s="168">
        <v>135</v>
      </c>
      <c r="AO32" s="164">
        <v>24123</v>
      </c>
      <c r="AP32" s="160">
        <v>5041162</v>
      </c>
    </row>
    <row r="33" spans="1:42" s="206" customFormat="1" x14ac:dyDescent="0.3">
      <c r="A33" s="26" t="s">
        <v>61</v>
      </c>
      <c r="B33" s="154">
        <f t="shared" si="8"/>
        <v>11869611.739999998</v>
      </c>
      <c r="C33" s="52">
        <f t="shared" si="5"/>
        <v>999728</v>
      </c>
      <c r="D33" s="52">
        <f t="shared" si="9"/>
        <v>27046</v>
      </c>
      <c r="E33" s="52">
        <f t="shared" si="10"/>
        <v>303364.31999999995</v>
      </c>
      <c r="F33" s="52">
        <f>VLOOKUP(A33,Renseanlæg!$I$1:$K$56,3,FALSE)</f>
        <v>0</v>
      </c>
      <c r="G33" s="52">
        <f t="shared" si="11"/>
        <v>0</v>
      </c>
      <c r="H33" s="52">
        <f t="shared" si="12"/>
        <v>0</v>
      </c>
      <c r="I33" s="155">
        <f t="shared" si="13"/>
        <v>1366127.2</v>
      </c>
      <c r="J33" s="149">
        <f t="shared" ref="J33:J34" si="16">AO33/(SUM(K33:R33)*1000)</f>
        <v>2.5322436184505151E-2</v>
      </c>
      <c r="K33" s="63">
        <v>11.52</v>
      </c>
      <c r="L33" s="168">
        <v>26.88</v>
      </c>
      <c r="M33" s="168">
        <v>123.81</v>
      </c>
      <c r="N33" s="168">
        <v>164.13</v>
      </c>
      <c r="O33" s="168">
        <v>36.08</v>
      </c>
      <c r="P33" s="168">
        <v>84.18</v>
      </c>
      <c r="Q33" s="168">
        <v>0</v>
      </c>
      <c r="R33" s="164">
        <v>0</v>
      </c>
      <c r="S33" s="63">
        <v>2</v>
      </c>
      <c r="T33" s="168">
        <v>5</v>
      </c>
      <c r="U33" s="168">
        <v>38.299999999999997</v>
      </c>
      <c r="V33" s="168">
        <v>25</v>
      </c>
      <c r="W33" s="168">
        <v>817.9</v>
      </c>
      <c r="X33" s="168">
        <v>1</v>
      </c>
      <c r="Y33" s="168">
        <v>137</v>
      </c>
      <c r="Z33" s="168">
        <v>2</v>
      </c>
      <c r="AA33" s="168">
        <v>750</v>
      </c>
      <c r="AB33" s="168">
        <v>0</v>
      </c>
      <c r="AC33" s="168">
        <v>0</v>
      </c>
      <c r="AD33" s="168">
        <v>0</v>
      </c>
      <c r="AE33" s="164">
        <v>0</v>
      </c>
      <c r="AF33" s="63">
        <v>2</v>
      </c>
      <c r="AG33" s="164">
        <v>4850</v>
      </c>
      <c r="AH33" s="63">
        <v>28</v>
      </c>
      <c r="AI33" s="164">
        <v>15368</v>
      </c>
      <c r="AJ33" s="63">
        <v>0</v>
      </c>
      <c r="AK33" s="168">
        <v>0</v>
      </c>
      <c r="AL33" s="164">
        <v>0</v>
      </c>
      <c r="AM33" s="63">
        <v>0</v>
      </c>
      <c r="AN33" s="168">
        <v>0</v>
      </c>
      <c r="AO33" s="164">
        <v>11309</v>
      </c>
      <c r="AP33" s="160">
        <v>214945</v>
      </c>
    </row>
    <row r="34" spans="1:42" s="206" customFormat="1" x14ac:dyDescent="0.3">
      <c r="A34" s="26" t="s">
        <v>62</v>
      </c>
      <c r="B34" s="154">
        <f t="shared" si="8"/>
        <v>2807024</v>
      </c>
      <c r="C34" s="52">
        <f t="shared" si="5"/>
        <v>5983830</v>
      </c>
      <c r="D34" s="52">
        <f t="shared" si="9"/>
        <v>54092</v>
      </c>
      <c r="E34" s="52">
        <f t="shared" si="10"/>
        <v>0</v>
      </c>
      <c r="F34" s="52">
        <f>VLOOKUP(A34,Renseanlæg!$I$1:$K$56,3,FALSE)</f>
        <v>11820557.490590803</v>
      </c>
      <c r="G34" s="52">
        <f t="shared" si="11"/>
        <v>2027267.9</v>
      </c>
      <c r="H34" s="52">
        <f t="shared" si="12"/>
        <v>0</v>
      </c>
      <c r="I34" s="155">
        <f t="shared" si="13"/>
        <v>993217.6</v>
      </c>
      <c r="J34" s="208">
        <f t="shared" si="16"/>
        <v>1.2533536585365854E-2</v>
      </c>
      <c r="K34" s="63">
        <v>271</v>
      </c>
      <c r="L34" s="168">
        <v>102</v>
      </c>
      <c r="M34" s="168">
        <v>175</v>
      </c>
      <c r="N34" s="168">
        <v>108</v>
      </c>
      <c r="O34" s="168">
        <v>0</v>
      </c>
      <c r="P34" s="168">
        <v>0</v>
      </c>
      <c r="Q34" s="168">
        <v>0</v>
      </c>
      <c r="R34" s="164">
        <v>0</v>
      </c>
      <c r="S34" s="63">
        <v>380</v>
      </c>
      <c r="T34" s="168">
        <v>69</v>
      </c>
      <c r="U34" s="168">
        <v>345</v>
      </c>
      <c r="V34" s="168">
        <v>103</v>
      </c>
      <c r="W34" s="168">
        <v>1545</v>
      </c>
      <c r="X34" s="168">
        <v>0</v>
      </c>
      <c r="Y34" s="168">
        <v>0</v>
      </c>
      <c r="Z34" s="168">
        <v>0</v>
      </c>
      <c r="AA34" s="168">
        <v>0</v>
      </c>
      <c r="AB34" s="168">
        <v>0</v>
      </c>
      <c r="AC34" s="168">
        <v>0</v>
      </c>
      <c r="AD34" s="168">
        <v>0</v>
      </c>
      <c r="AE34" s="164">
        <v>0</v>
      </c>
      <c r="AF34" s="63">
        <v>4</v>
      </c>
      <c r="AG34" s="164">
        <v>14100</v>
      </c>
      <c r="AH34" s="63">
        <v>0</v>
      </c>
      <c r="AI34" s="164">
        <v>0</v>
      </c>
      <c r="AJ34" s="63">
        <v>0</v>
      </c>
      <c r="AK34" s="168">
        <v>427</v>
      </c>
      <c r="AL34" s="164">
        <v>0</v>
      </c>
      <c r="AM34" s="63">
        <v>0</v>
      </c>
      <c r="AN34" s="168">
        <v>0</v>
      </c>
      <c r="AO34" s="164">
        <v>8222</v>
      </c>
      <c r="AP34" s="160">
        <v>2764501</v>
      </c>
    </row>
    <row r="35" spans="1:42" s="206" customFormat="1" x14ac:dyDescent="0.3">
      <c r="A35" s="26" t="s">
        <v>64</v>
      </c>
      <c r="B35" s="154">
        <f t="shared" ref="B35:B46" si="17">4.279*SUM(K35:N35)*1000+87.088*SUM(O35:R35)*1000</f>
        <v>2647845.1999999997</v>
      </c>
      <c r="C35" s="52">
        <f t="shared" si="5"/>
        <v>8410342</v>
      </c>
      <c r="D35" s="52">
        <f t="shared" ref="D35:D46" si="18">13523*AF35</f>
        <v>297506</v>
      </c>
      <c r="E35" s="52">
        <f t="shared" ref="E35:E46" si="19">19.74*AI35</f>
        <v>130915.68</v>
      </c>
      <c r="F35" s="52">
        <f>VLOOKUP(A35,Renseanlæg!$I$1:$K$56,3,FALSE)</f>
        <v>11966852.868458295</v>
      </c>
      <c r="G35" s="52">
        <f t="shared" ref="G35:G46" si="20">3965.4*AJ35+4747.7*(AK35+AL35)</f>
        <v>3323390</v>
      </c>
      <c r="H35" s="52">
        <f t="shared" ref="H35:H46" si="21">2540*AM35</f>
        <v>63500</v>
      </c>
      <c r="I35" s="155">
        <f t="shared" si="13"/>
        <v>1452861.5999999999</v>
      </c>
      <c r="J35" s="149">
        <f t="shared" ref="J35:J46" si="22">AO35/(SUM(K35:R35)*1000)</f>
        <v>1.943600517129929E-2</v>
      </c>
      <c r="K35" s="63">
        <v>157</v>
      </c>
      <c r="L35" s="168">
        <v>38</v>
      </c>
      <c r="M35" s="168">
        <v>256.8</v>
      </c>
      <c r="N35" s="168">
        <v>167</v>
      </c>
      <c r="O35" s="168">
        <v>0</v>
      </c>
      <c r="P35" s="168">
        <v>0</v>
      </c>
      <c r="Q35" s="168">
        <v>0</v>
      </c>
      <c r="R35" s="164">
        <v>0</v>
      </c>
      <c r="S35" s="63">
        <v>509</v>
      </c>
      <c r="T35" s="168">
        <v>84</v>
      </c>
      <c r="U35" s="168">
        <v>1377</v>
      </c>
      <c r="V35" s="168">
        <v>82</v>
      </c>
      <c r="W35" s="168">
        <v>2051</v>
      </c>
      <c r="X35" s="168">
        <v>4</v>
      </c>
      <c r="Y35" s="168">
        <v>866</v>
      </c>
      <c r="Z35" s="168">
        <v>6</v>
      </c>
      <c r="AA35" s="168">
        <v>2649</v>
      </c>
      <c r="AB35" s="168">
        <v>1</v>
      </c>
      <c r="AC35" s="168">
        <v>1414</v>
      </c>
      <c r="AD35" s="168">
        <v>0</v>
      </c>
      <c r="AE35" s="164">
        <v>0</v>
      </c>
      <c r="AF35" s="63">
        <v>22</v>
      </c>
      <c r="AG35" s="164">
        <v>81400</v>
      </c>
      <c r="AH35" s="63">
        <v>20</v>
      </c>
      <c r="AI35" s="164">
        <v>6632</v>
      </c>
      <c r="AJ35" s="63">
        <v>0</v>
      </c>
      <c r="AK35" s="168">
        <v>0</v>
      </c>
      <c r="AL35" s="164">
        <v>700</v>
      </c>
      <c r="AM35" s="63">
        <v>25</v>
      </c>
      <c r="AN35" s="168">
        <v>125</v>
      </c>
      <c r="AO35" s="164">
        <v>12027</v>
      </c>
      <c r="AP35" s="160">
        <v>3948750</v>
      </c>
    </row>
    <row r="36" spans="1:42" s="206" customFormat="1" x14ac:dyDescent="0.3">
      <c r="A36" s="26" t="s">
        <v>71</v>
      </c>
      <c r="B36" s="154">
        <f t="shared" si="17"/>
        <v>11680745</v>
      </c>
      <c r="C36" s="52">
        <f t="shared" si="5"/>
        <v>8999830</v>
      </c>
      <c r="D36" s="52">
        <f t="shared" si="18"/>
        <v>1257639</v>
      </c>
      <c r="E36" s="52">
        <f t="shared" si="19"/>
        <v>1310657.0399999998</v>
      </c>
      <c r="F36" s="52">
        <f>VLOOKUP(A36,Renseanlæg!$I$1:$K$56,3,FALSE)</f>
        <v>14686227.111452829</v>
      </c>
      <c r="G36" s="52">
        <f t="shared" si="20"/>
        <v>3263524.2</v>
      </c>
      <c r="H36" s="52">
        <f t="shared" si="21"/>
        <v>20320</v>
      </c>
      <c r="I36" s="155">
        <v>24606</v>
      </c>
      <c r="J36" s="149">
        <f t="shared" si="22"/>
        <v>1.9515488482922956E-2</v>
      </c>
      <c r="K36" s="63">
        <v>199</v>
      </c>
      <c r="L36" s="168">
        <v>150</v>
      </c>
      <c r="M36" s="168">
        <v>92</v>
      </c>
      <c r="N36" s="168">
        <v>742</v>
      </c>
      <c r="O36" s="168">
        <v>29</v>
      </c>
      <c r="P36" s="168">
        <v>47</v>
      </c>
      <c r="Q36" s="168">
        <v>0</v>
      </c>
      <c r="R36" s="164">
        <v>0</v>
      </c>
      <c r="S36" s="63">
        <v>440</v>
      </c>
      <c r="T36" s="168">
        <v>18</v>
      </c>
      <c r="U36" s="168">
        <v>96</v>
      </c>
      <c r="V36" s="168">
        <v>136</v>
      </c>
      <c r="W36" s="168">
        <v>3678</v>
      </c>
      <c r="X36" s="168">
        <v>9</v>
      </c>
      <c r="Y36" s="168">
        <v>1252</v>
      </c>
      <c r="Z36" s="168">
        <v>1</v>
      </c>
      <c r="AA36" s="168">
        <v>483</v>
      </c>
      <c r="AB36" s="168">
        <v>0</v>
      </c>
      <c r="AC36" s="168">
        <v>0</v>
      </c>
      <c r="AD36" s="168">
        <v>1</v>
      </c>
      <c r="AE36" s="164">
        <v>2500</v>
      </c>
      <c r="AF36" s="63">
        <v>93</v>
      </c>
      <c r="AG36" s="164">
        <v>393874</v>
      </c>
      <c r="AH36" s="63">
        <v>40</v>
      </c>
      <c r="AI36" s="164">
        <v>66396</v>
      </c>
      <c r="AJ36" s="63">
        <v>823</v>
      </c>
      <c r="AK36" s="168">
        <v>0</v>
      </c>
      <c r="AL36" s="164">
        <v>0</v>
      </c>
      <c r="AM36" s="63">
        <v>8</v>
      </c>
      <c r="AN36" s="168">
        <v>160</v>
      </c>
      <c r="AO36" s="164">
        <v>24570</v>
      </c>
      <c r="AP36" s="160">
        <v>6797524</v>
      </c>
    </row>
    <row r="37" spans="1:42" s="206" customFormat="1" x14ac:dyDescent="0.3">
      <c r="A37" s="26" t="s">
        <v>65</v>
      </c>
      <c r="B37" s="154">
        <f t="shared" si="17"/>
        <v>2959277</v>
      </c>
      <c r="C37" s="52">
        <f t="shared" si="5"/>
        <v>1246689</v>
      </c>
      <c r="D37" s="52">
        <f t="shared" si="18"/>
        <v>459782</v>
      </c>
      <c r="E37" s="52">
        <f t="shared" si="19"/>
        <v>42796.32</v>
      </c>
      <c r="F37" s="52">
        <f>VLOOKUP(A37,Renseanlæg!$I$1:$K$56,3,FALSE)</f>
        <v>5060173.9758831169</v>
      </c>
      <c r="G37" s="52">
        <f t="shared" si="20"/>
        <v>1911322.8</v>
      </c>
      <c r="H37" s="52">
        <f t="shared" si="21"/>
        <v>55880</v>
      </c>
      <c r="I37" s="155">
        <f t="shared" ref="I37:I50" si="23">120.8*AO37</f>
        <v>934508.79999999993</v>
      </c>
      <c r="J37" s="149">
        <f t="shared" si="22"/>
        <v>1.7581818181818181E-2</v>
      </c>
      <c r="K37" s="63">
        <v>163</v>
      </c>
      <c r="L37" s="168">
        <v>62</v>
      </c>
      <c r="M37" s="168">
        <v>143</v>
      </c>
      <c r="N37" s="168">
        <v>59</v>
      </c>
      <c r="O37" s="168">
        <v>5</v>
      </c>
      <c r="P37" s="168">
        <v>8</v>
      </c>
      <c r="Q37" s="168">
        <v>0</v>
      </c>
      <c r="R37" s="164">
        <v>0</v>
      </c>
      <c r="S37" s="63">
        <v>35</v>
      </c>
      <c r="T37" s="168">
        <v>31</v>
      </c>
      <c r="U37" s="168">
        <v>305</v>
      </c>
      <c r="V37" s="168">
        <v>24</v>
      </c>
      <c r="W37" s="168">
        <v>923</v>
      </c>
      <c r="X37" s="168">
        <v>0</v>
      </c>
      <c r="Y37" s="168">
        <v>0</v>
      </c>
      <c r="Z37" s="168">
        <v>0</v>
      </c>
      <c r="AA37" s="168">
        <v>0</v>
      </c>
      <c r="AB37" s="168">
        <v>0</v>
      </c>
      <c r="AC37" s="168">
        <v>0</v>
      </c>
      <c r="AD37" s="168">
        <v>0</v>
      </c>
      <c r="AE37" s="164">
        <v>0</v>
      </c>
      <c r="AF37" s="63">
        <v>34</v>
      </c>
      <c r="AG37" s="164">
        <v>53839</v>
      </c>
      <c r="AH37" s="63">
        <v>3</v>
      </c>
      <c r="AI37" s="164">
        <v>2168</v>
      </c>
      <c r="AJ37" s="63">
        <v>482</v>
      </c>
      <c r="AK37" s="168">
        <v>0</v>
      </c>
      <c r="AL37" s="164">
        <v>0</v>
      </c>
      <c r="AM37" s="63">
        <v>22</v>
      </c>
      <c r="AN37" s="168">
        <v>115</v>
      </c>
      <c r="AO37" s="164">
        <v>7736</v>
      </c>
      <c r="AP37" s="160">
        <v>1330517</v>
      </c>
    </row>
    <row r="38" spans="1:42" x14ac:dyDescent="0.3">
      <c r="A38" s="26" t="s">
        <v>73</v>
      </c>
      <c r="B38" s="154">
        <f t="shared" si="17"/>
        <v>2237917</v>
      </c>
      <c r="C38" s="52">
        <f t="shared" si="5"/>
        <v>2599333</v>
      </c>
      <c r="D38" s="52">
        <f t="shared" si="18"/>
        <v>27046</v>
      </c>
      <c r="E38" s="52">
        <f t="shared" si="19"/>
        <v>483175.98</v>
      </c>
      <c r="F38" s="52">
        <f>VLOOKUP(A38,Renseanlæg!$I$1:$K$56,3,FALSE)</f>
        <v>6801884.8405570127</v>
      </c>
      <c r="G38" s="52">
        <f t="shared" si="20"/>
        <v>4084660.7</v>
      </c>
      <c r="H38" s="52">
        <f t="shared" si="21"/>
        <v>0</v>
      </c>
      <c r="I38" s="155">
        <f t="shared" si="23"/>
        <v>1791464</v>
      </c>
      <c r="J38" s="149">
        <f t="shared" si="22"/>
        <v>2.8355640535372848E-2</v>
      </c>
      <c r="K38" s="63">
        <v>37</v>
      </c>
      <c r="L38" s="168">
        <v>68</v>
      </c>
      <c r="M38" s="168">
        <v>229</v>
      </c>
      <c r="N38" s="168">
        <v>189</v>
      </c>
      <c r="O38" s="168">
        <v>0</v>
      </c>
      <c r="P38" s="168">
        <v>0</v>
      </c>
      <c r="Q38" s="168">
        <v>0</v>
      </c>
      <c r="R38" s="164">
        <v>0</v>
      </c>
      <c r="S38" s="63">
        <v>2</v>
      </c>
      <c r="T38" s="168">
        <v>23</v>
      </c>
      <c r="U38" s="168">
        <v>156</v>
      </c>
      <c r="V38" s="168">
        <v>72</v>
      </c>
      <c r="W38" s="168">
        <v>1912</v>
      </c>
      <c r="X38" s="168">
        <v>5</v>
      </c>
      <c r="Y38" s="168">
        <v>550</v>
      </c>
      <c r="Z38" s="168">
        <v>0</v>
      </c>
      <c r="AA38" s="168">
        <v>0</v>
      </c>
      <c r="AB38" s="168">
        <v>0</v>
      </c>
      <c r="AC38" s="168">
        <v>0</v>
      </c>
      <c r="AD38" s="168">
        <v>0</v>
      </c>
      <c r="AE38" s="164">
        <v>0</v>
      </c>
      <c r="AF38" s="63">
        <v>2</v>
      </c>
      <c r="AG38" s="164">
        <v>300</v>
      </c>
      <c r="AH38" s="63">
        <v>38</v>
      </c>
      <c r="AI38" s="164">
        <v>24477</v>
      </c>
      <c r="AJ38" s="63">
        <v>799</v>
      </c>
      <c r="AK38" s="168">
        <v>193</v>
      </c>
      <c r="AL38" s="164">
        <v>0</v>
      </c>
      <c r="AM38" s="63">
        <v>0</v>
      </c>
      <c r="AN38" s="168">
        <v>0</v>
      </c>
      <c r="AO38" s="164">
        <v>14830</v>
      </c>
      <c r="AP38" s="160">
        <v>2156000</v>
      </c>
    </row>
    <row r="39" spans="1:42" x14ac:dyDescent="0.3">
      <c r="A39" s="26" t="s">
        <v>66</v>
      </c>
      <c r="B39" s="154">
        <f t="shared" si="17"/>
        <v>783887.12599999993</v>
      </c>
      <c r="C39" s="52">
        <f t="shared" si="5"/>
        <v>1630026</v>
      </c>
      <c r="D39" s="52">
        <f t="shared" si="18"/>
        <v>0</v>
      </c>
      <c r="E39" s="52">
        <f t="shared" si="19"/>
        <v>99232.98</v>
      </c>
      <c r="F39" s="52">
        <f>VLOOKUP(A39,Renseanlæg!$I$1:$K$56,3,FALSE)</f>
        <v>1766839.9039683237</v>
      </c>
      <c r="G39" s="52">
        <f t="shared" si="20"/>
        <v>237385</v>
      </c>
      <c r="H39" s="52">
        <f t="shared" si="21"/>
        <v>0</v>
      </c>
      <c r="I39" s="155">
        <f t="shared" si="23"/>
        <v>274578.39999999997</v>
      </c>
      <c r="J39" s="149">
        <f t="shared" si="22"/>
        <v>1.2407611603000098E-2</v>
      </c>
      <c r="K39" s="63">
        <v>106.11</v>
      </c>
      <c r="L39" s="168">
        <v>35.405999999999999</v>
      </c>
      <c r="M39" s="168">
        <v>17.062999999999999</v>
      </c>
      <c r="N39" s="168">
        <v>24.614999999999998</v>
      </c>
      <c r="O39" s="168">
        <v>0</v>
      </c>
      <c r="P39" s="168">
        <v>0</v>
      </c>
      <c r="Q39" s="168">
        <v>0</v>
      </c>
      <c r="R39" s="164">
        <v>0</v>
      </c>
      <c r="S39" s="63">
        <v>4</v>
      </c>
      <c r="T39" s="168">
        <v>32</v>
      </c>
      <c r="U39" s="168">
        <v>155</v>
      </c>
      <c r="V39" s="168">
        <v>26</v>
      </c>
      <c r="W39" s="168">
        <v>477</v>
      </c>
      <c r="X39" s="168">
        <v>0</v>
      </c>
      <c r="Y39" s="168">
        <v>0</v>
      </c>
      <c r="Z39" s="168">
        <v>0</v>
      </c>
      <c r="AA39" s="168">
        <v>0</v>
      </c>
      <c r="AB39" s="168">
        <v>1</v>
      </c>
      <c r="AC39" s="168">
        <v>880</v>
      </c>
      <c r="AD39" s="168">
        <v>0</v>
      </c>
      <c r="AE39" s="164">
        <v>0</v>
      </c>
      <c r="AF39" s="63">
        <v>0</v>
      </c>
      <c r="AG39" s="164">
        <v>0</v>
      </c>
      <c r="AH39" s="63">
        <v>3</v>
      </c>
      <c r="AI39" s="164">
        <v>5027</v>
      </c>
      <c r="AJ39" s="63">
        <v>0</v>
      </c>
      <c r="AK39" s="168">
        <v>50</v>
      </c>
      <c r="AL39" s="164">
        <v>0</v>
      </c>
      <c r="AM39" s="63">
        <v>0</v>
      </c>
      <c r="AN39" s="168">
        <v>0</v>
      </c>
      <c r="AO39" s="164">
        <v>2273</v>
      </c>
      <c r="AP39" s="160">
        <v>605634</v>
      </c>
    </row>
    <row r="40" spans="1:42" x14ac:dyDescent="0.3">
      <c r="A40" s="26" t="s">
        <v>74</v>
      </c>
      <c r="B40" s="154">
        <f t="shared" si="17"/>
        <v>12595716</v>
      </c>
      <c r="C40" s="52">
        <f t="shared" si="5"/>
        <v>4812983</v>
      </c>
      <c r="D40" s="52">
        <f t="shared" si="18"/>
        <v>1703898</v>
      </c>
      <c r="E40" s="52">
        <f t="shared" si="19"/>
        <v>177581.03999999998</v>
      </c>
      <c r="F40" s="52">
        <f>VLOOKUP(A40,Renseanlæg!$I$1:$K$56,3,FALSE)</f>
        <v>22552686.247994442</v>
      </c>
      <c r="G40" s="52">
        <f t="shared" si="20"/>
        <v>5833670.1000000006</v>
      </c>
      <c r="H40" s="52">
        <f t="shared" si="21"/>
        <v>17780</v>
      </c>
      <c r="I40" s="155">
        <f t="shared" si="23"/>
        <v>3203012</v>
      </c>
      <c r="J40" s="149">
        <f t="shared" si="22"/>
        <v>1.6098967820279295E-2</v>
      </c>
      <c r="K40" s="63">
        <v>291</v>
      </c>
      <c r="L40" s="168">
        <v>204</v>
      </c>
      <c r="M40" s="168">
        <v>692</v>
      </c>
      <c r="N40" s="168">
        <v>393</v>
      </c>
      <c r="O40" s="168">
        <v>41</v>
      </c>
      <c r="P40" s="168">
        <v>26</v>
      </c>
      <c r="Q40" s="168">
        <v>0</v>
      </c>
      <c r="R40" s="164">
        <v>0</v>
      </c>
      <c r="S40" s="63">
        <v>13</v>
      </c>
      <c r="T40" s="168">
        <v>78</v>
      </c>
      <c r="U40" s="168">
        <v>434</v>
      </c>
      <c r="V40" s="168">
        <v>101</v>
      </c>
      <c r="W40" s="168">
        <v>2322</v>
      </c>
      <c r="X40" s="168">
        <v>6</v>
      </c>
      <c r="Y40" s="168">
        <v>1166</v>
      </c>
      <c r="Z40" s="168">
        <v>0</v>
      </c>
      <c r="AA40" s="168">
        <v>0</v>
      </c>
      <c r="AB40" s="168">
        <v>1</v>
      </c>
      <c r="AC40" s="168">
        <v>950</v>
      </c>
      <c r="AD40" s="168">
        <v>0</v>
      </c>
      <c r="AE40" s="164">
        <v>0</v>
      </c>
      <c r="AF40" s="63">
        <v>126</v>
      </c>
      <c r="AG40" s="164">
        <v>732926</v>
      </c>
      <c r="AH40" s="63">
        <v>18</v>
      </c>
      <c r="AI40" s="164">
        <v>8996</v>
      </c>
      <c r="AJ40" s="63">
        <v>1446</v>
      </c>
      <c r="AK40" s="168">
        <v>0</v>
      </c>
      <c r="AL40" s="164">
        <v>21</v>
      </c>
      <c r="AM40" s="63">
        <v>7</v>
      </c>
      <c r="AN40" s="168">
        <v>95</v>
      </c>
      <c r="AO40" s="164">
        <v>26515</v>
      </c>
      <c r="AP40" s="160">
        <v>6264386</v>
      </c>
    </row>
    <row r="41" spans="1:42" x14ac:dyDescent="0.3">
      <c r="A41" s="26" t="s">
        <v>75</v>
      </c>
      <c r="B41" s="154">
        <f t="shared" si="17"/>
        <v>13191684</v>
      </c>
      <c r="C41" s="52">
        <f t="shared" si="5"/>
        <v>5211340</v>
      </c>
      <c r="D41" s="52">
        <f t="shared" si="18"/>
        <v>1379346</v>
      </c>
      <c r="E41" s="52">
        <f t="shared" si="19"/>
        <v>114097.2</v>
      </c>
      <c r="F41" s="52">
        <f>VLOOKUP(A41,Renseanlæg!$I$1:$K$56,3,FALSE)</f>
        <v>13503313.459897542</v>
      </c>
      <c r="G41" s="52">
        <f t="shared" si="20"/>
        <v>4040742.6</v>
      </c>
      <c r="H41" s="52">
        <f t="shared" si="21"/>
        <v>10160</v>
      </c>
      <c r="I41" s="155">
        <f t="shared" si="23"/>
        <v>2162440.7999999998</v>
      </c>
      <c r="J41" s="149">
        <f t="shared" si="22"/>
        <v>1.5339331619537275E-2</v>
      </c>
      <c r="K41" s="63">
        <v>235</v>
      </c>
      <c r="L41" s="168">
        <v>80</v>
      </c>
      <c r="M41" s="168">
        <v>549</v>
      </c>
      <c r="N41" s="168">
        <v>204</v>
      </c>
      <c r="O41" s="168">
        <v>81</v>
      </c>
      <c r="P41" s="168">
        <v>18</v>
      </c>
      <c r="Q41" s="168">
        <v>0</v>
      </c>
      <c r="R41" s="164">
        <v>0</v>
      </c>
      <c r="S41" s="63">
        <v>39</v>
      </c>
      <c r="T41" s="168">
        <v>40</v>
      </c>
      <c r="U41" s="168">
        <v>200</v>
      </c>
      <c r="V41" s="168">
        <v>168</v>
      </c>
      <c r="W41" s="168">
        <v>9000</v>
      </c>
      <c r="X41" s="168">
        <v>3</v>
      </c>
      <c r="Y41" s="168">
        <v>600</v>
      </c>
      <c r="Z41" s="168">
        <v>0</v>
      </c>
      <c r="AA41" s="168">
        <v>0</v>
      </c>
      <c r="AB41" s="168">
        <v>0</v>
      </c>
      <c r="AC41" s="168">
        <v>0</v>
      </c>
      <c r="AD41" s="168">
        <v>0</v>
      </c>
      <c r="AE41" s="164">
        <v>0</v>
      </c>
      <c r="AF41" s="63">
        <v>102</v>
      </c>
      <c r="AG41" s="164">
        <v>239000</v>
      </c>
      <c r="AH41" s="63">
        <v>7</v>
      </c>
      <c r="AI41" s="164">
        <v>5780</v>
      </c>
      <c r="AJ41" s="63">
        <v>1019</v>
      </c>
      <c r="AK41" s="168">
        <v>0</v>
      </c>
      <c r="AL41" s="164">
        <v>0</v>
      </c>
      <c r="AM41" s="63">
        <v>4</v>
      </c>
      <c r="AN41" s="168">
        <v>20</v>
      </c>
      <c r="AO41" s="164">
        <v>17901</v>
      </c>
      <c r="AP41" s="160">
        <v>2994755</v>
      </c>
    </row>
    <row r="42" spans="1:42" x14ac:dyDescent="0.3">
      <c r="A42" s="26" t="s">
        <v>76</v>
      </c>
      <c r="B42" s="154">
        <f t="shared" si="17"/>
        <v>5983614.6959999995</v>
      </c>
      <c r="C42" s="52">
        <f t="shared" si="5"/>
        <v>4396179</v>
      </c>
      <c r="D42" s="52">
        <f t="shared" si="18"/>
        <v>960133</v>
      </c>
      <c r="E42" s="52">
        <f t="shared" si="19"/>
        <v>486275.16</v>
      </c>
      <c r="F42" s="52">
        <f>VLOOKUP(A42,Renseanlæg!$I$1:$K$56,3,FALSE)</f>
        <v>13372461.184207451</v>
      </c>
      <c r="G42" s="52">
        <f t="shared" si="20"/>
        <v>3190474.6</v>
      </c>
      <c r="H42" s="52">
        <f t="shared" si="21"/>
        <v>0</v>
      </c>
      <c r="I42" s="155">
        <f t="shared" si="23"/>
        <v>1819731.2</v>
      </c>
      <c r="J42" s="149">
        <f t="shared" si="22"/>
        <v>1.4346338750352372E-2</v>
      </c>
      <c r="K42" s="63">
        <v>235.024</v>
      </c>
      <c r="L42" s="168">
        <v>120</v>
      </c>
      <c r="M42" s="168">
        <v>344</v>
      </c>
      <c r="N42" s="168">
        <v>333</v>
      </c>
      <c r="O42" s="168">
        <v>8</v>
      </c>
      <c r="P42" s="168">
        <v>10</v>
      </c>
      <c r="Q42" s="168">
        <v>0</v>
      </c>
      <c r="R42" s="164">
        <v>0</v>
      </c>
      <c r="S42" s="63">
        <v>15</v>
      </c>
      <c r="T42" s="168">
        <v>29</v>
      </c>
      <c r="U42" s="168">
        <v>100</v>
      </c>
      <c r="V42" s="168">
        <v>160</v>
      </c>
      <c r="W42" s="168">
        <v>9000</v>
      </c>
      <c r="X42" s="168">
        <v>0</v>
      </c>
      <c r="Y42" s="168">
        <v>0</v>
      </c>
      <c r="Z42" s="168">
        <v>0</v>
      </c>
      <c r="AA42" s="168">
        <v>0</v>
      </c>
      <c r="AB42" s="168">
        <v>0</v>
      </c>
      <c r="AC42" s="168">
        <v>0</v>
      </c>
      <c r="AD42" s="168">
        <v>0</v>
      </c>
      <c r="AE42" s="164">
        <v>0</v>
      </c>
      <c r="AF42" s="63">
        <v>71</v>
      </c>
      <c r="AG42" s="164">
        <v>163192</v>
      </c>
      <c r="AH42" s="63">
        <v>28</v>
      </c>
      <c r="AI42" s="164">
        <v>24634</v>
      </c>
      <c r="AJ42" s="63">
        <v>795</v>
      </c>
      <c r="AK42" s="168">
        <v>8</v>
      </c>
      <c r="AL42" s="164">
        <v>0</v>
      </c>
      <c r="AM42" s="63">
        <v>0</v>
      </c>
      <c r="AN42" s="168">
        <v>0</v>
      </c>
      <c r="AO42" s="164">
        <v>15064</v>
      </c>
      <c r="AP42" s="160">
        <v>4395592</v>
      </c>
    </row>
    <row r="43" spans="1:42" x14ac:dyDescent="0.3">
      <c r="A43" s="26" t="s">
        <v>77</v>
      </c>
      <c r="B43" s="154">
        <f t="shared" si="17"/>
        <v>2971341</v>
      </c>
      <c r="C43" s="52">
        <f t="shared" si="5"/>
        <v>2278365</v>
      </c>
      <c r="D43" s="52">
        <f t="shared" si="18"/>
        <v>175799</v>
      </c>
      <c r="E43" s="52">
        <f t="shared" si="19"/>
        <v>0</v>
      </c>
      <c r="F43" s="52">
        <f>VLOOKUP(A43,Renseanlæg!$I$1:$K$56,3,FALSE)</f>
        <v>3869011.4943817193</v>
      </c>
      <c r="G43" s="52">
        <f t="shared" si="20"/>
        <v>1839945.6</v>
      </c>
      <c r="H43" s="52">
        <f t="shared" si="21"/>
        <v>0</v>
      </c>
      <c r="I43" s="155">
        <f t="shared" si="23"/>
        <v>803561.6</v>
      </c>
      <c r="J43" s="149">
        <f t="shared" si="22"/>
        <v>2.3097222222222224E-2</v>
      </c>
      <c r="K43" s="63">
        <v>7</v>
      </c>
      <c r="L43" s="168">
        <v>43</v>
      </c>
      <c r="M43" s="168">
        <v>32</v>
      </c>
      <c r="N43" s="168">
        <v>185</v>
      </c>
      <c r="O43" s="168">
        <v>3</v>
      </c>
      <c r="P43" s="168">
        <v>18</v>
      </c>
      <c r="Q43" s="168">
        <v>0</v>
      </c>
      <c r="R43" s="164">
        <v>0</v>
      </c>
      <c r="S43" s="63">
        <v>82</v>
      </c>
      <c r="T43" s="168">
        <v>0</v>
      </c>
      <c r="U43" s="168">
        <v>0</v>
      </c>
      <c r="V43" s="168">
        <v>23</v>
      </c>
      <c r="W43" s="168">
        <v>843</v>
      </c>
      <c r="X43" s="168">
        <v>5</v>
      </c>
      <c r="Y43" s="168">
        <v>917</v>
      </c>
      <c r="Z43" s="168">
        <v>1</v>
      </c>
      <c r="AA43" s="168">
        <v>457</v>
      </c>
      <c r="AB43" s="168">
        <v>1</v>
      </c>
      <c r="AC43" s="168">
        <v>933</v>
      </c>
      <c r="AD43" s="168">
        <v>0</v>
      </c>
      <c r="AE43" s="164">
        <v>0</v>
      </c>
      <c r="AF43" s="63">
        <v>13</v>
      </c>
      <c r="AG43" s="164">
        <v>63816</v>
      </c>
      <c r="AH43" s="63">
        <v>0</v>
      </c>
      <c r="AI43" s="164">
        <v>0</v>
      </c>
      <c r="AJ43" s="63">
        <v>464</v>
      </c>
      <c r="AK43" s="168">
        <v>0</v>
      </c>
      <c r="AL43" s="164">
        <v>0</v>
      </c>
      <c r="AM43" s="63">
        <v>0</v>
      </c>
      <c r="AN43" s="168">
        <v>0</v>
      </c>
      <c r="AO43" s="164">
        <v>6652</v>
      </c>
      <c r="AP43" s="160">
        <v>1128614</v>
      </c>
    </row>
    <row r="44" spans="1:42" x14ac:dyDescent="0.3">
      <c r="A44" s="26" t="s">
        <v>78</v>
      </c>
      <c r="B44" s="154">
        <f t="shared" si="17"/>
        <v>235345</v>
      </c>
      <c r="C44" s="52">
        <f t="shared" si="5"/>
        <v>11995282</v>
      </c>
      <c r="D44" s="52">
        <f t="shared" si="18"/>
        <v>0</v>
      </c>
      <c r="E44" s="52">
        <f t="shared" si="19"/>
        <v>2653056</v>
      </c>
      <c r="F44" s="52">
        <f>VLOOKUP(A44,Renseanlæg!$I$1:$K$56,3,FALSE)</f>
        <v>21847453.210476149</v>
      </c>
      <c r="G44" s="52">
        <f t="shared" si="20"/>
        <v>28320030.5</v>
      </c>
      <c r="H44" s="52">
        <f t="shared" si="21"/>
        <v>0</v>
      </c>
      <c r="I44" s="155">
        <f t="shared" si="23"/>
        <v>1208</v>
      </c>
      <c r="J44" s="149">
        <f t="shared" si="22"/>
        <v>1.8181818181818181E-4</v>
      </c>
      <c r="K44" s="63">
        <v>0</v>
      </c>
      <c r="L44" s="168">
        <v>55</v>
      </c>
      <c r="M44" s="168">
        <v>0</v>
      </c>
      <c r="N44" s="168">
        <v>0</v>
      </c>
      <c r="O44" s="168">
        <v>0</v>
      </c>
      <c r="P44" s="168">
        <v>0</v>
      </c>
      <c r="Q44" s="168">
        <v>0</v>
      </c>
      <c r="R44" s="164">
        <v>0</v>
      </c>
      <c r="S44" s="63">
        <v>0</v>
      </c>
      <c r="T44" s="168">
        <v>0</v>
      </c>
      <c r="U44" s="168">
        <v>0</v>
      </c>
      <c r="V44" s="168">
        <v>0</v>
      </c>
      <c r="W44" s="168">
        <v>0</v>
      </c>
      <c r="X44" s="168">
        <v>0</v>
      </c>
      <c r="Y44" s="168">
        <v>0</v>
      </c>
      <c r="Z44" s="168">
        <v>0</v>
      </c>
      <c r="AA44" s="168">
        <v>0</v>
      </c>
      <c r="AB44" s="168">
        <v>0</v>
      </c>
      <c r="AC44" s="168">
        <v>0</v>
      </c>
      <c r="AD44" s="168">
        <v>4</v>
      </c>
      <c r="AE44" s="164">
        <v>20059</v>
      </c>
      <c r="AF44" s="63">
        <v>0</v>
      </c>
      <c r="AG44" s="164">
        <v>0</v>
      </c>
      <c r="AH44" s="63">
        <v>5</v>
      </c>
      <c r="AI44" s="164">
        <v>134400</v>
      </c>
      <c r="AJ44" s="63">
        <v>0</v>
      </c>
      <c r="AK44" s="168">
        <v>0</v>
      </c>
      <c r="AL44" s="164">
        <v>5965</v>
      </c>
      <c r="AM44" s="63">
        <v>0</v>
      </c>
      <c r="AN44" s="168">
        <v>0</v>
      </c>
      <c r="AO44" s="164">
        <v>10</v>
      </c>
      <c r="AP44" s="160">
        <v>15836495</v>
      </c>
    </row>
    <row r="45" spans="1:42" x14ac:dyDescent="0.3">
      <c r="A45" s="26" t="s">
        <v>67</v>
      </c>
      <c r="B45" s="154">
        <f>4.279*SUM(K45:N45)*1000+87.088*SUM(O45:R45)*1000</f>
        <v>3200692</v>
      </c>
      <c r="C45" s="52">
        <f t="shared" si="5"/>
        <v>10949487</v>
      </c>
      <c r="D45" s="52">
        <f t="shared" si="18"/>
        <v>743765</v>
      </c>
      <c r="E45" s="52">
        <f t="shared" si="19"/>
        <v>123197.34</v>
      </c>
      <c r="F45" s="52">
        <f>VLOOKUP(A45,Renseanlæg!$I$1:$K$56,3,FALSE)</f>
        <v>10366605.954121582</v>
      </c>
      <c r="G45" s="52">
        <f t="shared" si="20"/>
        <v>2200797</v>
      </c>
      <c r="H45" s="52">
        <f t="shared" si="21"/>
        <v>210820</v>
      </c>
      <c r="I45" s="155">
        <f t="shared" si="23"/>
        <v>2071116</v>
      </c>
      <c r="J45" s="149">
        <f t="shared" si="22"/>
        <v>2.2921122994652408E-2</v>
      </c>
      <c r="K45" s="63">
        <v>335</v>
      </c>
      <c r="L45" s="168">
        <v>101</v>
      </c>
      <c r="M45" s="168">
        <v>185</v>
      </c>
      <c r="N45" s="168">
        <v>127</v>
      </c>
      <c r="O45" s="168">
        <v>0</v>
      </c>
      <c r="P45" s="168">
        <v>0</v>
      </c>
      <c r="Q45" s="168">
        <v>0</v>
      </c>
      <c r="R45" s="164">
        <v>0</v>
      </c>
      <c r="S45" s="63">
        <v>25</v>
      </c>
      <c r="T45" s="168">
        <v>44</v>
      </c>
      <c r="U45" s="168">
        <v>440</v>
      </c>
      <c r="V45" s="168">
        <v>95</v>
      </c>
      <c r="W45" s="168">
        <v>2030</v>
      </c>
      <c r="X45" s="168">
        <v>51</v>
      </c>
      <c r="Y45" s="168">
        <v>10220</v>
      </c>
      <c r="Z45" s="168">
        <v>6</v>
      </c>
      <c r="AA45" s="168">
        <v>2730</v>
      </c>
      <c r="AB45" s="168">
        <v>3</v>
      </c>
      <c r="AC45" s="168">
        <v>2140</v>
      </c>
      <c r="AD45" s="168">
        <v>1</v>
      </c>
      <c r="AE45" s="164">
        <v>1200</v>
      </c>
      <c r="AF45" s="63">
        <v>55</v>
      </c>
      <c r="AG45" s="164">
        <v>61546</v>
      </c>
      <c r="AH45" s="63">
        <v>28</v>
      </c>
      <c r="AI45" s="164">
        <v>6241</v>
      </c>
      <c r="AJ45" s="63">
        <v>555</v>
      </c>
      <c r="AK45" s="168">
        <v>0</v>
      </c>
      <c r="AL45" s="164">
        <v>0</v>
      </c>
      <c r="AM45" s="63">
        <v>83</v>
      </c>
      <c r="AN45" s="168">
        <v>415</v>
      </c>
      <c r="AO45" s="164">
        <v>17145</v>
      </c>
      <c r="AP45" s="160">
        <v>3027343</v>
      </c>
    </row>
    <row r="46" spans="1:42" x14ac:dyDescent="0.3">
      <c r="A46" s="26" t="s">
        <v>68</v>
      </c>
      <c r="B46" s="154">
        <f t="shared" si="17"/>
        <v>28097701</v>
      </c>
      <c r="C46" s="52">
        <f t="shared" si="5"/>
        <v>18953428</v>
      </c>
      <c r="D46" s="52">
        <f t="shared" si="18"/>
        <v>2136634</v>
      </c>
      <c r="E46" s="52">
        <f t="shared" si="19"/>
        <v>779947.1399999999</v>
      </c>
      <c r="F46" s="52">
        <f>VLOOKUP(A46,Renseanlæg!$I$1:$K$56,3,FALSE)</f>
        <v>42458891.686032742</v>
      </c>
      <c r="G46" s="52">
        <f t="shared" si="20"/>
        <v>33993517</v>
      </c>
      <c r="H46" s="52">
        <f t="shared" si="21"/>
        <v>256540</v>
      </c>
      <c r="I46" s="155">
        <f t="shared" si="23"/>
        <v>8941616</v>
      </c>
      <c r="J46" s="149">
        <f t="shared" si="22"/>
        <v>3.0523711340206185E-2</v>
      </c>
      <c r="K46" s="63">
        <v>398</v>
      </c>
      <c r="L46" s="168">
        <v>72</v>
      </c>
      <c r="M46" s="168">
        <v>888</v>
      </c>
      <c r="N46" s="168">
        <v>853</v>
      </c>
      <c r="O46" s="168">
        <v>74</v>
      </c>
      <c r="P46" s="168">
        <v>119</v>
      </c>
      <c r="Q46" s="168">
        <v>7</v>
      </c>
      <c r="R46" s="164">
        <v>14</v>
      </c>
      <c r="S46" s="63">
        <v>1474</v>
      </c>
      <c r="T46" s="168">
        <v>65</v>
      </c>
      <c r="U46" s="168">
        <v>364</v>
      </c>
      <c r="V46" s="168">
        <v>217</v>
      </c>
      <c r="W46" s="168">
        <v>7985</v>
      </c>
      <c r="X46" s="168">
        <v>16</v>
      </c>
      <c r="Y46" s="168">
        <v>2799</v>
      </c>
      <c r="Z46" s="168">
        <v>2</v>
      </c>
      <c r="AA46" s="168">
        <v>981</v>
      </c>
      <c r="AB46" s="168">
        <v>0</v>
      </c>
      <c r="AC46" s="168">
        <v>0</v>
      </c>
      <c r="AD46" s="168">
        <v>1</v>
      </c>
      <c r="AE46" s="164">
        <v>1920</v>
      </c>
      <c r="AF46" s="63">
        <v>158</v>
      </c>
      <c r="AG46" s="164">
        <v>439785</v>
      </c>
      <c r="AH46" s="63">
        <v>32</v>
      </c>
      <c r="AI46" s="164">
        <v>39511</v>
      </c>
      <c r="AJ46" s="63">
        <v>1760</v>
      </c>
      <c r="AK46" s="168">
        <v>5690</v>
      </c>
      <c r="AL46" s="164">
        <v>0</v>
      </c>
      <c r="AM46" s="63">
        <v>101</v>
      </c>
      <c r="AN46" s="168">
        <v>505</v>
      </c>
      <c r="AO46" s="164">
        <v>74020</v>
      </c>
      <c r="AP46" s="160">
        <v>14223000</v>
      </c>
    </row>
    <row r="47" spans="1:42" x14ac:dyDescent="0.3">
      <c r="A47" s="26" t="s">
        <v>69</v>
      </c>
      <c r="B47" s="154">
        <f t="shared" ref="B47:B50" si="24">4.279*SUM(K47:N47)*1000+87.088*SUM(O47:R47)*1000</f>
        <v>4326559</v>
      </c>
      <c r="C47" s="52">
        <f t="shared" si="5"/>
        <v>5973688</v>
      </c>
      <c r="D47" s="52">
        <f t="shared" ref="D47:D50" si="25">13523*AF47</f>
        <v>297506</v>
      </c>
      <c r="E47" s="52">
        <f t="shared" ref="E47:E50" si="26">19.74*AI47</f>
        <v>349753.31999999995</v>
      </c>
      <c r="F47" s="52">
        <f>VLOOKUP(A47,Renseanlæg!$I$1:$K$56,3,FALSE)</f>
        <v>15080437.447707653</v>
      </c>
      <c r="G47" s="52">
        <f t="shared" ref="G47:G50" si="27">3965.4*AJ47+4747.7*(AK47+AL47)</f>
        <v>2093407.8</v>
      </c>
      <c r="H47" s="52">
        <f t="shared" ref="H47:H50" si="28">2540*AM47</f>
        <v>2540</v>
      </c>
      <c r="I47" s="155">
        <f t="shared" si="23"/>
        <v>2052754.4</v>
      </c>
      <c r="J47" s="149">
        <f t="shared" ref="J47:J50" si="29">AO47/(SUM(K47:R47)*1000)</f>
        <v>1.8986592178770949E-2</v>
      </c>
      <c r="K47" s="63">
        <v>256</v>
      </c>
      <c r="L47" s="168">
        <v>135</v>
      </c>
      <c r="M47" s="168">
        <v>267</v>
      </c>
      <c r="N47" s="168">
        <v>231</v>
      </c>
      <c r="O47" s="168">
        <v>2</v>
      </c>
      <c r="P47" s="168">
        <v>4</v>
      </c>
      <c r="Q47" s="168">
        <v>0</v>
      </c>
      <c r="R47" s="164">
        <v>0</v>
      </c>
      <c r="S47" s="63">
        <v>67</v>
      </c>
      <c r="T47" s="168">
        <v>132</v>
      </c>
      <c r="U47" s="168">
        <v>492</v>
      </c>
      <c r="V47" s="168">
        <v>104</v>
      </c>
      <c r="W47" s="168">
        <v>3386</v>
      </c>
      <c r="X47" s="168">
        <v>6</v>
      </c>
      <c r="Y47" s="168">
        <v>871</v>
      </c>
      <c r="Z47" s="168">
        <v>0</v>
      </c>
      <c r="AA47" s="168">
        <v>0</v>
      </c>
      <c r="AB47" s="168">
        <v>1</v>
      </c>
      <c r="AC47" s="168">
        <v>916</v>
      </c>
      <c r="AD47" s="168">
        <v>0</v>
      </c>
      <c r="AE47" s="164">
        <v>0</v>
      </c>
      <c r="AF47" s="63">
        <v>22</v>
      </c>
      <c r="AG47" s="164">
        <v>44652</v>
      </c>
      <c r="AH47" s="63">
        <v>29</v>
      </c>
      <c r="AI47" s="164">
        <v>17718</v>
      </c>
      <c r="AJ47" s="63">
        <v>492</v>
      </c>
      <c r="AK47" s="168">
        <v>0</v>
      </c>
      <c r="AL47" s="164">
        <v>30</v>
      </c>
      <c r="AM47" s="63">
        <v>1</v>
      </c>
      <c r="AN47" s="168">
        <v>30</v>
      </c>
      <c r="AO47" s="164">
        <v>16993</v>
      </c>
      <c r="AP47" s="160">
        <v>4101911</v>
      </c>
    </row>
    <row r="48" spans="1:42" x14ac:dyDescent="0.3">
      <c r="A48" s="26" t="s">
        <v>79</v>
      </c>
      <c r="B48" s="154">
        <f t="shared" si="24"/>
        <v>3346178</v>
      </c>
      <c r="C48" s="52">
        <f t="shared" si="5"/>
        <v>2086433</v>
      </c>
      <c r="D48" s="52">
        <f t="shared" si="25"/>
        <v>892518</v>
      </c>
      <c r="E48" s="52">
        <f t="shared" si="26"/>
        <v>596799.41999999993</v>
      </c>
      <c r="F48" s="52">
        <f>VLOOKUP(A48,Renseanlæg!$I$1:$K$56,3,FALSE)</f>
        <v>11434412.095005726</v>
      </c>
      <c r="G48" s="52">
        <f t="shared" si="27"/>
        <v>2922499.8000000003</v>
      </c>
      <c r="H48" s="52">
        <f t="shared" si="28"/>
        <v>0</v>
      </c>
      <c r="I48" s="155">
        <f t="shared" si="23"/>
        <v>0</v>
      </c>
      <c r="J48" s="149">
        <f t="shared" si="29"/>
        <v>0</v>
      </c>
      <c r="K48" s="63">
        <v>125</v>
      </c>
      <c r="L48" s="168">
        <v>51</v>
      </c>
      <c r="M48" s="168">
        <v>342</v>
      </c>
      <c r="N48" s="168">
        <v>264</v>
      </c>
      <c r="O48" s="168">
        <v>0</v>
      </c>
      <c r="P48" s="168">
        <v>0</v>
      </c>
      <c r="Q48" s="168">
        <v>0</v>
      </c>
      <c r="R48" s="164">
        <v>0</v>
      </c>
      <c r="S48" s="63">
        <v>9</v>
      </c>
      <c r="T48" s="168">
        <v>47</v>
      </c>
      <c r="U48" s="168">
        <v>290</v>
      </c>
      <c r="V48" s="168">
        <v>48</v>
      </c>
      <c r="W48" s="168">
        <v>1061</v>
      </c>
      <c r="X48" s="168">
        <v>1</v>
      </c>
      <c r="Y48" s="168">
        <v>286</v>
      </c>
      <c r="Z48" s="168">
        <v>1</v>
      </c>
      <c r="AA48" s="168">
        <v>389</v>
      </c>
      <c r="AB48" s="168">
        <v>0</v>
      </c>
      <c r="AC48" s="168">
        <v>0</v>
      </c>
      <c r="AD48" s="168">
        <v>0</v>
      </c>
      <c r="AE48" s="164">
        <v>0</v>
      </c>
      <c r="AF48" s="63">
        <v>66</v>
      </c>
      <c r="AG48" s="164">
        <v>102000</v>
      </c>
      <c r="AH48" s="63">
        <v>28</v>
      </c>
      <c r="AI48" s="164">
        <v>30233</v>
      </c>
      <c r="AJ48" s="63">
        <v>737</v>
      </c>
      <c r="AK48" s="168">
        <v>0</v>
      </c>
      <c r="AL48" s="164">
        <v>0</v>
      </c>
      <c r="AM48" s="63">
        <v>0</v>
      </c>
      <c r="AN48" s="168">
        <v>0</v>
      </c>
      <c r="AO48" s="164">
        <v>0</v>
      </c>
      <c r="AP48" s="160">
        <v>3900000</v>
      </c>
    </row>
    <row r="49" spans="1:42" x14ac:dyDescent="0.3">
      <c r="A49" s="26" t="s">
        <v>70</v>
      </c>
      <c r="B49" s="154">
        <f t="shared" si="24"/>
        <v>15238980.199999999</v>
      </c>
      <c r="C49" s="52">
        <f t="shared" si="5"/>
        <v>8895587</v>
      </c>
      <c r="D49" s="52">
        <f t="shared" si="25"/>
        <v>2488232</v>
      </c>
      <c r="E49" s="52">
        <f t="shared" si="26"/>
        <v>546462.41999999993</v>
      </c>
      <c r="F49" s="52">
        <f>VLOOKUP(A49,Renseanlæg!$I$1:$K$56,3,FALSE)</f>
        <v>30206890.626271933</v>
      </c>
      <c r="G49" s="52">
        <f t="shared" si="27"/>
        <v>9366274.8000000007</v>
      </c>
      <c r="H49" s="52">
        <f t="shared" si="28"/>
        <v>218440</v>
      </c>
      <c r="I49" s="155">
        <f t="shared" si="23"/>
        <v>3448719.1999999997</v>
      </c>
      <c r="J49" s="149">
        <f t="shared" si="29"/>
        <v>1.5606516153720003E-2</v>
      </c>
      <c r="K49" s="63">
        <v>365.1</v>
      </c>
      <c r="L49" s="168">
        <v>111.4</v>
      </c>
      <c r="M49" s="168">
        <v>801.8</v>
      </c>
      <c r="N49" s="168">
        <v>461.5</v>
      </c>
      <c r="O49" s="168">
        <v>37.799999999999997</v>
      </c>
      <c r="P49" s="168">
        <v>51.7</v>
      </c>
      <c r="Q49" s="168">
        <v>0</v>
      </c>
      <c r="R49" s="164">
        <v>0</v>
      </c>
      <c r="S49" s="63">
        <v>315</v>
      </c>
      <c r="T49" s="168">
        <v>205</v>
      </c>
      <c r="U49" s="168">
        <v>1640</v>
      </c>
      <c r="V49" s="168">
        <v>112</v>
      </c>
      <c r="W49" s="168">
        <v>5960</v>
      </c>
      <c r="X49" s="168">
        <v>10</v>
      </c>
      <c r="Y49" s="168">
        <v>2570</v>
      </c>
      <c r="Z49" s="168">
        <v>2</v>
      </c>
      <c r="AA49" s="168">
        <v>1000</v>
      </c>
      <c r="AB49" s="168">
        <v>0</v>
      </c>
      <c r="AC49" s="168">
        <v>0</v>
      </c>
      <c r="AD49" s="168">
        <v>0</v>
      </c>
      <c r="AE49" s="164">
        <v>0</v>
      </c>
      <c r="AF49" s="63">
        <v>184</v>
      </c>
      <c r="AG49" s="164">
        <v>542709</v>
      </c>
      <c r="AH49" s="63">
        <v>64</v>
      </c>
      <c r="AI49" s="164">
        <v>27683</v>
      </c>
      <c r="AJ49" s="63">
        <v>2362</v>
      </c>
      <c r="AK49" s="168">
        <v>0</v>
      </c>
      <c r="AL49" s="164">
        <v>0</v>
      </c>
      <c r="AM49" s="63">
        <v>86</v>
      </c>
      <c r="AN49" s="168">
        <v>440</v>
      </c>
      <c r="AO49" s="164">
        <v>28549</v>
      </c>
      <c r="AP49" s="160">
        <v>8515468</v>
      </c>
    </row>
    <row r="50" spans="1:42" ht="15" thickBot="1" x14ac:dyDescent="0.35">
      <c r="A50" s="26" t="s">
        <v>72</v>
      </c>
      <c r="B50" s="156">
        <f t="shared" si="24"/>
        <v>40961051</v>
      </c>
      <c r="C50" s="157">
        <f t="shared" si="5"/>
        <v>6367321</v>
      </c>
      <c r="D50" s="157">
        <f t="shared" si="25"/>
        <v>4300314</v>
      </c>
      <c r="E50" s="157">
        <f t="shared" si="26"/>
        <v>1636781.5799999998</v>
      </c>
      <c r="F50" s="157">
        <f>VLOOKUP(A50,Renseanlæg!$I$1:$K$56,3,FALSE)</f>
        <v>49017914.673603907</v>
      </c>
      <c r="G50" s="157">
        <f t="shared" si="27"/>
        <v>31378210.199999999</v>
      </c>
      <c r="H50" s="157">
        <f t="shared" si="28"/>
        <v>403860</v>
      </c>
      <c r="I50" s="158">
        <f t="shared" si="23"/>
        <v>9362724.7999999989</v>
      </c>
      <c r="J50" s="150">
        <f t="shared" si="29"/>
        <v>3.0193221659524736E-2</v>
      </c>
      <c r="K50" s="123">
        <v>174</v>
      </c>
      <c r="L50" s="165">
        <v>101</v>
      </c>
      <c r="M50" s="165">
        <v>996</v>
      </c>
      <c r="N50" s="165">
        <v>934</v>
      </c>
      <c r="O50" s="165">
        <v>60</v>
      </c>
      <c r="P50" s="165">
        <v>132</v>
      </c>
      <c r="Q50" s="165">
        <v>15</v>
      </c>
      <c r="R50" s="166">
        <v>155</v>
      </c>
      <c r="S50" s="123">
        <v>461</v>
      </c>
      <c r="T50" s="165">
        <v>45</v>
      </c>
      <c r="U50" s="165">
        <v>313</v>
      </c>
      <c r="V50" s="165">
        <v>70</v>
      </c>
      <c r="W50" s="165">
        <v>1702</v>
      </c>
      <c r="X50" s="165">
        <v>1</v>
      </c>
      <c r="Y50" s="165">
        <v>130</v>
      </c>
      <c r="Z50" s="165">
        <v>1</v>
      </c>
      <c r="AA50" s="165">
        <v>500</v>
      </c>
      <c r="AB50" s="165">
        <v>0</v>
      </c>
      <c r="AC50" s="165">
        <v>0</v>
      </c>
      <c r="AD50" s="165">
        <v>1</v>
      </c>
      <c r="AE50" s="166">
        <v>1300</v>
      </c>
      <c r="AF50" s="123">
        <v>318</v>
      </c>
      <c r="AG50" s="166">
        <v>1782894</v>
      </c>
      <c r="AH50" s="123">
        <v>22</v>
      </c>
      <c r="AI50" s="166">
        <v>82917</v>
      </c>
      <c r="AJ50" s="123">
        <v>7913</v>
      </c>
      <c r="AK50" s="165">
        <v>0</v>
      </c>
      <c r="AL50" s="166">
        <v>0</v>
      </c>
      <c r="AM50" s="123">
        <v>159</v>
      </c>
      <c r="AN50" s="165">
        <v>795</v>
      </c>
      <c r="AO50" s="166">
        <v>77506</v>
      </c>
      <c r="AP50" s="161">
        <v>18091947</v>
      </c>
    </row>
    <row r="60" spans="1:42" ht="14.25" customHeight="1" x14ac:dyDescent="0.3"/>
  </sheetData>
  <sortState ref="A3:AP111">
    <sortCondition ref="A3"/>
  </sortState>
  <customSheetViews>
    <customSheetView guid="{CA125778-F8FD-4378-B746-C94ABF8D8556}">
      <pane xSplit="1" ySplit="2" topLeftCell="B106" activePane="bottomRight" state="frozen"/>
      <selection pane="bottomRight" activeCell="G122" sqref="G122"/>
      <pageMargins left="0.7" right="0.7" top="0.75" bottom="0.75" header="0.3" footer="0.3"/>
      <pageSetup paperSize="9" orientation="portrait" r:id="rId1"/>
    </customSheetView>
    <customSheetView guid="{671B1274-D827-4B17-9362-3AC860C70530}">
      <pane xSplit="1" ySplit="2" topLeftCell="B106" activePane="bottomRight" state="frozen"/>
      <selection pane="bottomRight" activeCell="G122" sqref="G122"/>
      <pageMargins left="0.7" right="0.7" top="0.75" bottom="0.75" header="0.3" footer="0.3"/>
      <pageSetup paperSize="9" orientation="portrait" r:id="rId2"/>
    </customSheetView>
    <customSheetView guid="{88D7A6C6-1D77-4300-8600-F7BD640C7FF4}">
      <pane xSplit="1" ySplit="2" topLeftCell="W3" activePane="bottomRight" state="frozen"/>
      <selection pane="bottomRight" activeCell="AP7" sqref="AP7"/>
      <pageMargins left="0.7" right="0.7" top="0.75" bottom="0.75" header="0.3" footer="0.3"/>
      <pageSetup paperSize="9" orientation="portrait" r:id="rId3"/>
    </customSheetView>
    <customSheetView guid="{630A50AD-37E0-4B13-8A0F-82608C065D57}">
      <pane xSplit="1" ySplit="2" topLeftCell="B48" activePane="bottomRight" state="frozen"/>
      <selection pane="bottomRight" activeCell="G57" sqref="G57"/>
      <pageMargins left="0.7" right="0.7" top="0.75" bottom="0.75" header="0.3" footer="0.3"/>
      <pageSetup paperSize="9" orientation="portrait" r:id="rId4"/>
    </customSheetView>
    <customSheetView guid="{80E426B4-B9D0-45E3-ACA1-6AA797532F97}">
      <pane xSplit="1" ySplit="2" topLeftCell="T95" activePane="bottomRight" state="frozen"/>
      <selection pane="bottomRight" activeCell="Y121" sqref="Y121"/>
      <pageMargins left="0.7" right="0.7" top="0.75" bottom="0.75" header="0.3" footer="0.3"/>
      <pageSetup paperSize="9" orientation="portrait" r:id="rId5"/>
    </customSheetView>
    <customSheetView guid="{A178F800-3B7E-4511-BF10-5AA233FDE985}">
      <pane xSplit="1" ySplit="2" topLeftCell="D86" activePane="bottomRight" state="frozen"/>
      <selection pane="bottomRight" activeCell="M88" sqref="M88"/>
      <pageMargins left="0.7" right="0.7" top="0.75" bottom="0.75" header="0.3" footer="0.3"/>
      <pageSetup paperSize="9" orientation="portrait" r:id="rId6"/>
    </customSheetView>
    <customSheetView guid="{1AAC2EB3-B963-4CB8-8604-06326666FF8C}">
      <pane xSplit="1" ySplit="2" topLeftCell="B28" activePane="bottomRight" state="frozen"/>
      <selection pane="bottomRight" activeCell="G30" sqref="G30"/>
      <pageMargins left="0.7" right="0.7" top="0.75" bottom="0.75" header="0.3" footer="0.3"/>
      <pageSetup paperSize="9" orientation="portrait" r:id="rId7"/>
    </customSheetView>
    <customSheetView guid="{898A57C7-EA84-4A1C-AA42-8284F31DD32C}">
      <pane xSplit="1" ySplit="2" topLeftCell="S18" activePane="bottomRight" state="frozen"/>
      <selection pane="bottomRight" activeCell="A27" sqref="A27"/>
      <pageMargins left="0.7" right="0.7" top="0.75" bottom="0.75" header="0.3" footer="0.3"/>
      <pageSetup paperSize="9" orientation="portrait" r:id="rId8"/>
    </customSheetView>
  </customSheetViews>
  <mergeCells count="8">
    <mergeCell ref="AM1:AN1"/>
    <mergeCell ref="A1:A2"/>
    <mergeCell ref="K1:R1"/>
    <mergeCell ref="S1:AE1"/>
    <mergeCell ref="AF1:AG1"/>
    <mergeCell ref="AH1:AI1"/>
    <mergeCell ref="AJ1:AL1"/>
    <mergeCell ref="B1:I1"/>
  </mergeCells>
  <pageMargins left="0.7" right="0.7" top="0.75" bottom="0.75" header="0.3" footer="0.3"/>
  <pageSetup paperSize="9" orientation="portrait" r:id="rId9"/>
  <legacyDrawing r:id="rId1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372"/>
  <sheetViews>
    <sheetView workbookViewId="0">
      <selection activeCell="I725" sqref="I725"/>
    </sheetView>
  </sheetViews>
  <sheetFormatPr defaultRowHeight="14.4" x14ac:dyDescent="0.3"/>
  <cols>
    <col min="1" max="1" width="36.44140625" style="129" bestFit="1" customWidth="1"/>
    <col min="2" max="2" width="11.109375" style="129" customWidth="1"/>
    <col min="3" max="3" width="19.44140625" style="129" customWidth="1"/>
    <col min="4" max="4" width="12.44140625" style="129" customWidth="1"/>
    <col min="5" max="5" width="15" style="129" customWidth="1"/>
    <col min="6" max="6" width="15" style="107" customWidth="1"/>
    <col min="7" max="8" width="12.44140625" style="107" customWidth="1"/>
    <col min="9" max="9" width="36.88671875" style="67" customWidth="1"/>
    <col min="10" max="10" width="17.6640625" style="129" customWidth="1"/>
    <col min="11" max="11" width="17.109375" style="129" customWidth="1"/>
  </cols>
  <sheetData>
    <row r="1" spans="1:11" ht="58.2" thickBot="1" x14ac:dyDescent="0.35">
      <c r="A1" s="71" t="s">
        <v>0</v>
      </c>
      <c r="B1" s="54" t="s">
        <v>80</v>
      </c>
      <c r="C1" s="54" t="s">
        <v>81</v>
      </c>
      <c r="D1" s="54" t="s">
        <v>82</v>
      </c>
      <c r="E1" s="54" t="s">
        <v>83</v>
      </c>
      <c r="F1" s="48" t="s">
        <v>101</v>
      </c>
      <c r="G1" s="119" t="s">
        <v>100</v>
      </c>
      <c r="H1" s="100"/>
      <c r="I1" s="82" t="s">
        <v>0</v>
      </c>
      <c r="J1" s="64" t="s">
        <v>102</v>
      </c>
      <c r="K1" s="131" t="s">
        <v>103</v>
      </c>
    </row>
    <row r="2" spans="1:11" ht="18.75" customHeight="1" x14ac:dyDescent="0.3">
      <c r="A2" s="114" t="s">
        <v>39</v>
      </c>
      <c r="B2" s="93">
        <v>1</v>
      </c>
      <c r="C2" s="93">
        <v>5</v>
      </c>
      <c r="D2" s="50">
        <v>16500</v>
      </c>
      <c r="E2" s="50">
        <v>17026</v>
      </c>
      <c r="F2" s="57">
        <v>16763</v>
      </c>
      <c r="G2" s="145">
        <f>IF(C2=1,1581.92*(F2^0.6798),IF(C2=2,2991.14*(F2^0.6798),IF(C2=3,3113.49*(F2^0.6798),IF(C2=4,3279.19*(F2^0.6798),IF(C2=5, IF(B2=1,3891.82*(F2^0.6798),IF(B2=2,4076.24*(F2^0.6798),0)),0)))))</f>
        <v>2896456.8423568355</v>
      </c>
      <c r="I2" s="75" t="s">
        <v>39</v>
      </c>
      <c r="J2" s="69">
        <f t="shared" ref="J2:J49" si="0">SUMIF($A$2:$A$372,I2,$G$2:$G$372)</f>
        <v>6631974.7400470572</v>
      </c>
      <c r="K2" s="53">
        <f>IF(J2&gt;0,J2+373.65,0)</f>
        <v>6632348.3900470575</v>
      </c>
    </row>
    <row r="3" spans="1:11" ht="15.75" customHeight="1" x14ac:dyDescent="0.3">
      <c r="A3" s="58" t="s">
        <v>39</v>
      </c>
      <c r="B3" s="126">
        <v>1</v>
      </c>
      <c r="C3" s="126">
        <v>5</v>
      </c>
      <c r="D3" s="126">
        <v>12000</v>
      </c>
      <c r="E3" s="126">
        <v>4936</v>
      </c>
      <c r="F3" s="98">
        <v>8468</v>
      </c>
      <c r="G3" s="144">
        <f t="shared" ref="G3:G66" si="1">IF(C3=1,1581.92*(F3^0.6798),IF(C3=2,2991.14*(F3^0.6798),IF(C3=3,3113.49*(F3^0.6798),IF(C3=4,3279.19*(F3^0.6798),IF(C3=5, IF(B3=1,3891.82*(F3^0.6798),IF(B3=2,4076.24*(F3^0.6798),0)),0)))))</f>
        <v>1820782.903885707</v>
      </c>
      <c r="I3" s="108" t="s">
        <v>104</v>
      </c>
      <c r="J3" s="124">
        <f t="shared" si="0"/>
        <v>16408765.5783468</v>
      </c>
      <c r="K3" s="104">
        <f t="shared" ref="K3:K49" si="2">IF(J3&gt;0,J3+373.65,0)</f>
        <v>16409139.2283468</v>
      </c>
    </row>
    <row r="4" spans="1:11" ht="15" thickBot="1" x14ac:dyDescent="0.35">
      <c r="A4" s="88" t="s">
        <v>39</v>
      </c>
      <c r="B4" s="70">
        <v>1</v>
      </c>
      <c r="C4" s="70">
        <v>5</v>
      </c>
      <c r="D4" s="70">
        <v>6000</v>
      </c>
      <c r="E4" s="70">
        <v>12237</v>
      </c>
      <c r="F4" s="130">
        <v>9118.5</v>
      </c>
      <c r="G4" s="137">
        <f t="shared" si="1"/>
        <v>1914734.9938045144</v>
      </c>
      <c r="I4" s="108" t="s">
        <v>40</v>
      </c>
      <c r="J4" s="124">
        <f t="shared" si="0"/>
        <v>12640970.160135681</v>
      </c>
      <c r="K4" s="104">
        <f t="shared" si="2"/>
        <v>12641343.810135681</v>
      </c>
    </row>
    <row r="5" spans="1:11" x14ac:dyDescent="0.3">
      <c r="A5" s="141" t="s">
        <v>104</v>
      </c>
      <c r="B5" s="142">
        <v>1</v>
      </c>
      <c r="C5" s="142">
        <v>5</v>
      </c>
      <c r="D5" s="142">
        <v>83000</v>
      </c>
      <c r="E5" s="142">
        <v>33243</v>
      </c>
      <c r="F5" s="143">
        <v>58121.5</v>
      </c>
      <c r="G5" s="138">
        <f t="shared" si="1"/>
        <v>6744486.8424346568</v>
      </c>
      <c r="I5" s="108" t="s">
        <v>41</v>
      </c>
      <c r="J5" s="124">
        <f t="shared" si="0"/>
        <v>15417610.083680261</v>
      </c>
      <c r="K5" s="104">
        <f t="shared" si="2"/>
        <v>15417983.733680261</v>
      </c>
    </row>
    <row r="6" spans="1:11" x14ac:dyDescent="0.3">
      <c r="A6" s="47" t="s">
        <v>104</v>
      </c>
      <c r="B6" s="126">
        <v>2</v>
      </c>
      <c r="C6" s="126">
        <v>3</v>
      </c>
      <c r="D6" s="126">
        <v>4850</v>
      </c>
      <c r="E6" s="126">
        <v>2400</v>
      </c>
      <c r="F6" s="98">
        <v>3625</v>
      </c>
      <c r="G6" s="80">
        <f t="shared" si="1"/>
        <v>818210.52363606868</v>
      </c>
      <c r="I6" s="108" t="s">
        <v>42</v>
      </c>
      <c r="J6" s="124">
        <f t="shared" si="0"/>
        <v>26760449.661775082</v>
      </c>
      <c r="K6" s="104">
        <f t="shared" si="2"/>
        <v>26760823.311775081</v>
      </c>
    </row>
    <row r="7" spans="1:11" x14ac:dyDescent="0.3">
      <c r="A7" s="47" t="s">
        <v>104</v>
      </c>
      <c r="B7" s="126">
        <v>1</v>
      </c>
      <c r="C7" s="126">
        <v>3</v>
      </c>
      <c r="D7" s="126">
        <v>1500</v>
      </c>
      <c r="E7" s="126">
        <v>2156</v>
      </c>
      <c r="F7" s="98">
        <v>1828</v>
      </c>
      <c r="G7" s="80">
        <f t="shared" si="1"/>
        <v>513734.68714626273</v>
      </c>
      <c r="I7" s="108" t="s">
        <v>43</v>
      </c>
      <c r="J7" s="124">
        <f t="shared" si="0"/>
        <v>36312842.801936187</v>
      </c>
      <c r="K7" s="104">
        <f t="shared" si="2"/>
        <v>36313216.451936185</v>
      </c>
    </row>
    <row r="8" spans="1:11" x14ac:dyDescent="0.3">
      <c r="A8" s="47" t="s">
        <v>104</v>
      </c>
      <c r="B8" s="126">
        <v>2</v>
      </c>
      <c r="C8" s="126">
        <v>3</v>
      </c>
      <c r="D8" s="126">
        <v>850</v>
      </c>
      <c r="E8" s="126">
        <v>1212</v>
      </c>
      <c r="F8" s="98">
        <v>1031</v>
      </c>
      <c r="G8" s="80">
        <f t="shared" si="1"/>
        <v>348065.28951999161</v>
      </c>
      <c r="I8" s="108" t="s">
        <v>44</v>
      </c>
      <c r="J8" s="124">
        <f t="shared" si="0"/>
        <v>0</v>
      </c>
      <c r="K8" s="104">
        <f t="shared" si="2"/>
        <v>0</v>
      </c>
    </row>
    <row r="9" spans="1:11" x14ac:dyDescent="0.3">
      <c r="A9" s="47" t="s">
        <v>104</v>
      </c>
      <c r="B9" s="126">
        <v>2</v>
      </c>
      <c r="C9" s="126">
        <v>5</v>
      </c>
      <c r="D9" s="126">
        <v>15000</v>
      </c>
      <c r="E9" s="126">
        <v>18600</v>
      </c>
      <c r="F9" s="98">
        <v>16800</v>
      </c>
      <c r="G9" s="80">
        <f>IF(C9=1,1581.92*(F9^0.6798),IF(C9=2,2991.14*(F9^0.6798),IF(C9=3,3113.49*(F9^0.6798),IF(C9=4,3279.19*(F9^0.6798),IF(C9=5, IF(B9=1,3891.82*(F9^0.6798),IF(B9=2,4076.24*(F9^0.6798),0)),0)))))</f>
        <v>3038260.420502319</v>
      </c>
      <c r="I9" s="108" t="s">
        <v>45</v>
      </c>
      <c r="J9" s="124">
        <f t="shared" si="0"/>
        <v>16885972.796521522</v>
      </c>
      <c r="K9" s="104">
        <f t="shared" si="2"/>
        <v>16886346.446521521</v>
      </c>
    </row>
    <row r="10" spans="1:11" x14ac:dyDescent="0.3">
      <c r="A10" s="47" t="s">
        <v>104</v>
      </c>
      <c r="B10" s="126">
        <v>2</v>
      </c>
      <c r="C10" s="126">
        <v>4</v>
      </c>
      <c r="D10" s="126">
        <v>6000</v>
      </c>
      <c r="E10" s="126">
        <v>5713</v>
      </c>
      <c r="F10" s="98">
        <v>5856.5</v>
      </c>
      <c r="G10" s="80">
        <f t="shared" si="1"/>
        <v>1194007.3320259161</v>
      </c>
      <c r="I10" s="108" t="s">
        <v>46</v>
      </c>
      <c r="J10" s="124">
        <f t="shared" si="0"/>
        <v>5381975.4960003588</v>
      </c>
      <c r="K10" s="104">
        <f t="shared" si="2"/>
        <v>5382349.1460003592</v>
      </c>
    </row>
    <row r="11" spans="1:11" x14ac:dyDescent="0.3">
      <c r="A11" s="47" t="s">
        <v>104</v>
      </c>
      <c r="B11" s="126">
        <v>1</v>
      </c>
      <c r="C11" s="126">
        <v>4</v>
      </c>
      <c r="D11" s="126">
        <v>19000</v>
      </c>
      <c r="E11" s="126">
        <v>7600</v>
      </c>
      <c r="F11" s="98">
        <v>13300</v>
      </c>
      <c r="G11" s="80">
        <f t="shared" si="1"/>
        <v>2085263.4277128309</v>
      </c>
      <c r="I11" s="108" t="s">
        <v>47</v>
      </c>
      <c r="J11" s="124">
        <f t="shared" si="0"/>
        <v>23397411.321941525</v>
      </c>
      <c r="K11" s="104">
        <f t="shared" si="2"/>
        <v>23397784.971941523</v>
      </c>
    </row>
    <row r="12" spans="1:11" ht="15" thickBot="1" x14ac:dyDescent="0.35">
      <c r="A12" s="118" t="s">
        <v>104</v>
      </c>
      <c r="B12" s="70">
        <v>1</v>
      </c>
      <c r="C12" s="70">
        <v>4</v>
      </c>
      <c r="D12" s="70">
        <v>10500</v>
      </c>
      <c r="E12" s="70">
        <v>8632</v>
      </c>
      <c r="F12" s="130">
        <v>9566</v>
      </c>
      <c r="G12" s="111">
        <f t="shared" si="1"/>
        <v>1666737.0553687548</v>
      </c>
      <c r="I12" s="108" t="s">
        <v>51</v>
      </c>
      <c r="J12" s="124">
        <f t="shared" si="0"/>
        <v>37458760.018418677</v>
      </c>
      <c r="K12" s="104">
        <f t="shared" si="2"/>
        <v>37459133.668418676</v>
      </c>
    </row>
    <row r="13" spans="1:11" ht="15" x14ac:dyDescent="0.25">
      <c r="A13" s="99" t="s">
        <v>40</v>
      </c>
      <c r="B13" s="81">
        <v>1</v>
      </c>
      <c r="C13" s="81">
        <v>5</v>
      </c>
      <c r="D13" s="81">
        <v>100000</v>
      </c>
      <c r="E13" s="81">
        <v>36212</v>
      </c>
      <c r="F13" s="57">
        <v>68106</v>
      </c>
      <c r="G13" s="125">
        <f t="shared" si="1"/>
        <v>7511940.9066393683</v>
      </c>
      <c r="I13" s="108" t="s">
        <v>48</v>
      </c>
      <c r="J13" s="124">
        <f t="shared" si="0"/>
        <v>0</v>
      </c>
      <c r="K13" s="104">
        <f t="shared" si="2"/>
        <v>0</v>
      </c>
    </row>
    <row r="14" spans="1:11" ht="15" x14ac:dyDescent="0.25">
      <c r="A14" s="63" t="s">
        <v>40</v>
      </c>
      <c r="B14" s="120">
        <v>1</v>
      </c>
      <c r="C14" s="120">
        <v>4</v>
      </c>
      <c r="D14" s="120">
        <v>5000</v>
      </c>
      <c r="E14" s="120">
        <v>2031</v>
      </c>
      <c r="F14" s="98">
        <v>3515.5</v>
      </c>
      <c r="G14" s="80">
        <f t="shared" si="1"/>
        <v>843973.1164872573</v>
      </c>
      <c r="I14" s="108" t="s">
        <v>49</v>
      </c>
      <c r="J14" s="124">
        <f t="shared" si="0"/>
        <v>15092328.822306404</v>
      </c>
      <c r="K14" s="104">
        <f t="shared" si="2"/>
        <v>15092702.472306404</v>
      </c>
    </row>
    <row r="15" spans="1:11" ht="15" x14ac:dyDescent="0.25">
      <c r="A15" s="63" t="s">
        <v>40</v>
      </c>
      <c r="B15" s="120">
        <v>1</v>
      </c>
      <c r="C15" s="120">
        <v>4</v>
      </c>
      <c r="D15" s="120">
        <v>4000</v>
      </c>
      <c r="E15" s="120">
        <v>1861</v>
      </c>
      <c r="F15" s="98">
        <v>2930.5</v>
      </c>
      <c r="G15" s="80">
        <f t="shared" si="1"/>
        <v>745750.52205518796</v>
      </c>
      <c r="I15" s="108" t="s">
        <v>50</v>
      </c>
      <c r="J15" s="124">
        <f t="shared" si="0"/>
        <v>19696188.307583079</v>
      </c>
      <c r="K15" s="104">
        <f t="shared" si="2"/>
        <v>19696561.957583077</v>
      </c>
    </row>
    <row r="16" spans="1:11" ht="15" x14ac:dyDescent="0.25">
      <c r="A16" s="63" t="s">
        <v>40</v>
      </c>
      <c r="B16" s="120">
        <v>2</v>
      </c>
      <c r="C16" s="120">
        <v>5</v>
      </c>
      <c r="D16" s="120">
        <v>15000</v>
      </c>
      <c r="E16" s="120">
        <v>12294</v>
      </c>
      <c r="F16" s="98">
        <v>13647</v>
      </c>
      <c r="G16" s="80">
        <f t="shared" si="1"/>
        <v>2637898.1858449969</v>
      </c>
      <c r="I16" s="108" t="s">
        <v>52</v>
      </c>
      <c r="J16" s="124">
        <f t="shared" si="0"/>
        <v>8043365.3469542898</v>
      </c>
      <c r="K16" s="104">
        <f t="shared" si="2"/>
        <v>8043738.9969542902</v>
      </c>
    </row>
    <row r="17" spans="1:11" x14ac:dyDescent="0.3">
      <c r="A17" s="63" t="s">
        <v>40</v>
      </c>
      <c r="B17" s="120">
        <v>2</v>
      </c>
      <c r="C17" s="120">
        <v>5</v>
      </c>
      <c r="D17" s="120">
        <v>2000</v>
      </c>
      <c r="E17" s="120">
        <v>1565</v>
      </c>
      <c r="F17" s="98">
        <v>1782.5</v>
      </c>
      <c r="G17" s="80">
        <f t="shared" si="1"/>
        <v>661164.65191149025</v>
      </c>
      <c r="I17" s="108" t="s">
        <v>53</v>
      </c>
      <c r="J17" s="124">
        <f t="shared" si="0"/>
        <v>10388313.578560092</v>
      </c>
      <c r="K17" s="104">
        <f t="shared" si="2"/>
        <v>10388687.228560092</v>
      </c>
    </row>
    <row r="18" spans="1:11" x14ac:dyDescent="0.3">
      <c r="A18" s="63" t="s">
        <v>40</v>
      </c>
      <c r="B18" s="120">
        <v>1</v>
      </c>
      <c r="C18" s="120">
        <v>4</v>
      </c>
      <c r="D18" s="120">
        <v>330</v>
      </c>
      <c r="E18" s="120">
        <v>121</v>
      </c>
      <c r="F18" s="98">
        <v>225.5</v>
      </c>
      <c r="G18" s="80">
        <f t="shared" si="1"/>
        <v>130447.45274671339</v>
      </c>
      <c r="I18" s="108" t="s">
        <v>105</v>
      </c>
      <c r="J18" s="124">
        <f t="shared" si="0"/>
        <v>3301413.6762156002</v>
      </c>
      <c r="K18" s="104">
        <f t="shared" si="2"/>
        <v>3301787.3262156001</v>
      </c>
    </row>
    <row r="19" spans="1:11" ht="15" thickBot="1" x14ac:dyDescent="0.35">
      <c r="A19" s="123" t="s">
        <v>40</v>
      </c>
      <c r="B19" s="103">
        <v>1</v>
      </c>
      <c r="C19" s="103">
        <v>4</v>
      </c>
      <c r="D19" s="103">
        <v>150</v>
      </c>
      <c r="E19" s="103">
        <v>200</v>
      </c>
      <c r="F19" s="130">
        <v>175</v>
      </c>
      <c r="G19" s="111">
        <f t="shared" si="1"/>
        <v>109795.32445066811</v>
      </c>
      <c r="I19" s="108" t="s">
        <v>106</v>
      </c>
      <c r="J19" s="124">
        <f t="shared" si="0"/>
        <v>0</v>
      </c>
      <c r="K19" s="104">
        <f t="shared" si="2"/>
        <v>0</v>
      </c>
    </row>
    <row r="20" spans="1:11" x14ac:dyDescent="0.3">
      <c r="A20" s="99" t="s">
        <v>41</v>
      </c>
      <c r="B20" s="81">
        <v>2</v>
      </c>
      <c r="C20" s="81">
        <v>5</v>
      </c>
      <c r="D20" s="81">
        <v>70000</v>
      </c>
      <c r="E20" s="81">
        <v>51190</v>
      </c>
      <c r="F20" s="57">
        <v>60595</v>
      </c>
      <c r="G20" s="125">
        <f t="shared" si="1"/>
        <v>7267085.6043705447</v>
      </c>
      <c r="I20" s="108" t="s">
        <v>108</v>
      </c>
      <c r="J20" s="124">
        <f t="shared" si="0"/>
        <v>0</v>
      </c>
      <c r="K20" s="104">
        <f t="shared" si="2"/>
        <v>0</v>
      </c>
    </row>
    <row r="21" spans="1:11" x14ac:dyDescent="0.3">
      <c r="A21" s="63" t="s">
        <v>41</v>
      </c>
      <c r="B21" s="120">
        <v>1</v>
      </c>
      <c r="C21" s="120">
        <v>5</v>
      </c>
      <c r="D21" s="120">
        <v>20000</v>
      </c>
      <c r="E21" s="120">
        <v>8000</v>
      </c>
      <c r="F21" s="98">
        <v>14000</v>
      </c>
      <c r="G21" s="80">
        <f t="shared" si="1"/>
        <v>2562657.604789502</v>
      </c>
      <c r="I21" s="108" t="s">
        <v>109</v>
      </c>
      <c r="J21" s="124">
        <f t="shared" si="0"/>
        <v>0</v>
      </c>
      <c r="K21" s="104">
        <f t="shared" si="2"/>
        <v>0</v>
      </c>
    </row>
    <row r="22" spans="1:11" ht="15" x14ac:dyDescent="0.25">
      <c r="A22" s="63" t="s">
        <v>41</v>
      </c>
      <c r="B22" s="120">
        <v>1</v>
      </c>
      <c r="C22" s="120">
        <v>5</v>
      </c>
      <c r="D22" s="120">
        <v>3000</v>
      </c>
      <c r="E22" s="120">
        <v>3000</v>
      </c>
      <c r="F22" s="98">
        <v>3000</v>
      </c>
      <c r="G22" s="80">
        <f t="shared" si="1"/>
        <v>899290.02151888213</v>
      </c>
      <c r="I22" s="108" t="s">
        <v>54</v>
      </c>
      <c r="J22" s="124">
        <f t="shared" si="0"/>
        <v>1666136.3448419063</v>
      </c>
      <c r="K22" s="104">
        <f t="shared" si="2"/>
        <v>1666509.9948419062</v>
      </c>
    </row>
    <row r="23" spans="1:11" x14ac:dyDescent="0.3">
      <c r="A23" s="63" t="s">
        <v>41</v>
      </c>
      <c r="B23" s="120">
        <v>1</v>
      </c>
      <c r="C23" s="120">
        <v>5</v>
      </c>
      <c r="D23" s="120">
        <v>3000</v>
      </c>
      <c r="E23" s="120">
        <v>1500</v>
      </c>
      <c r="F23" s="98">
        <v>2250</v>
      </c>
      <c r="G23" s="80">
        <f t="shared" si="1"/>
        <v>739548.09274551726</v>
      </c>
      <c r="I23" s="108" t="s">
        <v>107</v>
      </c>
      <c r="J23" s="124">
        <f t="shared" si="0"/>
        <v>4261742.4585512029</v>
      </c>
      <c r="K23" s="104">
        <f t="shared" si="2"/>
        <v>4262116.1085512033</v>
      </c>
    </row>
    <row r="24" spans="1:11" ht="15" x14ac:dyDescent="0.25">
      <c r="A24" s="63" t="s">
        <v>41</v>
      </c>
      <c r="B24" s="120">
        <v>2</v>
      </c>
      <c r="C24" s="120">
        <v>5</v>
      </c>
      <c r="D24" s="120">
        <v>10000</v>
      </c>
      <c r="E24" s="120">
        <v>5000</v>
      </c>
      <c r="F24" s="98">
        <v>7500</v>
      </c>
      <c r="G24" s="80">
        <f t="shared" si="1"/>
        <v>1756007.608246119</v>
      </c>
      <c r="I24" s="108" t="s">
        <v>55</v>
      </c>
      <c r="J24" s="124">
        <f t="shared" si="0"/>
        <v>10573874.407597009</v>
      </c>
      <c r="K24" s="104">
        <f t="shared" si="2"/>
        <v>10574248.057597009</v>
      </c>
    </row>
    <row r="25" spans="1:11" x14ac:dyDescent="0.3">
      <c r="A25" s="63" t="s">
        <v>41</v>
      </c>
      <c r="B25" s="120">
        <v>1</v>
      </c>
      <c r="C25" s="120">
        <v>5</v>
      </c>
      <c r="D25" s="120">
        <v>5500</v>
      </c>
      <c r="E25" s="120">
        <v>2500</v>
      </c>
      <c r="F25" s="98">
        <v>4000</v>
      </c>
      <c r="G25" s="80">
        <f t="shared" si="1"/>
        <v>1093536.1077074918</v>
      </c>
      <c r="I25" s="108" t="s">
        <v>63</v>
      </c>
      <c r="J25" s="124">
        <f t="shared" si="0"/>
        <v>0</v>
      </c>
      <c r="K25" s="104">
        <f t="shared" si="2"/>
        <v>0</v>
      </c>
    </row>
    <row r="26" spans="1:11" ht="15" x14ac:dyDescent="0.25">
      <c r="A26" s="63" t="s">
        <v>41</v>
      </c>
      <c r="B26" s="120">
        <v>1</v>
      </c>
      <c r="C26" s="120">
        <v>3</v>
      </c>
      <c r="D26" s="120">
        <v>400</v>
      </c>
      <c r="E26" s="120">
        <v>200</v>
      </c>
      <c r="F26" s="98">
        <v>300</v>
      </c>
      <c r="G26" s="80">
        <f t="shared" si="1"/>
        <v>150381.5317524834</v>
      </c>
      <c r="I26" s="108" t="s">
        <v>56</v>
      </c>
      <c r="J26" s="124">
        <f t="shared" si="0"/>
        <v>11699953.530483715</v>
      </c>
      <c r="K26" s="104">
        <f t="shared" si="2"/>
        <v>11700327.180483716</v>
      </c>
    </row>
    <row r="27" spans="1:11" s="146" customFormat="1" x14ac:dyDescent="0.3">
      <c r="A27" s="63" t="s">
        <v>41</v>
      </c>
      <c r="B27" s="120">
        <v>2</v>
      </c>
      <c r="C27" s="120">
        <v>2</v>
      </c>
      <c r="D27" s="120">
        <v>500</v>
      </c>
      <c r="E27" s="120">
        <v>100</v>
      </c>
      <c r="F27" s="98">
        <v>300</v>
      </c>
      <c r="G27" s="80">
        <f t="shared" si="1"/>
        <v>144472.02813759583</v>
      </c>
      <c r="H27" s="107"/>
      <c r="I27" s="108" t="s">
        <v>57</v>
      </c>
      <c r="J27" s="124">
        <f t="shared" si="0"/>
        <v>0</v>
      </c>
      <c r="K27" s="104">
        <f t="shared" si="2"/>
        <v>0</v>
      </c>
    </row>
    <row r="28" spans="1:11" x14ac:dyDescent="0.3">
      <c r="A28" s="63" t="s">
        <v>41</v>
      </c>
      <c r="B28" s="120">
        <v>2</v>
      </c>
      <c r="C28" s="120">
        <v>5</v>
      </c>
      <c r="D28" s="120">
        <v>2200</v>
      </c>
      <c r="E28" s="120">
        <v>1302</v>
      </c>
      <c r="F28" s="98">
        <v>1751</v>
      </c>
      <c r="G28" s="80">
        <f t="shared" si="1"/>
        <v>653199.23658913921</v>
      </c>
      <c r="I28" s="108" t="s">
        <v>58</v>
      </c>
      <c r="J28" s="124">
        <f t="shared" si="0"/>
        <v>2641728.6880839989</v>
      </c>
      <c r="K28" s="104">
        <f t="shared" si="2"/>
        <v>2642102.3380839988</v>
      </c>
    </row>
    <row r="29" spans="1:11" ht="15" thickBot="1" x14ac:dyDescent="0.35">
      <c r="A29" s="123" t="s">
        <v>41</v>
      </c>
      <c r="B29" s="103">
        <v>1</v>
      </c>
      <c r="C29" s="103">
        <v>2</v>
      </c>
      <c r="D29" s="103">
        <v>550</v>
      </c>
      <c r="E29" s="103">
        <v>93</v>
      </c>
      <c r="F29" s="130">
        <v>321.5</v>
      </c>
      <c r="G29" s="111">
        <f t="shared" si="1"/>
        <v>151432.24782298473</v>
      </c>
      <c r="I29" s="108" t="s">
        <v>59</v>
      </c>
      <c r="J29" s="124">
        <f t="shared" si="0"/>
        <v>22151543.776315156</v>
      </c>
      <c r="K29" s="104">
        <f t="shared" si="2"/>
        <v>22151917.426315155</v>
      </c>
    </row>
    <row r="30" spans="1:11" x14ac:dyDescent="0.3">
      <c r="A30" s="99" t="s">
        <v>42</v>
      </c>
      <c r="B30" s="81">
        <v>1</v>
      </c>
      <c r="C30" s="81">
        <v>5</v>
      </c>
      <c r="D30" s="81">
        <v>80000</v>
      </c>
      <c r="E30" s="81">
        <v>63514</v>
      </c>
      <c r="F30" s="57">
        <v>71757</v>
      </c>
      <c r="G30" s="125">
        <f t="shared" si="1"/>
        <v>7783398.7218767442</v>
      </c>
      <c r="I30" s="108" t="s">
        <v>60</v>
      </c>
      <c r="J30" s="124">
        <f t="shared" si="0"/>
        <v>11423766.437735107</v>
      </c>
      <c r="K30" s="104">
        <f t="shared" si="2"/>
        <v>11424140.087735107</v>
      </c>
    </row>
    <row r="31" spans="1:11" x14ac:dyDescent="0.3">
      <c r="A31" s="63" t="s">
        <v>42</v>
      </c>
      <c r="B31" s="120">
        <v>1</v>
      </c>
      <c r="C31" s="120">
        <v>5</v>
      </c>
      <c r="D31" s="120">
        <v>4400</v>
      </c>
      <c r="E31" s="120">
        <v>2704</v>
      </c>
      <c r="F31" s="98">
        <v>3552</v>
      </c>
      <c r="G31" s="80">
        <f t="shared" si="1"/>
        <v>1008705.204959423</v>
      </c>
      <c r="I31" s="108" t="s">
        <v>99</v>
      </c>
      <c r="J31" s="124">
        <f t="shared" si="0"/>
        <v>14364220.581905607</v>
      </c>
      <c r="K31" s="104">
        <f t="shared" si="2"/>
        <v>14364594.231905608</v>
      </c>
    </row>
    <row r="32" spans="1:11" x14ac:dyDescent="0.3">
      <c r="A32" s="63" t="s">
        <v>42</v>
      </c>
      <c r="B32" s="120">
        <v>1</v>
      </c>
      <c r="C32" s="120">
        <v>1</v>
      </c>
      <c r="D32" s="120">
        <v>70</v>
      </c>
      <c r="E32" s="120">
        <v>74</v>
      </c>
      <c r="F32" s="98">
        <v>72</v>
      </c>
      <c r="G32" s="80">
        <f t="shared" si="1"/>
        <v>28960.039366984758</v>
      </c>
      <c r="I32" s="108" t="s">
        <v>61</v>
      </c>
      <c r="J32" s="124">
        <f t="shared" si="0"/>
        <v>0</v>
      </c>
      <c r="K32" s="104">
        <f t="shared" si="2"/>
        <v>0</v>
      </c>
    </row>
    <row r="33" spans="1:11" x14ac:dyDescent="0.3">
      <c r="A33" s="63" t="s">
        <v>42</v>
      </c>
      <c r="B33" s="120">
        <v>1</v>
      </c>
      <c r="C33" s="120">
        <v>1</v>
      </c>
      <c r="D33" s="120">
        <v>200</v>
      </c>
      <c r="E33" s="120">
        <v>196</v>
      </c>
      <c r="F33" s="98">
        <v>198</v>
      </c>
      <c r="G33" s="80">
        <f t="shared" si="1"/>
        <v>57604.646141798628</v>
      </c>
      <c r="I33" s="108" t="s">
        <v>62</v>
      </c>
      <c r="J33" s="124">
        <f t="shared" si="0"/>
        <v>11820183.840590803</v>
      </c>
      <c r="K33" s="104">
        <f t="shared" si="2"/>
        <v>11820557.490590803</v>
      </c>
    </row>
    <row r="34" spans="1:11" x14ac:dyDescent="0.3">
      <c r="A34" s="63" t="s">
        <v>42</v>
      </c>
      <c r="B34" s="120">
        <v>2</v>
      </c>
      <c r="C34" s="120">
        <v>5</v>
      </c>
      <c r="D34" s="120">
        <v>80000</v>
      </c>
      <c r="E34" s="120">
        <v>31251</v>
      </c>
      <c r="F34" s="98">
        <v>55625.5</v>
      </c>
      <c r="G34" s="80">
        <f t="shared" si="1"/>
        <v>6856412.8860627711</v>
      </c>
      <c r="I34" s="108" t="s">
        <v>64</v>
      </c>
      <c r="J34" s="124">
        <f t="shared" si="0"/>
        <v>11966479.218458295</v>
      </c>
      <c r="K34" s="104">
        <f t="shared" si="2"/>
        <v>11966852.868458295</v>
      </c>
    </row>
    <row r="35" spans="1:11" x14ac:dyDescent="0.3">
      <c r="A35" s="63" t="s">
        <v>42</v>
      </c>
      <c r="B35" s="120">
        <v>1</v>
      </c>
      <c r="C35" s="120">
        <v>3</v>
      </c>
      <c r="D35" s="120">
        <v>800</v>
      </c>
      <c r="E35" s="120">
        <v>160</v>
      </c>
      <c r="F35" s="98">
        <v>480</v>
      </c>
      <c r="G35" s="80">
        <f t="shared" si="1"/>
        <v>206992.81384502596</v>
      </c>
      <c r="I35" s="108" t="s">
        <v>71</v>
      </c>
      <c r="J35" s="124">
        <f t="shared" si="0"/>
        <v>14685853.461452829</v>
      </c>
      <c r="K35" s="104">
        <f t="shared" si="2"/>
        <v>14686227.111452829</v>
      </c>
    </row>
    <row r="36" spans="1:11" x14ac:dyDescent="0.3">
      <c r="A36" s="63" t="s">
        <v>42</v>
      </c>
      <c r="B36" s="120">
        <v>1</v>
      </c>
      <c r="C36" s="120">
        <v>5</v>
      </c>
      <c r="D36" s="120">
        <v>4500</v>
      </c>
      <c r="E36" s="120">
        <v>3795</v>
      </c>
      <c r="F36" s="98">
        <v>4147.5</v>
      </c>
      <c r="G36" s="80">
        <f t="shared" si="1"/>
        <v>1120789.1981354407</v>
      </c>
      <c r="I36" s="108" t="s">
        <v>65</v>
      </c>
      <c r="J36" s="124">
        <f t="shared" si="0"/>
        <v>5059800.3258831166</v>
      </c>
      <c r="K36" s="104">
        <f t="shared" si="2"/>
        <v>5060173.9758831169</v>
      </c>
    </row>
    <row r="37" spans="1:11" x14ac:dyDescent="0.3">
      <c r="A37" s="63" t="s">
        <v>42</v>
      </c>
      <c r="B37" s="120">
        <v>1</v>
      </c>
      <c r="C37" s="120">
        <v>5</v>
      </c>
      <c r="D37" s="120">
        <v>3500</v>
      </c>
      <c r="E37" s="120">
        <v>4988</v>
      </c>
      <c r="F37" s="98">
        <v>4244</v>
      </c>
      <c r="G37" s="80">
        <f t="shared" si="1"/>
        <v>1138451.269319922</v>
      </c>
      <c r="I37" s="108" t="s">
        <v>73</v>
      </c>
      <c r="J37" s="124">
        <f t="shared" si="0"/>
        <v>6801511.1905570123</v>
      </c>
      <c r="K37" s="104">
        <f t="shared" si="2"/>
        <v>6801884.8405570127</v>
      </c>
    </row>
    <row r="38" spans="1:11" x14ac:dyDescent="0.3">
      <c r="A38" s="63" t="s">
        <v>42</v>
      </c>
      <c r="B38" s="120">
        <v>1</v>
      </c>
      <c r="C38" s="120">
        <v>5</v>
      </c>
      <c r="D38" s="120">
        <v>1400</v>
      </c>
      <c r="E38" s="120">
        <v>1133</v>
      </c>
      <c r="F38" s="98">
        <v>1266.5</v>
      </c>
      <c r="G38" s="80">
        <f t="shared" si="1"/>
        <v>500384.39410475938</v>
      </c>
      <c r="I38" s="108" t="s">
        <v>66</v>
      </c>
      <c r="J38" s="124">
        <f t="shared" si="0"/>
        <v>1766466.2539683238</v>
      </c>
      <c r="K38" s="104">
        <f t="shared" si="2"/>
        <v>1766839.9039683237</v>
      </c>
    </row>
    <row r="39" spans="1:11" x14ac:dyDescent="0.3">
      <c r="A39" s="63" t="s">
        <v>42</v>
      </c>
      <c r="B39" s="120">
        <v>1</v>
      </c>
      <c r="C39" s="120">
        <v>2</v>
      </c>
      <c r="D39" s="120">
        <v>700</v>
      </c>
      <c r="E39" s="120">
        <v>458</v>
      </c>
      <c r="F39" s="98">
        <v>579</v>
      </c>
      <c r="G39" s="80">
        <f t="shared" si="1"/>
        <v>225894.48503970858</v>
      </c>
      <c r="I39" s="108" t="s">
        <v>74</v>
      </c>
      <c r="J39" s="124">
        <f t="shared" si="0"/>
        <v>22552312.597994443</v>
      </c>
      <c r="K39" s="104">
        <f t="shared" si="2"/>
        <v>22552686.247994442</v>
      </c>
    </row>
    <row r="40" spans="1:11" x14ac:dyDescent="0.3">
      <c r="A40" s="63" t="s">
        <v>42</v>
      </c>
      <c r="B40" s="120">
        <v>1</v>
      </c>
      <c r="C40" s="120">
        <v>1</v>
      </c>
      <c r="D40" s="120">
        <v>150</v>
      </c>
      <c r="E40" s="120">
        <v>140</v>
      </c>
      <c r="F40" s="98">
        <v>145</v>
      </c>
      <c r="G40" s="80">
        <f t="shared" si="1"/>
        <v>46610.362947868576</v>
      </c>
      <c r="I40" s="108" t="s">
        <v>75</v>
      </c>
      <c r="J40" s="124">
        <f t="shared" si="0"/>
        <v>13502939.809897542</v>
      </c>
      <c r="K40" s="104">
        <f t="shared" si="2"/>
        <v>13503313.459897542</v>
      </c>
    </row>
    <row r="41" spans="1:11" x14ac:dyDescent="0.3">
      <c r="A41" s="63" t="s">
        <v>42</v>
      </c>
      <c r="B41" s="120">
        <v>1</v>
      </c>
      <c r="C41" s="120">
        <v>4</v>
      </c>
      <c r="D41" s="120">
        <v>4000</v>
      </c>
      <c r="E41" s="120">
        <v>3270</v>
      </c>
      <c r="F41" s="98">
        <v>3635</v>
      </c>
      <c r="G41" s="80">
        <f t="shared" si="1"/>
        <v>863371.05056046136</v>
      </c>
      <c r="I41" s="108" t="s">
        <v>76</v>
      </c>
      <c r="J41" s="124">
        <f t="shared" si="0"/>
        <v>13372087.53420745</v>
      </c>
      <c r="K41" s="104">
        <f t="shared" si="2"/>
        <v>13372461.184207451</v>
      </c>
    </row>
    <row r="42" spans="1:11" x14ac:dyDescent="0.3">
      <c r="A42" s="63" t="s">
        <v>42</v>
      </c>
      <c r="B42" s="120">
        <v>1</v>
      </c>
      <c r="C42" s="120">
        <v>3</v>
      </c>
      <c r="D42" s="120">
        <v>2500</v>
      </c>
      <c r="E42" s="120">
        <v>2391</v>
      </c>
      <c r="F42" s="98">
        <v>2445.5</v>
      </c>
      <c r="G42" s="80">
        <f t="shared" si="1"/>
        <v>626123.22759161331</v>
      </c>
      <c r="I42" s="108" t="s">
        <v>77</v>
      </c>
      <c r="J42" s="124">
        <f t="shared" si="0"/>
        <v>3868637.8443817194</v>
      </c>
      <c r="K42" s="104">
        <f t="shared" si="2"/>
        <v>3869011.4943817193</v>
      </c>
    </row>
    <row r="43" spans="1:11" x14ac:dyDescent="0.3">
      <c r="A43" s="63" t="s">
        <v>42</v>
      </c>
      <c r="B43" s="120">
        <v>2</v>
      </c>
      <c r="C43" s="120">
        <v>3</v>
      </c>
      <c r="D43" s="120">
        <v>850</v>
      </c>
      <c r="E43" s="120">
        <v>780</v>
      </c>
      <c r="F43" s="98">
        <v>815</v>
      </c>
      <c r="G43" s="80">
        <f t="shared" si="1"/>
        <v>296655.50889570051</v>
      </c>
      <c r="I43" s="108" t="s">
        <v>78</v>
      </c>
      <c r="J43" s="124">
        <f t="shared" si="0"/>
        <v>21847079.56047615</v>
      </c>
      <c r="K43" s="104">
        <f t="shared" si="2"/>
        <v>21847453.210476149</v>
      </c>
    </row>
    <row r="44" spans="1:11" x14ac:dyDescent="0.3">
      <c r="A44" s="63" t="s">
        <v>42</v>
      </c>
      <c r="B44" s="120">
        <v>1</v>
      </c>
      <c r="C44" s="120">
        <v>5</v>
      </c>
      <c r="D44" s="120">
        <v>850</v>
      </c>
      <c r="E44" s="120">
        <v>723</v>
      </c>
      <c r="F44" s="98">
        <v>786.5</v>
      </c>
      <c r="G44" s="80">
        <f t="shared" si="1"/>
        <v>361950.1326743011</v>
      </c>
      <c r="I44" s="108" t="s">
        <v>67</v>
      </c>
      <c r="J44" s="124">
        <f t="shared" si="0"/>
        <v>10366232.304121582</v>
      </c>
      <c r="K44" s="104">
        <f t="shared" si="2"/>
        <v>10366605.954121582</v>
      </c>
    </row>
    <row r="45" spans="1:11" x14ac:dyDescent="0.3">
      <c r="A45" s="63" t="s">
        <v>42</v>
      </c>
      <c r="B45" s="120">
        <v>1</v>
      </c>
      <c r="C45" s="120">
        <v>5</v>
      </c>
      <c r="D45" s="120">
        <v>850</v>
      </c>
      <c r="E45" s="120">
        <v>769</v>
      </c>
      <c r="F45" s="98">
        <v>809.5</v>
      </c>
      <c r="G45" s="80">
        <f t="shared" si="1"/>
        <v>369112.33806333417</v>
      </c>
      <c r="I45" s="108" t="s">
        <v>68</v>
      </c>
      <c r="J45" s="124">
        <f t="shared" si="0"/>
        <v>42458518.036032744</v>
      </c>
      <c r="K45" s="104">
        <f t="shared" si="2"/>
        <v>42458891.686032742</v>
      </c>
    </row>
    <row r="46" spans="1:11" x14ac:dyDescent="0.3">
      <c r="A46" s="63" t="s">
        <v>42</v>
      </c>
      <c r="B46" s="120">
        <v>2</v>
      </c>
      <c r="C46" s="120">
        <v>5</v>
      </c>
      <c r="D46" s="120">
        <v>6000</v>
      </c>
      <c r="E46" s="120">
        <v>3809</v>
      </c>
      <c r="F46" s="98">
        <v>4904.5</v>
      </c>
      <c r="G46" s="80">
        <f t="shared" si="1"/>
        <v>1315606.6191755226</v>
      </c>
      <c r="I46" s="108" t="s">
        <v>69</v>
      </c>
      <c r="J46" s="124">
        <f t="shared" si="0"/>
        <v>15080063.797707653</v>
      </c>
      <c r="K46" s="104">
        <f t="shared" si="2"/>
        <v>15080437.447707653</v>
      </c>
    </row>
    <row r="47" spans="1:11" x14ac:dyDescent="0.3">
      <c r="A47" s="63" t="s">
        <v>42</v>
      </c>
      <c r="B47" s="120">
        <v>1</v>
      </c>
      <c r="C47" s="120">
        <v>5</v>
      </c>
      <c r="D47" s="120">
        <v>3000</v>
      </c>
      <c r="E47" s="120">
        <v>2725</v>
      </c>
      <c r="F47" s="98">
        <v>2862.5</v>
      </c>
      <c r="G47" s="80">
        <f t="shared" si="1"/>
        <v>871060.52624093043</v>
      </c>
      <c r="I47" s="108" t="s">
        <v>79</v>
      </c>
      <c r="J47" s="124">
        <f t="shared" si="0"/>
        <v>11434038.445005726</v>
      </c>
      <c r="K47" s="104">
        <f t="shared" si="2"/>
        <v>11434412.095005726</v>
      </c>
    </row>
    <row r="48" spans="1:11" x14ac:dyDescent="0.3">
      <c r="A48" s="63" t="s">
        <v>42</v>
      </c>
      <c r="B48" s="120">
        <v>2</v>
      </c>
      <c r="C48" s="120">
        <v>2</v>
      </c>
      <c r="D48" s="120">
        <v>200</v>
      </c>
      <c r="E48" s="120">
        <v>134</v>
      </c>
      <c r="F48" s="98">
        <v>167</v>
      </c>
      <c r="G48" s="80">
        <f t="shared" si="1"/>
        <v>97015.113856676588</v>
      </c>
      <c r="I48" s="108" t="s">
        <v>70</v>
      </c>
      <c r="J48" s="124">
        <f t="shared" si="0"/>
        <v>30206516.976271935</v>
      </c>
      <c r="K48" s="104">
        <f t="shared" si="2"/>
        <v>30206890.626271933</v>
      </c>
    </row>
    <row r="49" spans="1:11" ht="15" thickBot="1" x14ac:dyDescent="0.35">
      <c r="A49" s="63" t="s">
        <v>42</v>
      </c>
      <c r="B49" s="120">
        <v>1</v>
      </c>
      <c r="C49" s="120">
        <v>1</v>
      </c>
      <c r="D49" s="120">
        <v>150</v>
      </c>
      <c r="E49" s="120">
        <v>59</v>
      </c>
      <c r="F49" s="98">
        <v>104.5</v>
      </c>
      <c r="G49" s="80">
        <f t="shared" si="1"/>
        <v>37306.093216071837</v>
      </c>
      <c r="I49" s="86" t="s">
        <v>72</v>
      </c>
      <c r="J49" s="78">
        <f t="shared" si="0"/>
        <v>49017541.023603909</v>
      </c>
      <c r="K49" s="61">
        <f t="shared" si="2"/>
        <v>49017914.673603907</v>
      </c>
    </row>
    <row r="50" spans="1:11" x14ac:dyDescent="0.3">
      <c r="A50" s="63" t="s">
        <v>42</v>
      </c>
      <c r="B50" s="120">
        <v>1</v>
      </c>
      <c r="C50" s="120">
        <v>1</v>
      </c>
      <c r="D50" s="120">
        <v>250</v>
      </c>
      <c r="E50" s="120">
        <v>34</v>
      </c>
      <c r="F50" s="98">
        <v>142</v>
      </c>
      <c r="G50" s="80">
        <f t="shared" si="1"/>
        <v>45952.604709243038</v>
      </c>
    </row>
    <row r="51" spans="1:11" ht="15" thickBot="1" x14ac:dyDescent="0.35">
      <c r="A51" s="110" t="s">
        <v>42</v>
      </c>
      <c r="B51" s="90">
        <v>1</v>
      </c>
      <c r="C51" s="90">
        <v>5</v>
      </c>
      <c r="D51" s="90">
        <v>15000</v>
      </c>
      <c r="E51" s="90">
        <v>18622</v>
      </c>
      <c r="F51" s="92">
        <v>16811</v>
      </c>
      <c r="G51" s="74">
        <f t="shared" si="1"/>
        <v>2902092.424990782</v>
      </c>
    </row>
    <row r="52" spans="1:11" x14ac:dyDescent="0.3">
      <c r="A52" s="99" t="s">
        <v>43</v>
      </c>
      <c r="B52" s="81">
        <v>2</v>
      </c>
      <c r="C52" s="81">
        <v>5</v>
      </c>
      <c r="D52" s="81">
        <v>290000</v>
      </c>
      <c r="E52" s="81">
        <v>166393</v>
      </c>
      <c r="F52" s="57">
        <v>228196.5</v>
      </c>
      <c r="G52" s="125">
        <f t="shared" si="1"/>
        <v>17899388.335402735</v>
      </c>
    </row>
    <row r="53" spans="1:11" x14ac:dyDescent="0.3">
      <c r="A53" s="63" t="s">
        <v>43</v>
      </c>
      <c r="B53" s="120">
        <v>2</v>
      </c>
      <c r="C53" s="120">
        <v>5</v>
      </c>
      <c r="D53" s="120">
        <v>125000</v>
      </c>
      <c r="E53" s="120">
        <v>72009</v>
      </c>
      <c r="F53" s="98">
        <v>98504.5</v>
      </c>
      <c r="G53" s="80">
        <f t="shared" si="1"/>
        <v>10111397.491835969</v>
      </c>
    </row>
    <row r="54" spans="1:11" x14ac:dyDescent="0.3">
      <c r="A54" s="63" t="s">
        <v>43</v>
      </c>
      <c r="B54" s="120">
        <v>1</v>
      </c>
      <c r="C54" s="120">
        <v>5</v>
      </c>
      <c r="D54" s="120">
        <v>25000</v>
      </c>
      <c r="E54" s="120">
        <v>19254</v>
      </c>
      <c r="F54" s="98">
        <v>22127</v>
      </c>
      <c r="G54" s="80">
        <f t="shared" si="1"/>
        <v>3498090.8577155536</v>
      </c>
    </row>
    <row r="55" spans="1:11" x14ac:dyDescent="0.3">
      <c r="A55" s="63" t="s">
        <v>43</v>
      </c>
      <c r="B55" s="120">
        <v>2</v>
      </c>
      <c r="C55" s="120">
        <v>5</v>
      </c>
      <c r="D55" s="120">
        <v>8000</v>
      </c>
      <c r="E55" s="120">
        <v>2717</v>
      </c>
      <c r="F55" s="98">
        <v>5358.5</v>
      </c>
      <c r="G55" s="80">
        <f t="shared" si="1"/>
        <v>1397215.3157736217</v>
      </c>
    </row>
    <row r="56" spans="1:11" x14ac:dyDescent="0.3">
      <c r="A56" s="63" t="s">
        <v>43</v>
      </c>
      <c r="B56" s="120">
        <v>2</v>
      </c>
      <c r="C56" s="120">
        <v>4</v>
      </c>
      <c r="D56" s="120">
        <v>7000</v>
      </c>
      <c r="E56" s="120">
        <v>3321</v>
      </c>
      <c r="F56" s="98">
        <v>5160.5</v>
      </c>
      <c r="G56" s="80">
        <f t="shared" si="1"/>
        <v>1095606.132729772</v>
      </c>
    </row>
    <row r="57" spans="1:11" x14ac:dyDescent="0.3">
      <c r="A57" s="63" t="s">
        <v>43</v>
      </c>
      <c r="B57" s="120">
        <v>1</v>
      </c>
      <c r="C57" s="120">
        <v>5</v>
      </c>
      <c r="D57" s="120">
        <v>2500</v>
      </c>
      <c r="E57" s="120">
        <v>2156</v>
      </c>
      <c r="F57" s="98">
        <v>2328</v>
      </c>
      <c r="G57" s="80">
        <f t="shared" si="1"/>
        <v>756881.29517407634</v>
      </c>
    </row>
    <row r="58" spans="1:11" x14ac:dyDescent="0.3">
      <c r="A58" s="63" t="s">
        <v>43</v>
      </c>
      <c r="B58" s="120">
        <v>1</v>
      </c>
      <c r="C58" s="120">
        <v>5</v>
      </c>
      <c r="D58" s="120">
        <v>2000</v>
      </c>
      <c r="E58" s="120">
        <v>1400</v>
      </c>
      <c r="F58" s="98">
        <v>1700</v>
      </c>
      <c r="G58" s="80">
        <f t="shared" si="1"/>
        <v>611240.2185342334</v>
      </c>
    </row>
    <row r="59" spans="1:11" x14ac:dyDescent="0.3">
      <c r="A59" s="63" t="s">
        <v>43</v>
      </c>
      <c r="B59" s="120">
        <v>1</v>
      </c>
      <c r="C59" s="120">
        <v>3</v>
      </c>
      <c r="D59" s="120">
        <v>1600</v>
      </c>
      <c r="E59" s="120">
        <v>358</v>
      </c>
      <c r="F59" s="98">
        <v>979</v>
      </c>
      <c r="G59" s="80">
        <f t="shared" si="1"/>
        <v>336032.7058609493</v>
      </c>
    </row>
    <row r="60" spans="1:11" x14ac:dyDescent="0.3">
      <c r="A60" s="63" t="s">
        <v>43</v>
      </c>
      <c r="B60" s="120">
        <v>1</v>
      </c>
      <c r="C60" s="120">
        <v>3</v>
      </c>
      <c r="D60" s="120">
        <v>1500</v>
      </c>
      <c r="E60" s="120">
        <v>486</v>
      </c>
      <c r="F60" s="98">
        <v>993</v>
      </c>
      <c r="G60" s="80">
        <f t="shared" si="1"/>
        <v>339291.96449852828</v>
      </c>
    </row>
    <row r="61" spans="1:11" x14ac:dyDescent="0.3">
      <c r="A61" s="63" t="s">
        <v>43</v>
      </c>
      <c r="B61" s="120">
        <v>1</v>
      </c>
      <c r="C61" s="120">
        <v>3</v>
      </c>
      <c r="D61" s="120">
        <v>935</v>
      </c>
      <c r="E61" s="120">
        <v>84</v>
      </c>
      <c r="F61" s="98">
        <v>509.5</v>
      </c>
      <c r="G61" s="80">
        <f t="shared" si="1"/>
        <v>215557.97466823607</v>
      </c>
    </row>
    <row r="62" spans="1:11" ht="15" thickBot="1" x14ac:dyDescent="0.35">
      <c r="A62" s="123" t="s">
        <v>43</v>
      </c>
      <c r="B62" s="103">
        <v>1</v>
      </c>
      <c r="C62" s="103">
        <v>1</v>
      </c>
      <c r="D62" s="103">
        <v>320</v>
      </c>
      <c r="E62" s="103">
        <v>22</v>
      </c>
      <c r="F62" s="130">
        <v>171</v>
      </c>
      <c r="G62" s="111">
        <f t="shared" si="1"/>
        <v>52140.509742519367</v>
      </c>
    </row>
    <row r="63" spans="1:11" x14ac:dyDescent="0.3">
      <c r="A63" s="99" t="s">
        <v>45</v>
      </c>
      <c r="B63" s="81">
        <v>1</v>
      </c>
      <c r="C63" s="81">
        <v>5</v>
      </c>
      <c r="D63" s="81">
        <v>10000</v>
      </c>
      <c r="E63" s="81">
        <v>3673</v>
      </c>
      <c r="F63" s="57">
        <v>6836.5</v>
      </c>
      <c r="G63" s="125">
        <f t="shared" si="1"/>
        <v>1574246.6403695063</v>
      </c>
    </row>
    <row r="64" spans="1:11" x14ac:dyDescent="0.3">
      <c r="A64" s="63" t="s">
        <v>45</v>
      </c>
      <c r="B64" s="120">
        <v>1</v>
      </c>
      <c r="C64" s="120">
        <v>5</v>
      </c>
      <c r="D64" s="120">
        <v>70000</v>
      </c>
      <c r="E64" s="120">
        <v>22110</v>
      </c>
      <c r="F64" s="98">
        <v>46055</v>
      </c>
      <c r="G64" s="80">
        <f t="shared" si="1"/>
        <v>5757690.3555885507</v>
      </c>
    </row>
    <row r="65" spans="1:7" x14ac:dyDescent="0.3">
      <c r="A65" s="63" t="s">
        <v>45</v>
      </c>
      <c r="B65" s="120">
        <v>1</v>
      </c>
      <c r="C65" s="120">
        <v>3</v>
      </c>
      <c r="D65" s="120">
        <v>450</v>
      </c>
      <c r="E65" s="120">
        <v>115</v>
      </c>
      <c r="F65" s="98">
        <v>282.5</v>
      </c>
      <c r="G65" s="80">
        <f t="shared" si="1"/>
        <v>144360.97911344672</v>
      </c>
    </row>
    <row r="66" spans="1:7" x14ac:dyDescent="0.3">
      <c r="A66" s="63" t="s">
        <v>45</v>
      </c>
      <c r="B66" s="120">
        <v>1</v>
      </c>
      <c r="C66" s="120">
        <v>5</v>
      </c>
      <c r="D66" s="120">
        <v>2000</v>
      </c>
      <c r="E66" s="120">
        <v>5089</v>
      </c>
      <c r="F66" s="98">
        <v>3544.5</v>
      </c>
      <c r="G66" s="80">
        <f t="shared" si="1"/>
        <v>1007256.8311836729</v>
      </c>
    </row>
    <row r="67" spans="1:7" x14ac:dyDescent="0.3">
      <c r="A67" s="63" t="s">
        <v>45</v>
      </c>
      <c r="B67" s="120">
        <v>1</v>
      </c>
      <c r="C67" s="120">
        <v>5</v>
      </c>
      <c r="D67" s="120">
        <v>4000</v>
      </c>
      <c r="E67" s="120">
        <v>4276</v>
      </c>
      <c r="F67" s="98">
        <v>4138</v>
      </c>
      <c r="G67" s="80">
        <f t="shared" ref="G67:G131" si="3">IF(C67=1,1581.92*(F67^0.6798),IF(C67=2,2991.14*(F67^0.6798),IF(C67=3,3113.49*(F67^0.6798),IF(C67=4,3279.19*(F67^0.6798),IF(C67=5, IF(B67=1,3891.82*(F67^0.6798),IF(B67=2,4076.24*(F67^0.6798),0)),0)))))</f>
        <v>1119043.3691435617</v>
      </c>
    </row>
    <row r="68" spans="1:7" x14ac:dyDescent="0.3">
      <c r="A68" s="63" t="s">
        <v>45</v>
      </c>
      <c r="B68" s="120">
        <v>1</v>
      </c>
      <c r="C68" s="120">
        <v>5</v>
      </c>
      <c r="D68" s="120">
        <v>12000</v>
      </c>
      <c r="E68" s="120">
        <v>5853</v>
      </c>
      <c r="F68" s="98">
        <v>8926.5</v>
      </c>
      <c r="G68" s="80">
        <f t="shared" si="3"/>
        <v>1887234.3457400596</v>
      </c>
    </row>
    <row r="69" spans="1:7" x14ac:dyDescent="0.3">
      <c r="A69" s="63" t="s">
        <v>45</v>
      </c>
      <c r="B69" s="120">
        <v>1</v>
      </c>
      <c r="C69" s="120">
        <v>5</v>
      </c>
      <c r="D69" s="120">
        <v>3500</v>
      </c>
      <c r="E69" s="120">
        <v>3221</v>
      </c>
      <c r="F69" s="98">
        <v>3360.5</v>
      </c>
      <c r="G69" s="80">
        <f t="shared" si="3"/>
        <v>971408.98605092231</v>
      </c>
    </row>
    <row r="70" spans="1:7" x14ac:dyDescent="0.3">
      <c r="A70" s="63" t="s">
        <v>45</v>
      </c>
      <c r="B70" s="120">
        <v>1</v>
      </c>
      <c r="C70" s="120">
        <v>5</v>
      </c>
      <c r="D70" s="120">
        <v>10000</v>
      </c>
      <c r="E70" s="120">
        <v>1436</v>
      </c>
      <c r="F70" s="98">
        <v>5718</v>
      </c>
      <c r="G70" s="80">
        <f t="shared" si="3"/>
        <v>1394207.194330364</v>
      </c>
    </row>
    <row r="71" spans="1:7" x14ac:dyDescent="0.3">
      <c r="A71" s="63" t="s">
        <v>45</v>
      </c>
      <c r="B71" s="120">
        <v>1</v>
      </c>
      <c r="C71" s="120">
        <v>4</v>
      </c>
      <c r="D71" s="120">
        <v>3000</v>
      </c>
      <c r="E71" s="120">
        <v>1231</v>
      </c>
      <c r="F71" s="98">
        <v>2115.5</v>
      </c>
      <c r="G71" s="80">
        <f t="shared" si="3"/>
        <v>597561.15563423326</v>
      </c>
    </row>
    <row r="72" spans="1:7" x14ac:dyDescent="0.3">
      <c r="A72" s="63" t="s">
        <v>45</v>
      </c>
      <c r="B72" s="120">
        <v>1</v>
      </c>
      <c r="C72" s="120">
        <v>5</v>
      </c>
      <c r="D72" s="120">
        <v>8200</v>
      </c>
      <c r="E72" s="120">
        <v>3382</v>
      </c>
      <c r="F72" s="98">
        <v>5791</v>
      </c>
      <c r="G72" s="80">
        <f t="shared" si="3"/>
        <v>1406282.6510379093</v>
      </c>
    </row>
    <row r="73" spans="1:7" ht="15" thickBot="1" x14ac:dyDescent="0.35">
      <c r="A73" s="123" t="s">
        <v>45</v>
      </c>
      <c r="B73" s="103">
        <v>1</v>
      </c>
      <c r="C73" s="103">
        <v>5</v>
      </c>
      <c r="D73" s="103">
        <v>4500</v>
      </c>
      <c r="E73" s="103">
        <v>2791</v>
      </c>
      <c r="F73" s="130">
        <v>3645.5</v>
      </c>
      <c r="G73" s="111">
        <f t="shared" si="3"/>
        <v>1026680.2883292929</v>
      </c>
    </row>
    <row r="74" spans="1:7" x14ac:dyDescent="0.3">
      <c r="A74" s="99" t="s">
        <v>46</v>
      </c>
      <c r="B74" s="81">
        <v>2</v>
      </c>
      <c r="C74" s="81">
        <v>5</v>
      </c>
      <c r="D74" s="81">
        <v>9650</v>
      </c>
      <c r="E74" s="81">
        <v>6928</v>
      </c>
      <c r="F74" s="57">
        <v>8289</v>
      </c>
      <c r="G74" s="125">
        <f t="shared" si="3"/>
        <v>1879565.6562137667</v>
      </c>
    </row>
    <row r="75" spans="1:7" x14ac:dyDescent="0.3">
      <c r="A75" s="63" t="s">
        <v>46</v>
      </c>
      <c r="B75" s="120">
        <v>2</v>
      </c>
      <c r="C75" s="120">
        <v>5</v>
      </c>
      <c r="D75" s="120">
        <v>22000</v>
      </c>
      <c r="E75" s="120">
        <v>14449</v>
      </c>
      <c r="F75" s="98">
        <v>18224.5</v>
      </c>
      <c r="G75" s="80">
        <f t="shared" si="3"/>
        <v>3211097.0992084076</v>
      </c>
    </row>
    <row r="76" spans="1:7" ht="15" thickBot="1" x14ac:dyDescent="0.35">
      <c r="A76" s="123" t="s">
        <v>46</v>
      </c>
      <c r="B76" s="103">
        <v>1</v>
      </c>
      <c r="C76" s="103">
        <v>3</v>
      </c>
      <c r="D76" s="103">
        <v>1000</v>
      </c>
      <c r="E76" s="103">
        <v>587</v>
      </c>
      <c r="F76" s="130">
        <v>793.5</v>
      </c>
      <c r="G76" s="111">
        <f t="shared" si="3"/>
        <v>291312.74057818489</v>
      </c>
    </row>
    <row r="77" spans="1:7" ht="15" thickBot="1" x14ac:dyDescent="0.35">
      <c r="A77" s="73" t="s">
        <v>47</v>
      </c>
      <c r="B77" s="55">
        <v>2</v>
      </c>
      <c r="C77" s="55">
        <v>5</v>
      </c>
      <c r="D77" s="55">
        <v>420000</v>
      </c>
      <c r="E77" s="55">
        <v>256803</v>
      </c>
      <c r="F77" s="106">
        <v>338401.5</v>
      </c>
      <c r="G77" s="87">
        <f t="shared" si="3"/>
        <v>23397411.321941525</v>
      </c>
    </row>
    <row r="78" spans="1:7" x14ac:dyDescent="0.3">
      <c r="A78" s="99" t="s">
        <v>51</v>
      </c>
      <c r="B78" s="50">
        <v>2</v>
      </c>
      <c r="C78" s="50">
        <v>5</v>
      </c>
      <c r="D78" s="50">
        <v>7500</v>
      </c>
      <c r="E78" s="93">
        <v>5357</v>
      </c>
      <c r="F78" s="57">
        <v>6428.5</v>
      </c>
      <c r="G78" s="125">
        <f t="shared" si="3"/>
        <v>1581294.226445036</v>
      </c>
    </row>
    <row r="79" spans="1:7" x14ac:dyDescent="0.3">
      <c r="A79" s="63" t="s">
        <v>51</v>
      </c>
      <c r="B79" s="95">
        <v>2</v>
      </c>
      <c r="C79" s="95">
        <v>5</v>
      </c>
      <c r="D79" s="95">
        <v>260000</v>
      </c>
      <c r="E79" s="126">
        <v>131000</v>
      </c>
      <c r="F79" s="98">
        <v>195500</v>
      </c>
      <c r="G79" s="80">
        <f t="shared" si="3"/>
        <v>16113182.092351122</v>
      </c>
    </row>
    <row r="80" spans="1:7" x14ac:dyDescent="0.3">
      <c r="A80" s="63" t="s">
        <v>51</v>
      </c>
      <c r="B80" s="95">
        <v>2</v>
      </c>
      <c r="C80" s="95">
        <v>5</v>
      </c>
      <c r="D80" s="95">
        <v>135000</v>
      </c>
      <c r="E80" s="126">
        <v>65000</v>
      </c>
      <c r="F80" s="98">
        <v>100000</v>
      </c>
      <c r="G80" s="80">
        <f t="shared" si="3"/>
        <v>10215502.781579619</v>
      </c>
    </row>
    <row r="81" spans="1:7" x14ac:dyDescent="0.3">
      <c r="A81" s="63" t="s">
        <v>51</v>
      </c>
      <c r="B81" s="95">
        <v>1</v>
      </c>
      <c r="C81" s="95">
        <v>5</v>
      </c>
      <c r="D81" s="95">
        <v>92000</v>
      </c>
      <c r="E81" s="126">
        <v>87850</v>
      </c>
      <c r="F81" s="98">
        <v>89925</v>
      </c>
      <c r="G81" s="80">
        <f t="shared" si="3"/>
        <v>9074039.6596798077</v>
      </c>
    </row>
    <row r="82" spans="1:7" x14ac:dyDescent="0.3">
      <c r="A82" s="63" t="s">
        <v>51</v>
      </c>
      <c r="B82" s="95">
        <v>1</v>
      </c>
      <c r="C82" s="95">
        <v>3</v>
      </c>
      <c r="D82" s="95">
        <v>500</v>
      </c>
      <c r="E82" s="126">
        <v>609</v>
      </c>
      <c r="F82" s="98">
        <v>554.5</v>
      </c>
      <c r="G82" s="80">
        <f t="shared" si="3"/>
        <v>228324.09724676973</v>
      </c>
    </row>
    <row r="83" spans="1:7" x14ac:dyDescent="0.3">
      <c r="A83" s="63" t="s">
        <v>51</v>
      </c>
      <c r="B83" s="95">
        <v>1</v>
      </c>
      <c r="C83" s="95">
        <v>1</v>
      </c>
      <c r="D83" s="95">
        <v>45</v>
      </c>
      <c r="E83" s="126">
        <v>45</v>
      </c>
      <c r="F83" s="98">
        <v>45</v>
      </c>
      <c r="G83" s="80">
        <f t="shared" si="3"/>
        <v>21039.643834592174</v>
      </c>
    </row>
    <row r="84" spans="1:7" x14ac:dyDescent="0.3">
      <c r="A84" s="63" t="s">
        <v>51</v>
      </c>
      <c r="B84" s="95">
        <v>2</v>
      </c>
      <c r="C84" s="95">
        <v>1</v>
      </c>
      <c r="D84" s="95">
        <v>60</v>
      </c>
      <c r="E84" s="126">
        <v>7</v>
      </c>
      <c r="F84" s="98">
        <v>33.5</v>
      </c>
      <c r="G84" s="80">
        <f t="shared" si="3"/>
        <v>17215.116919401094</v>
      </c>
    </row>
    <row r="85" spans="1:7" x14ac:dyDescent="0.3">
      <c r="A85" s="63" t="s">
        <v>51</v>
      </c>
      <c r="B85" s="95">
        <v>2</v>
      </c>
      <c r="C85" s="95">
        <v>2</v>
      </c>
      <c r="D85" s="95">
        <v>690</v>
      </c>
      <c r="E85" s="126">
        <v>183</v>
      </c>
      <c r="F85" s="98">
        <v>436.5</v>
      </c>
      <c r="G85" s="80">
        <f t="shared" si="3"/>
        <v>186422.37323909637</v>
      </c>
    </row>
    <row r="86" spans="1:7" ht="15" thickBot="1" x14ac:dyDescent="0.35">
      <c r="A86" s="123" t="s">
        <v>51</v>
      </c>
      <c r="B86" s="46">
        <v>1</v>
      </c>
      <c r="C86" s="46">
        <v>2</v>
      </c>
      <c r="D86" s="46">
        <v>0</v>
      </c>
      <c r="E86" s="70">
        <v>37</v>
      </c>
      <c r="F86" s="130">
        <v>18.5</v>
      </c>
      <c r="G86" s="111">
        <f t="shared" si="3"/>
        <v>21740.027123235574</v>
      </c>
    </row>
    <row r="87" spans="1:7" x14ac:dyDescent="0.3">
      <c r="A87" s="99" t="s">
        <v>49</v>
      </c>
      <c r="B87" s="81">
        <v>2</v>
      </c>
      <c r="C87" s="81">
        <v>4</v>
      </c>
      <c r="D87" s="81">
        <v>9900</v>
      </c>
      <c r="E87" s="81">
        <v>2683</v>
      </c>
      <c r="F87" s="57">
        <v>6291.5</v>
      </c>
      <c r="G87" s="125">
        <f t="shared" si="3"/>
        <v>1253602.0299561548</v>
      </c>
    </row>
    <row r="88" spans="1:7" x14ac:dyDescent="0.3">
      <c r="A88" s="63" t="s">
        <v>49</v>
      </c>
      <c r="B88" s="120">
        <v>2</v>
      </c>
      <c r="C88" s="120">
        <v>5</v>
      </c>
      <c r="D88" s="120">
        <v>16000</v>
      </c>
      <c r="E88" s="120">
        <v>8609</v>
      </c>
      <c r="F88" s="98">
        <v>12304.5</v>
      </c>
      <c r="G88" s="80">
        <f t="shared" si="3"/>
        <v>2458585.033809124</v>
      </c>
    </row>
    <row r="89" spans="1:7" x14ac:dyDescent="0.3">
      <c r="A89" s="63" t="s">
        <v>49</v>
      </c>
      <c r="B89" s="120">
        <v>2</v>
      </c>
      <c r="C89" s="120">
        <v>4</v>
      </c>
      <c r="D89" s="120">
        <v>7000</v>
      </c>
      <c r="E89" s="120">
        <v>4847</v>
      </c>
      <c r="F89" s="98">
        <v>5923.5</v>
      </c>
      <c r="G89" s="80">
        <f t="shared" si="3"/>
        <v>1203276.3263517027</v>
      </c>
    </row>
    <row r="90" spans="1:7" x14ac:dyDescent="0.3">
      <c r="A90" s="63" t="s">
        <v>49</v>
      </c>
      <c r="B90" s="120">
        <v>2</v>
      </c>
      <c r="C90" s="120">
        <v>5</v>
      </c>
      <c r="D90" s="120">
        <v>27000</v>
      </c>
      <c r="E90" s="120">
        <v>15175</v>
      </c>
      <c r="F90" s="98">
        <v>21087.5</v>
      </c>
      <c r="G90" s="80">
        <f t="shared" si="3"/>
        <v>3545945.0919077294</v>
      </c>
    </row>
    <row r="91" spans="1:7" x14ac:dyDescent="0.3">
      <c r="A91" s="63" t="s">
        <v>49</v>
      </c>
      <c r="B91" s="120">
        <v>2</v>
      </c>
      <c r="C91" s="120">
        <v>4</v>
      </c>
      <c r="D91" s="120">
        <v>1700</v>
      </c>
      <c r="E91" s="120">
        <v>711</v>
      </c>
      <c r="F91" s="98">
        <v>1205.5</v>
      </c>
      <c r="G91" s="80">
        <f t="shared" si="3"/>
        <v>407703.13738456409</v>
      </c>
    </row>
    <row r="92" spans="1:7" x14ac:dyDescent="0.3">
      <c r="A92" s="63" t="s">
        <v>49</v>
      </c>
      <c r="B92" s="120">
        <v>2</v>
      </c>
      <c r="C92" s="120">
        <v>4</v>
      </c>
      <c r="D92" s="120">
        <v>13500</v>
      </c>
      <c r="E92" s="120">
        <v>1492</v>
      </c>
      <c r="F92" s="98">
        <v>7496</v>
      </c>
      <c r="G92" s="80">
        <f t="shared" si="3"/>
        <v>1412133.4091328306</v>
      </c>
    </row>
    <row r="93" spans="1:7" x14ac:dyDescent="0.3">
      <c r="A93" s="63" t="s">
        <v>49</v>
      </c>
      <c r="B93" s="120">
        <v>1</v>
      </c>
      <c r="C93" s="120">
        <v>3</v>
      </c>
      <c r="D93" s="120">
        <v>4200</v>
      </c>
      <c r="E93" s="120">
        <v>1083</v>
      </c>
      <c r="F93" s="98">
        <v>2641.5</v>
      </c>
      <c r="G93" s="80">
        <f t="shared" si="3"/>
        <v>659813.99553498591</v>
      </c>
    </row>
    <row r="94" spans="1:7" x14ac:dyDescent="0.3">
      <c r="A94" s="63" t="s">
        <v>49</v>
      </c>
      <c r="B94" s="120">
        <v>2</v>
      </c>
      <c r="C94" s="120">
        <v>5</v>
      </c>
      <c r="D94" s="120">
        <v>7500</v>
      </c>
      <c r="E94" s="120">
        <v>3878</v>
      </c>
      <c r="F94" s="98">
        <v>5689</v>
      </c>
      <c r="G94" s="80">
        <f t="shared" si="3"/>
        <v>1455235.1431503794</v>
      </c>
    </row>
    <row r="95" spans="1:7" x14ac:dyDescent="0.3">
      <c r="A95" s="63" t="s">
        <v>49</v>
      </c>
      <c r="B95" s="120">
        <v>2</v>
      </c>
      <c r="C95" s="120">
        <v>5</v>
      </c>
      <c r="D95" s="120">
        <v>13000</v>
      </c>
      <c r="E95" s="120">
        <v>5613</v>
      </c>
      <c r="F95" s="98">
        <v>9306.5</v>
      </c>
      <c r="G95" s="80">
        <f t="shared" si="3"/>
        <v>2033483.8550624847</v>
      </c>
    </row>
    <row r="96" spans="1:7" ht="15" thickBot="1" x14ac:dyDescent="0.35">
      <c r="A96" s="123" t="s">
        <v>49</v>
      </c>
      <c r="B96" s="103">
        <v>2</v>
      </c>
      <c r="C96" s="103">
        <v>5</v>
      </c>
      <c r="D96" s="103">
        <v>2200</v>
      </c>
      <c r="E96" s="103">
        <v>1376</v>
      </c>
      <c r="F96" s="130">
        <v>1788</v>
      </c>
      <c r="G96" s="111">
        <f t="shared" si="3"/>
        <v>662550.80001644872</v>
      </c>
    </row>
    <row r="97" spans="1:7" x14ac:dyDescent="0.3">
      <c r="A97" s="99" t="s">
        <v>50</v>
      </c>
      <c r="B97" s="81">
        <v>2</v>
      </c>
      <c r="C97" s="81">
        <v>5</v>
      </c>
      <c r="D97" s="81">
        <v>57000</v>
      </c>
      <c r="E97" s="81">
        <v>34203</v>
      </c>
      <c r="F97" s="57">
        <v>45601.5</v>
      </c>
      <c r="G97" s="125">
        <f t="shared" si="3"/>
        <v>5990095.6586114308</v>
      </c>
    </row>
    <row r="98" spans="1:7" x14ac:dyDescent="0.3">
      <c r="A98" s="63" t="s">
        <v>50</v>
      </c>
      <c r="B98" s="120">
        <v>2</v>
      </c>
      <c r="C98" s="120">
        <v>3</v>
      </c>
      <c r="D98" s="120">
        <v>4500</v>
      </c>
      <c r="E98" s="120">
        <v>2544</v>
      </c>
      <c r="F98" s="98">
        <v>3522</v>
      </c>
      <c r="G98" s="80">
        <f t="shared" si="3"/>
        <v>802333.40882578294</v>
      </c>
    </row>
    <row r="99" spans="1:7" x14ac:dyDescent="0.3">
      <c r="A99" s="63" t="s">
        <v>50</v>
      </c>
      <c r="B99" s="120">
        <v>1</v>
      </c>
      <c r="C99" s="120">
        <v>5</v>
      </c>
      <c r="D99" s="120">
        <v>4000</v>
      </c>
      <c r="E99" s="120">
        <v>1214</v>
      </c>
      <c r="F99" s="98">
        <v>2607</v>
      </c>
      <c r="G99" s="80">
        <f t="shared" si="3"/>
        <v>817420.29940079409</v>
      </c>
    </row>
    <row r="100" spans="1:7" x14ac:dyDescent="0.3">
      <c r="A100" s="63" t="s">
        <v>50</v>
      </c>
      <c r="B100" s="120">
        <v>2</v>
      </c>
      <c r="C100" s="120">
        <v>5</v>
      </c>
      <c r="D100" s="120">
        <v>20000</v>
      </c>
      <c r="E100" s="120">
        <v>11037</v>
      </c>
      <c r="F100" s="98">
        <v>15518.5</v>
      </c>
      <c r="G100" s="80">
        <f t="shared" si="3"/>
        <v>2878719.8338404377</v>
      </c>
    </row>
    <row r="101" spans="1:7" x14ac:dyDescent="0.3">
      <c r="A101" s="63" t="s">
        <v>50</v>
      </c>
      <c r="B101" s="120">
        <v>1</v>
      </c>
      <c r="C101" s="120">
        <v>2</v>
      </c>
      <c r="D101" s="120">
        <v>100</v>
      </c>
      <c r="E101" s="120">
        <v>67</v>
      </c>
      <c r="F101" s="98">
        <v>83.5</v>
      </c>
      <c r="G101" s="80">
        <f t="shared" si="3"/>
        <v>60561.86024084816</v>
      </c>
    </row>
    <row r="102" spans="1:7" x14ac:dyDescent="0.3">
      <c r="A102" s="63" t="s">
        <v>50</v>
      </c>
      <c r="B102" s="120">
        <v>2</v>
      </c>
      <c r="C102" s="120">
        <v>2</v>
      </c>
      <c r="D102" s="120">
        <v>300</v>
      </c>
      <c r="E102" s="120">
        <v>200</v>
      </c>
      <c r="F102" s="98">
        <v>250</v>
      </c>
      <c r="G102" s="80">
        <f t="shared" si="3"/>
        <v>127631.05481633899</v>
      </c>
    </row>
    <row r="103" spans="1:7" x14ac:dyDescent="0.3">
      <c r="A103" s="63" t="s">
        <v>50</v>
      </c>
      <c r="B103" s="120">
        <v>1</v>
      </c>
      <c r="C103" s="120">
        <v>5</v>
      </c>
      <c r="D103" s="120">
        <v>11000</v>
      </c>
      <c r="E103" s="120">
        <v>6782</v>
      </c>
      <c r="F103" s="98">
        <v>8891</v>
      </c>
      <c r="G103" s="80">
        <f t="shared" si="3"/>
        <v>1882128.9307402638</v>
      </c>
    </row>
    <row r="104" spans="1:7" x14ac:dyDescent="0.3">
      <c r="A104" s="63" t="s">
        <v>50</v>
      </c>
      <c r="B104" s="120">
        <v>1</v>
      </c>
      <c r="C104" s="120">
        <v>4</v>
      </c>
      <c r="D104" s="120">
        <v>7000</v>
      </c>
      <c r="E104" s="120">
        <v>4315</v>
      </c>
      <c r="F104" s="98">
        <v>5657.5</v>
      </c>
      <c r="G104" s="80">
        <f t="shared" si="3"/>
        <v>1166274.442228847</v>
      </c>
    </row>
    <row r="105" spans="1:7" x14ac:dyDescent="0.3">
      <c r="A105" s="63" t="s">
        <v>50</v>
      </c>
      <c r="B105" s="120">
        <v>1</v>
      </c>
      <c r="C105" s="120">
        <v>1</v>
      </c>
      <c r="D105" s="120">
        <v>75</v>
      </c>
      <c r="E105" s="120">
        <v>50</v>
      </c>
      <c r="F105" s="98">
        <v>62.5</v>
      </c>
      <c r="G105" s="80">
        <f t="shared" si="3"/>
        <v>26304.118514684789</v>
      </c>
    </row>
    <row r="106" spans="1:7" x14ac:dyDescent="0.3">
      <c r="A106" s="63" t="s">
        <v>50</v>
      </c>
      <c r="B106" s="120">
        <v>1</v>
      </c>
      <c r="C106" s="120">
        <v>5</v>
      </c>
      <c r="D106" s="120">
        <v>8198</v>
      </c>
      <c r="E106" s="120">
        <v>7918</v>
      </c>
      <c r="F106" s="98">
        <v>8058</v>
      </c>
      <c r="G106" s="80">
        <f t="shared" si="3"/>
        <v>1760378.4320277236</v>
      </c>
    </row>
    <row r="107" spans="1:7" x14ac:dyDescent="0.3">
      <c r="A107" s="63" t="s">
        <v>50</v>
      </c>
      <c r="B107" s="120">
        <v>2</v>
      </c>
      <c r="C107" s="120">
        <v>4</v>
      </c>
      <c r="D107" s="120">
        <v>3200</v>
      </c>
      <c r="E107" s="120">
        <v>2798</v>
      </c>
      <c r="F107" s="98">
        <v>2999</v>
      </c>
      <c r="G107" s="80">
        <f t="shared" si="3"/>
        <v>757556.76766890893</v>
      </c>
    </row>
    <row r="108" spans="1:7" x14ac:dyDescent="0.3">
      <c r="A108" s="63" t="s">
        <v>50</v>
      </c>
      <c r="B108" s="120">
        <v>1</v>
      </c>
      <c r="C108" s="120">
        <v>3</v>
      </c>
      <c r="D108" s="120">
        <v>300</v>
      </c>
      <c r="E108" s="120">
        <v>301</v>
      </c>
      <c r="F108" s="98">
        <v>300.5</v>
      </c>
      <c r="G108" s="80">
        <f t="shared" si="3"/>
        <v>150551.86859760134</v>
      </c>
    </row>
    <row r="109" spans="1:7" x14ac:dyDescent="0.3">
      <c r="A109" s="63" t="s">
        <v>50</v>
      </c>
      <c r="B109" s="120">
        <v>2</v>
      </c>
      <c r="C109" s="120">
        <v>4</v>
      </c>
      <c r="D109" s="120">
        <v>1500</v>
      </c>
      <c r="E109" s="120">
        <v>1810</v>
      </c>
      <c r="F109" s="98">
        <v>1655</v>
      </c>
      <c r="G109" s="80">
        <f t="shared" si="3"/>
        <v>505714.56287643086</v>
      </c>
    </row>
    <row r="110" spans="1:7" x14ac:dyDescent="0.3">
      <c r="A110" s="63" t="s">
        <v>50</v>
      </c>
      <c r="B110" s="120">
        <v>1</v>
      </c>
      <c r="C110" s="120">
        <v>3</v>
      </c>
      <c r="D110" s="120">
        <v>350</v>
      </c>
      <c r="E110" s="120">
        <v>949</v>
      </c>
      <c r="F110" s="98">
        <v>649.5</v>
      </c>
      <c r="G110" s="80">
        <f t="shared" si="3"/>
        <v>254237.01745313831</v>
      </c>
    </row>
    <row r="111" spans="1:7" x14ac:dyDescent="0.3">
      <c r="A111" s="63" t="s">
        <v>50</v>
      </c>
      <c r="B111" s="120">
        <v>1</v>
      </c>
      <c r="C111" s="120">
        <v>3</v>
      </c>
      <c r="D111" s="120">
        <v>400</v>
      </c>
      <c r="E111" s="120">
        <v>502</v>
      </c>
      <c r="F111" s="98">
        <v>451</v>
      </c>
      <c r="G111" s="80">
        <f t="shared" si="3"/>
        <v>198406.86199075863</v>
      </c>
    </row>
    <row r="112" spans="1:7" x14ac:dyDescent="0.3">
      <c r="A112" s="63" t="s">
        <v>50</v>
      </c>
      <c r="B112" s="120">
        <v>1</v>
      </c>
      <c r="C112" s="120">
        <v>1</v>
      </c>
      <c r="D112" s="120">
        <v>85</v>
      </c>
      <c r="E112" s="120">
        <v>57</v>
      </c>
      <c r="F112" s="98">
        <v>71</v>
      </c>
      <c r="G112" s="80">
        <f t="shared" si="3"/>
        <v>28685.996577971273</v>
      </c>
    </row>
    <row r="113" spans="1:11" x14ac:dyDescent="0.3">
      <c r="A113" s="63" t="s">
        <v>50</v>
      </c>
      <c r="B113" s="120">
        <v>1</v>
      </c>
      <c r="C113" s="120">
        <v>1</v>
      </c>
      <c r="D113" s="120">
        <v>135</v>
      </c>
      <c r="E113" s="120">
        <v>90</v>
      </c>
      <c r="F113" s="98">
        <v>112.5</v>
      </c>
      <c r="G113" s="80">
        <f t="shared" si="3"/>
        <v>39224.552861927026</v>
      </c>
    </row>
    <row r="114" spans="1:11" x14ac:dyDescent="0.3">
      <c r="A114" s="63" t="s">
        <v>50</v>
      </c>
      <c r="B114" s="120">
        <v>1</v>
      </c>
      <c r="C114" s="120">
        <v>1</v>
      </c>
      <c r="D114" s="120">
        <v>40</v>
      </c>
      <c r="E114" s="120">
        <v>27</v>
      </c>
      <c r="F114" s="98">
        <v>33.5</v>
      </c>
      <c r="G114" s="80">
        <f t="shared" si="3"/>
        <v>17215.116919401094</v>
      </c>
    </row>
    <row r="115" spans="1:11" x14ac:dyDescent="0.3">
      <c r="A115" s="63" t="s">
        <v>50</v>
      </c>
      <c r="B115" s="120">
        <v>1</v>
      </c>
      <c r="C115" s="120">
        <v>1</v>
      </c>
      <c r="D115" s="120">
        <v>10</v>
      </c>
      <c r="E115" s="120">
        <v>10</v>
      </c>
      <c r="F115" s="98">
        <v>10</v>
      </c>
      <c r="G115" s="80">
        <f t="shared" si="3"/>
        <v>7568.059133816625</v>
      </c>
    </row>
    <row r="116" spans="1:11" x14ac:dyDescent="0.3">
      <c r="A116" s="63" t="s">
        <v>50</v>
      </c>
      <c r="B116" s="120">
        <v>1</v>
      </c>
      <c r="C116" s="120">
        <v>1</v>
      </c>
      <c r="D116" s="120">
        <v>165</v>
      </c>
      <c r="E116" s="120">
        <v>110</v>
      </c>
      <c r="F116" s="98">
        <v>137.5</v>
      </c>
      <c r="G116" s="80">
        <f t="shared" si="3"/>
        <v>44957.555700513753</v>
      </c>
    </row>
    <row r="117" spans="1:11" x14ac:dyDescent="0.3">
      <c r="A117" s="63" t="s">
        <v>50</v>
      </c>
      <c r="B117" s="120">
        <v>2</v>
      </c>
      <c r="C117" s="120">
        <v>2</v>
      </c>
      <c r="D117" s="120">
        <v>120</v>
      </c>
      <c r="E117" s="120">
        <v>81</v>
      </c>
      <c r="F117" s="98">
        <v>100.5</v>
      </c>
      <c r="G117" s="80">
        <f t="shared" si="3"/>
        <v>68692.4852882056</v>
      </c>
    </row>
    <row r="118" spans="1:11" x14ac:dyDescent="0.3">
      <c r="A118" s="63" t="s">
        <v>50</v>
      </c>
      <c r="B118" s="120">
        <v>1</v>
      </c>
      <c r="C118" s="120">
        <v>3</v>
      </c>
      <c r="D118" s="120">
        <v>2100</v>
      </c>
      <c r="E118" s="120">
        <v>1963</v>
      </c>
      <c r="F118" s="98">
        <v>2031.5</v>
      </c>
      <c r="G118" s="80">
        <f t="shared" si="3"/>
        <v>551952.05413495959</v>
      </c>
    </row>
    <row r="119" spans="1:11" s="146" customFormat="1" x14ac:dyDescent="0.3">
      <c r="A119" s="63" t="s">
        <v>50</v>
      </c>
      <c r="B119" s="120">
        <v>1</v>
      </c>
      <c r="C119" s="120">
        <v>2</v>
      </c>
      <c r="D119" s="120">
        <v>110</v>
      </c>
      <c r="E119" s="120">
        <v>68</v>
      </c>
      <c r="F119" s="98">
        <v>89</v>
      </c>
      <c r="G119" s="80">
        <f t="shared" si="3"/>
        <v>63245.854868503055</v>
      </c>
      <c r="H119" s="107"/>
      <c r="I119" s="67"/>
      <c r="J119" s="129"/>
      <c r="K119" s="129"/>
    </row>
    <row r="120" spans="1:11" x14ac:dyDescent="0.3">
      <c r="A120" s="63" t="s">
        <v>50</v>
      </c>
      <c r="B120" s="120">
        <v>2</v>
      </c>
      <c r="C120" s="120">
        <v>3</v>
      </c>
      <c r="D120" s="120">
        <v>6000</v>
      </c>
      <c r="E120" s="120">
        <v>5406</v>
      </c>
      <c r="F120" s="98">
        <v>5703</v>
      </c>
      <c r="G120" s="80">
        <f t="shared" si="3"/>
        <v>1113388.0281379214</v>
      </c>
    </row>
    <row r="121" spans="1:11" ht="15" thickBot="1" x14ac:dyDescent="0.35">
      <c r="A121" s="123" t="s">
        <v>50</v>
      </c>
      <c r="B121" s="103">
        <v>1</v>
      </c>
      <c r="C121" s="103">
        <v>3</v>
      </c>
      <c r="D121" s="103">
        <v>1500</v>
      </c>
      <c r="E121" s="103">
        <v>873</v>
      </c>
      <c r="F121" s="130">
        <v>1186.5</v>
      </c>
      <c r="G121" s="111">
        <f t="shared" si="3"/>
        <v>382943.48612587299</v>
      </c>
    </row>
    <row r="122" spans="1:11" x14ac:dyDescent="0.3">
      <c r="A122" s="99" t="s">
        <v>52</v>
      </c>
      <c r="B122" s="81">
        <v>1</v>
      </c>
      <c r="C122" s="81">
        <v>5</v>
      </c>
      <c r="D122" s="81">
        <v>35000</v>
      </c>
      <c r="E122" s="81">
        <v>33100</v>
      </c>
      <c r="F122" s="57">
        <v>34050</v>
      </c>
      <c r="G122" s="125">
        <f t="shared" si="3"/>
        <v>4689061.8495363193</v>
      </c>
    </row>
    <row r="123" spans="1:11" x14ac:dyDescent="0.3">
      <c r="A123" s="63" t="s">
        <v>52</v>
      </c>
      <c r="B123" s="120">
        <v>1</v>
      </c>
      <c r="C123" s="120">
        <v>4</v>
      </c>
      <c r="D123" s="120">
        <v>2500</v>
      </c>
      <c r="E123" s="120">
        <v>2500</v>
      </c>
      <c r="F123" s="98">
        <v>2500</v>
      </c>
      <c r="G123" s="80">
        <f t="shared" si="3"/>
        <v>669400.75647728331</v>
      </c>
    </row>
    <row r="124" spans="1:11" x14ac:dyDescent="0.3">
      <c r="A124" s="63" t="s">
        <v>52</v>
      </c>
      <c r="B124" s="120">
        <v>1</v>
      </c>
      <c r="C124" s="120">
        <v>1</v>
      </c>
      <c r="D124" s="120">
        <v>150</v>
      </c>
      <c r="E124" s="120">
        <v>140</v>
      </c>
      <c r="F124" s="98">
        <v>145</v>
      </c>
      <c r="G124" s="80">
        <f t="shared" si="3"/>
        <v>46610.362947868576</v>
      </c>
    </row>
    <row r="125" spans="1:11" ht="15" thickBot="1" x14ac:dyDescent="0.35">
      <c r="A125" s="123" t="s">
        <v>52</v>
      </c>
      <c r="B125" s="103">
        <v>2</v>
      </c>
      <c r="C125" s="103">
        <v>5</v>
      </c>
      <c r="D125" s="103">
        <v>18000</v>
      </c>
      <c r="E125" s="103">
        <v>9300</v>
      </c>
      <c r="F125" s="130">
        <v>13650</v>
      </c>
      <c r="G125" s="111">
        <f t="shared" si="3"/>
        <v>2638292.3779928191</v>
      </c>
    </row>
    <row r="126" spans="1:11" x14ac:dyDescent="0.3">
      <c r="A126" s="99" t="s">
        <v>53</v>
      </c>
      <c r="B126" s="81">
        <v>2</v>
      </c>
      <c r="C126" s="81">
        <v>5</v>
      </c>
      <c r="D126" s="81">
        <v>80000</v>
      </c>
      <c r="E126" s="81">
        <v>33072</v>
      </c>
      <c r="F126" s="57">
        <v>56536</v>
      </c>
      <c r="G126" s="125">
        <f t="shared" si="3"/>
        <v>6932507.2848747643</v>
      </c>
    </row>
    <row r="127" spans="1:11" x14ac:dyDescent="0.3">
      <c r="A127" s="63" t="s">
        <v>53</v>
      </c>
      <c r="B127" s="120">
        <v>2</v>
      </c>
      <c r="C127" s="120">
        <v>5</v>
      </c>
      <c r="D127" s="120">
        <v>2000</v>
      </c>
      <c r="E127" s="120">
        <v>1334.9</v>
      </c>
      <c r="F127" s="98">
        <v>1667.45</v>
      </c>
      <c r="G127" s="80">
        <f t="shared" si="3"/>
        <v>631846.01891921088</v>
      </c>
    </row>
    <row r="128" spans="1:11" x14ac:dyDescent="0.3">
      <c r="A128" s="63" t="s">
        <v>53</v>
      </c>
      <c r="B128" s="120">
        <v>1</v>
      </c>
      <c r="C128" s="120">
        <v>4</v>
      </c>
      <c r="D128" s="120">
        <v>1800</v>
      </c>
      <c r="E128" s="120">
        <v>779.3</v>
      </c>
      <c r="F128" s="98">
        <v>1289.6500000000001</v>
      </c>
      <c r="G128" s="80">
        <f t="shared" si="3"/>
        <v>426840.23764193209</v>
      </c>
    </row>
    <row r="129" spans="1:7" x14ac:dyDescent="0.3">
      <c r="A129" s="63" t="s">
        <v>53</v>
      </c>
      <c r="B129" s="120">
        <v>2</v>
      </c>
      <c r="C129" s="120">
        <v>4</v>
      </c>
      <c r="D129" s="120">
        <v>1200</v>
      </c>
      <c r="E129" s="120">
        <v>227.8</v>
      </c>
      <c r="F129" s="98">
        <v>713.9</v>
      </c>
      <c r="G129" s="80">
        <f t="shared" si="3"/>
        <v>285541.52403510164</v>
      </c>
    </row>
    <row r="130" spans="1:7" x14ac:dyDescent="0.3">
      <c r="A130" s="63" t="s">
        <v>53</v>
      </c>
      <c r="B130" s="120">
        <v>2</v>
      </c>
      <c r="C130" s="120">
        <v>4</v>
      </c>
      <c r="D130" s="120">
        <v>1233</v>
      </c>
      <c r="E130" s="120">
        <v>527.1</v>
      </c>
      <c r="F130" s="98">
        <v>880.05</v>
      </c>
      <c r="G130" s="80">
        <f t="shared" si="3"/>
        <v>329186.99964783539</v>
      </c>
    </row>
    <row r="131" spans="1:7" ht="15" thickBot="1" x14ac:dyDescent="0.35">
      <c r="A131" s="123" t="s">
        <v>53</v>
      </c>
      <c r="B131" s="103">
        <v>2</v>
      </c>
      <c r="C131" s="103">
        <v>5</v>
      </c>
      <c r="D131" s="103">
        <v>12000</v>
      </c>
      <c r="E131" s="103">
        <v>3332.7</v>
      </c>
      <c r="F131" s="130">
        <v>7666.35</v>
      </c>
      <c r="G131" s="111">
        <f t="shared" si="3"/>
        <v>1782391.5134412455</v>
      </c>
    </row>
    <row r="132" spans="1:7" ht="15" thickBot="1" x14ac:dyDescent="0.35">
      <c r="A132" s="117" t="s">
        <v>105</v>
      </c>
      <c r="B132" s="97">
        <v>2</v>
      </c>
      <c r="C132" s="97">
        <v>5</v>
      </c>
      <c r="D132" s="79">
        <v>22000</v>
      </c>
      <c r="E132" s="97">
        <v>15967</v>
      </c>
      <c r="F132" s="76">
        <v>18983.5</v>
      </c>
      <c r="G132" s="59">
        <f t="shared" ref="G132:G196" si="4">IF(C132=1,1581.92*(F132^0.6798),IF(C132=2,2991.14*(F132^0.6798),IF(C132=3,3113.49*(F132^0.6798),IF(C132=4,3279.19*(F132^0.6798),IF(C132=5, IF(B132=1,3891.82*(F132^0.6798),IF(B132=2,4076.24*(F132^0.6798),0)),0)))))</f>
        <v>3301413.6762156002</v>
      </c>
    </row>
    <row r="133" spans="1:7" ht="15" thickBot="1" x14ac:dyDescent="0.35">
      <c r="A133" s="62" t="s">
        <v>54</v>
      </c>
      <c r="B133" s="79">
        <v>1</v>
      </c>
      <c r="C133" s="79">
        <v>5</v>
      </c>
      <c r="D133" s="79">
        <v>7300</v>
      </c>
      <c r="E133" s="79">
        <v>7563</v>
      </c>
      <c r="F133" s="76">
        <v>7431.5</v>
      </c>
      <c r="G133" s="59">
        <f t="shared" si="4"/>
        <v>1666136.3448419063</v>
      </c>
    </row>
    <row r="134" spans="1:7" ht="15" thickBot="1" x14ac:dyDescent="0.35">
      <c r="A134" s="122" t="s">
        <v>107</v>
      </c>
      <c r="B134" s="55">
        <v>1</v>
      </c>
      <c r="C134" s="55">
        <v>5</v>
      </c>
      <c r="D134" s="55">
        <v>40000</v>
      </c>
      <c r="E134" s="55">
        <v>19170</v>
      </c>
      <c r="F134" s="106">
        <v>29585</v>
      </c>
      <c r="G134" s="59">
        <f>IF(C134=1,1581.92*(F134^0.6798),IF(C134=2,2991.14*(F134^0.6798),IF(C134=3,3113.49*(F134^0.6798),IF(C134=4,3279.19*(F134^0.6798),IF(C134=5, IF(B134=1,3891.82*(F134^0.6798),IF(B134=2,4076.24*(F134^0.6798),0)),0)))))</f>
        <v>4261742.4585512029</v>
      </c>
    </row>
    <row r="135" spans="1:7" x14ac:dyDescent="0.3">
      <c r="A135" s="99" t="s">
        <v>55</v>
      </c>
      <c r="B135" s="81">
        <v>1</v>
      </c>
      <c r="C135" s="81">
        <v>5</v>
      </c>
      <c r="D135" s="81">
        <v>63000</v>
      </c>
      <c r="E135" s="81">
        <v>29838</v>
      </c>
      <c r="F135" s="57">
        <v>46419</v>
      </c>
      <c r="G135" s="125">
        <f t="shared" si="4"/>
        <v>5788586.6274783732</v>
      </c>
    </row>
    <row r="136" spans="1:7" x14ac:dyDescent="0.3">
      <c r="A136" s="63" t="s">
        <v>55</v>
      </c>
      <c r="B136" s="120">
        <v>1</v>
      </c>
      <c r="C136" s="120">
        <v>5</v>
      </c>
      <c r="D136" s="120">
        <v>17300</v>
      </c>
      <c r="E136" s="120">
        <v>13000</v>
      </c>
      <c r="F136" s="98">
        <v>15150</v>
      </c>
      <c r="G136" s="80">
        <f t="shared" si="4"/>
        <v>2703941.2634073598</v>
      </c>
    </row>
    <row r="137" spans="1:7" x14ac:dyDescent="0.3">
      <c r="A137" s="63" t="s">
        <v>55</v>
      </c>
      <c r="B137" s="120">
        <v>1</v>
      </c>
      <c r="C137" s="120">
        <v>5</v>
      </c>
      <c r="D137" s="120">
        <v>9700</v>
      </c>
      <c r="E137" s="120">
        <v>4000</v>
      </c>
      <c r="F137" s="98">
        <v>6850</v>
      </c>
      <c r="G137" s="80">
        <f t="shared" si="4"/>
        <v>1576359.2374810022</v>
      </c>
    </row>
    <row r="138" spans="1:7" ht="15" thickBot="1" x14ac:dyDescent="0.35">
      <c r="A138" s="123" t="s">
        <v>55</v>
      </c>
      <c r="B138" s="103">
        <v>1</v>
      </c>
      <c r="C138" s="103">
        <v>4</v>
      </c>
      <c r="D138" s="103">
        <v>2500</v>
      </c>
      <c r="E138" s="103">
        <v>803</v>
      </c>
      <c r="F138" s="130">
        <v>1651.5</v>
      </c>
      <c r="G138" s="111">
        <f t="shared" si="4"/>
        <v>504987.27923027443</v>
      </c>
    </row>
    <row r="139" spans="1:7" x14ac:dyDescent="0.3">
      <c r="A139" s="99" t="s">
        <v>56</v>
      </c>
      <c r="B139" s="81">
        <v>2</v>
      </c>
      <c r="C139" s="81">
        <v>5</v>
      </c>
      <c r="D139" s="81">
        <v>37000</v>
      </c>
      <c r="E139" s="81">
        <v>21320</v>
      </c>
      <c r="F139" s="57">
        <v>29160</v>
      </c>
      <c r="G139" s="125">
        <f t="shared" si="4"/>
        <v>4420000.3347600903</v>
      </c>
    </row>
    <row r="140" spans="1:7" x14ac:dyDescent="0.3">
      <c r="A140" s="63" t="s">
        <v>56</v>
      </c>
      <c r="B140" s="120">
        <v>2</v>
      </c>
      <c r="C140" s="120">
        <v>5</v>
      </c>
      <c r="D140" s="120">
        <v>11000</v>
      </c>
      <c r="E140" s="120">
        <v>7535</v>
      </c>
      <c r="F140" s="98">
        <v>9267.5</v>
      </c>
      <c r="G140" s="80">
        <f t="shared" si="4"/>
        <v>2027687.0068212275</v>
      </c>
    </row>
    <row r="141" spans="1:7" x14ac:dyDescent="0.3">
      <c r="A141" s="63" t="s">
        <v>56</v>
      </c>
      <c r="B141" s="120">
        <v>1</v>
      </c>
      <c r="C141" s="120">
        <v>5</v>
      </c>
      <c r="D141" s="120">
        <v>14000</v>
      </c>
      <c r="E141" s="120">
        <v>13344</v>
      </c>
      <c r="F141" s="98">
        <v>13672</v>
      </c>
      <c r="G141" s="80">
        <f t="shared" si="4"/>
        <v>2521688.123116605</v>
      </c>
    </row>
    <row r="142" spans="1:7" x14ac:dyDescent="0.3">
      <c r="A142" s="63" t="s">
        <v>56</v>
      </c>
      <c r="B142" s="120">
        <v>2</v>
      </c>
      <c r="C142" s="120">
        <v>5</v>
      </c>
      <c r="D142" s="120">
        <v>10000</v>
      </c>
      <c r="E142" s="120">
        <v>10455</v>
      </c>
      <c r="F142" s="98">
        <v>10227.5</v>
      </c>
      <c r="G142" s="80">
        <f t="shared" si="4"/>
        <v>2168208.5089711198</v>
      </c>
    </row>
    <row r="143" spans="1:7" ht="15" thickBot="1" x14ac:dyDescent="0.35">
      <c r="A143" s="123" t="s">
        <v>56</v>
      </c>
      <c r="B143" s="103">
        <v>1</v>
      </c>
      <c r="C143" s="103">
        <v>2</v>
      </c>
      <c r="D143" s="103">
        <v>1200</v>
      </c>
      <c r="E143" s="103">
        <v>3230</v>
      </c>
      <c r="F143" s="130">
        <v>2215</v>
      </c>
      <c r="G143" s="111">
        <f t="shared" si="4"/>
        <v>562369.55681467301</v>
      </c>
    </row>
    <row r="144" spans="1:7" ht="15" thickBot="1" x14ac:dyDescent="0.35">
      <c r="A144" s="62" t="s">
        <v>58</v>
      </c>
      <c r="B144" s="79">
        <v>1</v>
      </c>
      <c r="C144" s="79">
        <v>4</v>
      </c>
      <c r="D144" s="79">
        <v>25000</v>
      </c>
      <c r="E144" s="79">
        <v>12670</v>
      </c>
      <c r="F144" s="76">
        <v>18835</v>
      </c>
      <c r="G144" s="59">
        <f t="shared" si="4"/>
        <v>2641728.6880839989</v>
      </c>
    </row>
    <row r="145" spans="1:11" x14ac:dyDescent="0.3">
      <c r="A145" s="99" t="s">
        <v>59</v>
      </c>
      <c r="B145" s="81">
        <v>1</v>
      </c>
      <c r="C145" s="81">
        <v>5</v>
      </c>
      <c r="D145" s="81">
        <v>125000</v>
      </c>
      <c r="E145" s="81">
        <v>89408</v>
      </c>
      <c r="F145" s="57">
        <v>107204</v>
      </c>
      <c r="G145" s="125">
        <f t="shared" si="4"/>
        <v>10225632.408215404</v>
      </c>
    </row>
    <row r="146" spans="1:11" x14ac:dyDescent="0.3">
      <c r="A146" s="63" t="s">
        <v>59</v>
      </c>
      <c r="B146" s="120">
        <v>2</v>
      </c>
      <c r="C146" s="120">
        <v>5</v>
      </c>
      <c r="D146" s="120">
        <v>30000</v>
      </c>
      <c r="E146" s="120">
        <v>15599</v>
      </c>
      <c r="F146" s="98">
        <v>22799.5</v>
      </c>
      <c r="G146" s="80">
        <f t="shared" si="4"/>
        <v>3739188.6853411868</v>
      </c>
    </row>
    <row r="147" spans="1:11" x14ac:dyDescent="0.3">
      <c r="A147" s="63" t="s">
        <v>59</v>
      </c>
      <c r="B147" s="120">
        <v>1</v>
      </c>
      <c r="C147" s="120">
        <v>5</v>
      </c>
      <c r="D147" s="120">
        <v>27500</v>
      </c>
      <c r="E147" s="120">
        <v>4901</v>
      </c>
      <c r="F147" s="98">
        <v>16200.5</v>
      </c>
      <c r="G147" s="80">
        <f t="shared" si="4"/>
        <v>2830024.299007968</v>
      </c>
    </row>
    <row r="148" spans="1:11" x14ac:dyDescent="0.3">
      <c r="A148" s="63" t="s">
        <v>59</v>
      </c>
      <c r="B148" s="120">
        <v>1</v>
      </c>
      <c r="C148" s="120">
        <v>5</v>
      </c>
      <c r="D148" s="120">
        <v>8200</v>
      </c>
      <c r="E148" s="120">
        <v>14108</v>
      </c>
      <c r="F148" s="98">
        <v>11154</v>
      </c>
      <c r="G148" s="80">
        <f t="shared" si="4"/>
        <v>2195816.7557143555</v>
      </c>
    </row>
    <row r="149" spans="1:11" x14ac:dyDescent="0.3">
      <c r="A149" s="63" t="s">
        <v>59</v>
      </c>
      <c r="B149" s="120">
        <v>1</v>
      </c>
      <c r="C149" s="120">
        <v>5</v>
      </c>
      <c r="D149" s="120">
        <v>3400</v>
      </c>
      <c r="E149" s="120">
        <v>1331</v>
      </c>
      <c r="F149" s="98">
        <v>2365.5</v>
      </c>
      <c r="G149" s="80">
        <f t="shared" si="4"/>
        <v>765148.21353851096</v>
      </c>
    </row>
    <row r="150" spans="1:11" s="146" customFormat="1" x14ac:dyDescent="0.3">
      <c r="A150" s="63" t="s">
        <v>59</v>
      </c>
      <c r="B150" s="120">
        <v>1</v>
      </c>
      <c r="C150" s="120">
        <v>4</v>
      </c>
      <c r="D150" s="120">
        <v>1000</v>
      </c>
      <c r="E150" s="120">
        <v>269</v>
      </c>
      <c r="F150" s="98">
        <v>634.5</v>
      </c>
      <c r="G150" s="80">
        <f t="shared" si="4"/>
        <v>263547.9246007945</v>
      </c>
      <c r="H150" s="107"/>
      <c r="I150" s="67"/>
      <c r="J150" s="129"/>
      <c r="K150" s="129"/>
    </row>
    <row r="151" spans="1:11" x14ac:dyDescent="0.3">
      <c r="A151" s="63" t="s">
        <v>59</v>
      </c>
      <c r="B151" s="120">
        <v>1</v>
      </c>
      <c r="C151" s="120">
        <v>4</v>
      </c>
      <c r="D151" s="120">
        <v>850</v>
      </c>
      <c r="E151" s="120">
        <v>416</v>
      </c>
      <c r="F151" s="98">
        <v>633</v>
      </c>
      <c r="G151" s="80">
        <f t="shared" si="4"/>
        <v>263124.21831362939</v>
      </c>
    </row>
    <row r="152" spans="1:11" ht="15" thickBot="1" x14ac:dyDescent="0.35">
      <c r="A152" s="123" t="s">
        <v>59</v>
      </c>
      <c r="B152" s="103">
        <v>1</v>
      </c>
      <c r="C152" s="103">
        <v>4</v>
      </c>
      <c r="D152" s="103">
        <v>20000</v>
      </c>
      <c r="E152" s="103">
        <v>2644</v>
      </c>
      <c r="F152" s="130">
        <v>11322</v>
      </c>
      <c r="G152" s="111">
        <f t="shared" si="4"/>
        <v>1869061.2715833022</v>
      </c>
    </row>
    <row r="153" spans="1:11" x14ac:dyDescent="0.3">
      <c r="A153" s="99" t="s">
        <v>60</v>
      </c>
      <c r="B153" s="102">
        <v>2</v>
      </c>
      <c r="C153" s="81">
        <v>5</v>
      </c>
      <c r="D153" s="102">
        <v>100000</v>
      </c>
      <c r="E153" s="102">
        <v>64456</v>
      </c>
      <c r="F153" s="57">
        <v>82228</v>
      </c>
      <c r="G153" s="125">
        <f t="shared" si="4"/>
        <v>8943142.6253967043</v>
      </c>
    </row>
    <row r="154" spans="1:11" x14ac:dyDescent="0.3">
      <c r="A154" s="63" t="s">
        <v>60</v>
      </c>
      <c r="B154" s="120">
        <v>1</v>
      </c>
      <c r="C154" s="113">
        <v>5</v>
      </c>
      <c r="D154" s="113">
        <v>10000</v>
      </c>
      <c r="E154" s="113">
        <v>5931</v>
      </c>
      <c r="F154" s="98">
        <v>7965.5</v>
      </c>
      <c r="G154" s="80">
        <f t="shared" si="4"/>
        <v>1746615.7477119605</v>
      </c>
    </row>
    <row r="155" spans="1:11" x14ac:dyDescent="0.3">
      <c r="A155" s="63" t="s">
        <v>60</v>
      </c>
      <c r="B155" s="120">
        <v>2</v>
      </c>
      <c r="C155" s="120">
        <v>5</v>
      </c>
      <c r="D155" s="113">
        <v>600</v>
      </c>
      <c r="E155" s="113">
        <v>607</v>
      </c>
      <c r="F155" s="98">
        <v>603.5</v>
      </c>
      <c r="G155" s="80">
        <f t="shared" si="4"/>
        <v>316638.81937398255</v>
      </c>
    </row>
    <row r="156" spans="1:11" x14ac:dyDescent="0.3">
      <c r="A156" s="63" t="s">
        <v>60</v>
      </c>
      <c r="B156" s="120">
        <v>1</v>
      </c>
      <c r="C156" s="120">
        <v>3</v>
      </c>
      <c r="D156" s="113">
        <v>435</v>
      </c>
      <c r="E156" s="113">
        <v>67</v>
      </c>
      <c r="F156" s="98">
        <v>251</v>
      </c>
      <c r="G156" s="80">
        <f t="shared" si="4"/>
        <v>133212.71233828695</v>
      </c>
    </row>
    <row r="157" spans="1:11" x14ac:dyDescent="0.3">
      <c r="A157" s="63" t="s">
        <v>60</v>
      </c>
      <c r="B157" s="120">
        <v>1</v>
      </c>
      <c r="C157" s="120">
        <v>3</v>
      </c>
      <c r="D157" s="113">
        <v>145</v>
      </c>
      <c r="E157" s="113">
        <v>89</v>
      </c>
      <c r="F157" s="98">
        <v>117</v>
      </c>
      <c r="G157" s="80">
        <f t="shared" si="4"/>
        <v>79286.678381291611</v>
      </c>
    </row>
    <row r="158" spans="1:11" x14ac:dyDescent="0.3">
      <c r="A158" s="63" t="s">
        <v>60</v>
      </c>
      <c r="B158" s="120">
        <v>1</v>
      </c>
      <c r="C158" s="120">
        <v>3</v>
      </c>
      <c r="D158" s="113">
        <v>120</v>
      </c>
      <c r="E158" s="113">
        <v>60</v>
      </c>
      <c r="F158" s="98">
        <v>90</v>
      </c>
      <c r="G158" s="80">
        <f t="shared" si="4"/>
        <v>66334.816652127629</v>
      </c>
    </row>
    <row r="159" spans="1:11" x14ac:dyDescent="0.3">
      <c r="A159" s="63" t="s">
        <v>60</v>
      </c>
      <c r="B159" s="113">
        <v>1</v>
      </c>
      <c r="C159" s="113">
        <v>3</v>
      </c>
      <c r="D159" s="113">
        <v>150</v>
      </c>
      <c r="E159" s="113">
        <v>67</v>
      </c>
      <c r="F159" s="98">
        <v>108.5</v>
      </c>
      <c r="G159" s="80">
        <f t="shared" si="4"/>
        <v>75323.867578601712</v>
      </c>
    </row>
    <row r="160" spans="1:11" x14ac:dyDescent="0.3">
      <c r="A160" s="63" t="s">
        <v>60</v>
      </c>
      <c r="B160" s="120">
        <v>1</v>
      </c>
      <c r="C160" s="120">
        <v>3</v>
      </c>
      <c r="D160" s="113">
        <v>40</v>
      </c>
      <c r="E160" s="113">
        <v>23</v>
      </c>
      <c r="F160" s="98">
        <v>31.5</v>
      </c>
      <c r="G160" s="80">
        <f t="shared" si="4"/>
        <v>32493.686767618499</v>
      </c>
    </row>
    <row r="161" spans="1:7" ht="15" thickBot="1" x14ac:dyDescent="0.35">
      <c r="A161" s="123" t="s">
        <v>60</v>
      </c>
      <c r="B161" s="103">
        <v>1</v>
      </c>
      <c r="C161" s="103">
        <v>3</v>
      </c>
      <c r="D161" s="85">
        <v>50</v>
      </c>
      <c r="E161" s="85">
        <v>8</v>
      </c>
      <c r="F161" s="130">
        <v>29</v>
      </c>
      <c r="G161" s="111">
        <f t="shared" si="4"/>
        <v>30717.483534531508</v>
      </c>
    </row>
    <row r="162" spans="1:7" x14ac:dyDescent="0.3">
      <c r="A162" s="99" t="s">
        <v>99</v>
      </c>
      <c r="B162" s="81">
        <v>1</v>
      </c>
      <c r="C162" s="81">
        <v>5</v>
      </c>
      <c r="D162" s="81">
        <v>15800</v>
      </c>
      <c r="E162" s="81">
        <v>6322</v>
      </c>
      <c r="F162" s="57">
        <v>11061</v>
      </c>
      <c r="G162" s="125">
        <f t="shared" si="4"/>
        <v>2183354.0871809968</v>
      </c>
    </row>
    <row r="163" spans="1:7" x14ac:dyDescent="0.3">
      <c r="A163" s="63" t="s">
        <v>99</v>
      </c>
      <c r="B163" s="120">
        <v>1</v>
      </c>
      <c r="C163" s="120">
        <v>3</v>
      </c>
      <c r="D163" s="120">
        <v>1000</v>
      </c>
      <c r="E163" s="120">
        <v>560</v>
      </c>
      <c r="F163" s="98">
        <v>780</v>
      </c>
      <c r="G163" s="80">
        <f t="shared" si="4"/>
        <v>287934.28876917256</v>
      </c>
    </row>
    <row r="164" spans="1:7" x14ac:dyDescent="0.3">
      <c r="A164" s="63" t="s">
        <v>99</v>
      </c>
      <c r="B164" s="120">
        <v>2</v>
      </c>
      <c r="C164" s="120">
        <v>3</v>
      </c>
      <c r="D164" s="120">
        <v>4000</v>
      </c>
      <c r="E164" s="120">
        <v>3094</v>
      </c>
      <c r="F164" s="98">
        <v>3547</v>
      </c>
      <c r="G164" s="80">
        <f t="shared" si="4"/>
        <v>806200.58899200358</v>
      </c>
    </row>
    <row r="165" spans="1:7" x14ac:dyDescent="0.3">
      <c r="A165" s="63" t="s">
        <v>99</v>
      </c>
      <c r="B165" s="120">
        <v>1</v>
      </c>
      <c r="C165" s="120">
        <v>3</v>
      </c>
      <c r="D165" s="120">
        <v>250</v>
      </c>
      <c r="E165" s="120">
        <v>140</v>
      </c>
      <c r="F165" s="98">
        <v>195</v>
      </c>
      <c r="G165" s="80">
        <f t="shared" si="4"/>
        <v>112205.20511561885</v>
      </c>
    </row>
    <row r="166" spans="1:7" x14ac:dyDescent="0.3">
      <c r="A166" s="63" t="s">
        <v>99</v>
      </c>
      <c r="B166" s="120">
        <v>1</v>
      </c>
      <c r="C166" s="120">
        <v>1</v>
      </c>
      <c r="D166" s="120">
        <v>400</v>
      </c>
      <c r="E166" s="120">
        <v>536</v>
      </c>
      <c r="F166" s="98">
        <v>468</v>
      </c>
      <c r="G166" s="80">
        <f t="shared" si="4"/>
        <v>103375.50585518563</v>
      </c>
    </row>
    <row r="167" spans="1:7" x14ac:dyDescent="0.3">
      <c r="A167" s="63" t="s">
        <v>99</v>
      </c>
      <c r="B167" s="120">
        <v>1</v>
      </c>
      <c r="C167" s="120">
        <v>3</v>
      </c>
      <c r="D167" s="120">
        <v>110</v>
      </c>
      <c r="E167" s="120">
        <v>15</v>
      </c>
      <c r="F167" s="98">
        <v>62.5</v>
      </c>
      <c r="G167" s="80">
        <f t="shared" si="4"/>
        <v>51771.018733112884</v>
      </c>
    </row>
    <row r="168" spans="1:7" x14ac:dyDescent="0.3">
      <c r="A168" s="63" t="s">
        <v>99</v>
      </c>
      <c r="B168" s="120">
        <v>1</v>
      </c>
      <c r="C168" s="120">
        <v>3</v>
      </c>
      <c r="D168" s="120">
        <v>225</v>
      </c>
      <c r="E168" s="120">
        <v>28</v>
      </c>
      <c r="F168" s="98">
        <v>126.5</v>
      </c>
      <c r="G168" s="80">
        <f t="shared" si="4"/>
        <v>83608.150102064625</v>
      </c>
    </row>
    <row r="169" spans="1:7" x14ac:dyDescent="0.3">
      <c r="A169" s="63" t="s">
        <v>99</v>
      </c>
      <c r="B169" s="120">
        <v>1</v>
      </c>
      <c r="C169" s="120">
        <v>3</v>
      </c>
      <c r="D169" s="120">
        <v>526</v>
      </c>
      <c r="E169" s="120">
        <v>301</v>
      </c>
      <c r="F169" s="98">
        <v>413.5</v>
      </c>
      <c r="G169" s="80">
        <f t="shared" si="4"/>
        <v>187037.00067200803</v>
      </c>
    </row>
    <row r="170" spans="1:7" x14ac:dyDescent="0.3">
      <c r="A170" s="63" t="s">
        <v>99</v>
      </c>
      <c r="B170" s="120">
        <v>1</v>
      </c>
      <c r="C170" s="120">
        <v>3</v>
      </c>
      <c r="D170" s="120">
        <v>140</v>
      </c>
      <c r="E170" s="120">
        <v>68</v>
      </c>
      <c r="F170" s="98">
        <v>104</v>
      </c>
      <c r="G170" s="80">
        <f t="shared" si="4"/>
        <v>73185.785631002</v>
      </c>
    </row>
    <row r="171" spans="1:7" x14ac:dyDescent="0.3">
      <c r="A171" s="63" t="s">
        <v>99</v>
      </c>
      <c r="B171" s="120">
        <v>1</v>
      </c>
      <c r="C171" s="120">
        <v>1</v>
      </c>
      <c r="D171" s="120">
        <v>225</v>
      </c>
      <c r="E171" s="120">
        <v>8</v>
      </c>
      <c r="F171" s="98">
        <v>116.5</v>
      </c>
      <c r="G171" s="80">
        <f t="shared" si="4"/>
        <v>40167.322284135407</v>
      </c>
    </row>
    <row r="172" spans="1:7" x14ac:dyDescent="0.3">
      <c r="A172" s="63" t="s">
        <v>99</v>
      </c>
      <c r="B172" s="120">
        <v>1</v>
      </c>
      <c r="C172" s="120">
        <v>1</v>
      </c>
      <c r="D172" s="120">
        <v>240</v>
      </c>
      <c r="E172" s="120">
        <v>7</v>
      </c>
      <c r="F172" s="98">
        <v>123.5</v>
      </c>
      <c r="G172" s="80">
        <f t="shared" si="4"/>
        <v>41792.631206384103</v>
      </c>
    </row>
    <row r="173" spans="1:7" x14ac:dyDescent="0.3">
      <c r="A173" s="63" t="s">
        <v>99</v>
      </c>
      <c r="B173" s="120">
        <v>1</v>
      </c>
      <c r="C173" s="120">
        <v>1</v>
      </c>
      <c r="D173" s="120">
        <v>40</v>
      </c>
      <c r="E173" s="120">
        <v>20</v>
      </c>
      <c r="F173" s="98">
        <v>30</v>
      </c>
      <c r="G173" s="80">
        <f t="shared" si="4"/>
        <v>15970.979262411765</v>
      </c>
    </row>
    <row r="174" spans="1:7" x14ac:dyDescent="0.3">
      <c r="A174" s="63" t="s">
        <v>99</v>
      </c>
      <c r="B174" s="120">
        <v>1</v>
      </c>
      <c r="C174" s="120">
        <v>1</v>
      </c>
      <c r="D174" s="120">
        <v>80</v>
      </c>
      <c r="E174" s="120">
        <v>80</v>
      </c>
      <c r="F174" s="98">
        <v>80</v>
      </c>
      <c r="G174" s="80">
        <f t="shared" si="4"/>
        <v>31110.363818285037</v>
      </c>
    </row>
    <row r="175" spans="1:7" x14ac:dyDescent="0.3">
      <c r="A175" s="63" t="s">
        <v>99</v>
      </c>
      <c r="B175" s="120">
        <v>1</v>
      </c>
      <c r="C175" s="120">
        <v>3</v>
      </c>
      <c r="D175" s="120">
        <v>600</v>
      </c>
      <c r="E175" s="120">
        <v>110</v>
      </c>
      <c r="F175" s="98">
        <v>355</v>
      </c>
      <c r="G175" s="80">
        <f t="shared" si="4"/>
        <v>168613.64218415201</v>
      </c>
    </row>
    <row r="176" spans="1:7" x14ac:dyDescent="0.3">
      <c r="A176" s="63" t="s">
        <v>99</v>
      </c>
      <c r="B176" s="120">
        <v>1</v>
      </c>
      <c r="C176" s="120">
        <v>3</v>
      </c>
      <c r="D176" s="120">
        <v>2000</v>
      </c>
      <c r="E176" s="120">
        <v>1232</v>
      </c>
      <c r="F176" s="98">
        <v>1616</v>
      </c>
      <c r="G176" s="80">
        <f t="shared" si="4"/>
        <v>472439.18243826088</v>
      </c>
    </row>
    <row r="177" spans="1:7" x14ac:dyDescent="0.3">
      <c r="A177" s="63" t="s">
        <v>99</v>
      </c>
      <c r="B177" s="120">
        <v>1</v>
      </c>
      <c r="C177" s="120">
        <v>3</v>
      </c>
      <c r="D177" s="120">
        <v>1500</v>
      </c>
      <c r="E177" s="120">
        <v>1615</v>
      </c>
      <c r="F177" s="98">
        <v>1557.5</v>
      </c>
      <c r="G177" s="80">
        <f t="shared" si="4"/>
        <v>460744.4019010255</v>
      </c>
    </row>
    <row r="178" spans="1:7" x14ac:dyDescent="0.3">
      <c r="A178" s="63" t="s">
        <v>99</v>
      </c>
      <c r="B178" s="120">
        <v>2</v>
      </c>
      <c r="C178" s="120">
        <v>4</v>
      </c>
      <c r="D178" s="120">
        <v>4500</v>
      </c>
      <c r="E178" s="120">
        <v>5267</v>
      </c>
      <c r="F178" s="98">
        <v>4883.5</v>
      </c>
      <c r="G178" s="80">
        <f t="shared" si="4"/>
        <v>1055275.9614205083</v>
      </c>
    </row>
    <row r="179" spans="1:7" x14ac:dyDescent="0.3">
      <c r="A179" s="63" t="s">
        <v>99</v>
      </c>
      <c r="B179" s="120">
        <v>1</v>
      </c>
      <c r="C179" s="120">
        <v>1</v>
      </c>
      <c r="D179" s="120">
        <v>50</v>
      </c>
      <c r="E179" s="120">
        <v>42</v>
      </c>
      <c r="F179" s="98">
        <v>46</v>
      </c>
      <c r="G179" s="80">
        <f t="shared" si="4"/>
        <v>21356.362838575846</v>
      </c>
    </row>
    <row r="180" spans="1:7" x14ac:dyDescent="0.3">
      <c r="A180" s="63" t="s">
        <v>99</v>
      </c>
      <c r="B180" s="120">
        <v>1</v>
      </c>
      <c r="C180" s="120">
        <v>1</v>
      </c>
      <c r="D180" s="120">
        <v>60</v>
      </c>
      <c r="E180" s="120">
        <v>48</v>
      </c>
      <c r="F180" s="98">
        <v>54</v>
      </c>
      <c r="G180" s="80">
        <f t="shared" si="4"/>
        <v>23815.834010384351</v>
      </c>
    </row>
    <row r="181" spans="1:7" x14ac:dyDescent="0.3">
      <c r="A181" s="63" t="s">
        <v>99</v>
      </c>
      <c r="B181" s="120">
        <v>2</v>
      </c>
      <c r="C181" s="120">
        <v>4</v>
      </c>
      <c r="D181" s="120">
        <v>900</v>
      </c>
      <c r="E181" s="120">
        <v>612</v>
      </c>
      <c r="F181" s="98">
        <v>756</v>
      </c>
      <c r="G181" s="80">
        <f t="shared" si="4"/>
        <v>296883.25128533936</v>
      </c>
    </row>
    <row r="182" spans="1:7" x14ac:dyDescent="0.3">
      <c r="A182" s="63" t="s">
        <v>99</v>
      </c>
      <c r="B182" s="120">
        <v>1</v>
      </c>
      <c r="C182" s="120">
        <v>1</v>
      </c>
      <c r="D182" s="120">
        <v>70</v>
      </c>
      <c r="E182" s="120">
        <v>30</v>
      </c>
      <c r="F182" s="98">
        <v>50</v>
      </c>
      <c r="G182" s="80">
        <f t="shared" si="4"/>
        <v>22601.867559873106</v>
      </c>
    </row>
    <row r="183" spans="1:7" x14ac:dyDescent="0.3">
      <c r="A183" s="63" t="s">
        <v>99</v>
      </c>
      <c r="B183" s="120">
        <v>1</v>
      </c>
      <c r="C183" s="120">
        <v>1</v>
      </c>
      <c r="D183" s="120">
        <v>30</v>
      </c>
      <c r="E183" s="120">
        <v>20</v>
      </c>
      <c r="F183" s="98">
        <v>25</v>
      </c>
      <c r="G183" s="80">
        <f t="shared" si="4"/>
        <v>14109.256691337609</v>
      </c>
    </row>
    <row r="184" spans="1:7" x14ac:dyDescent="0.3">
      <c r="A184" s="63" t="s">
        <v>99</v>
      </c>
      <c r="B184" s="120">
        <v>1</v>
      </c>
      <c r="C184" s="120">
        <v>1</v>
      </c>
      <c r="D184" s="120">
        <v>300</v>
      </c>
      <c r="E184" s="120">
        <v>45</v>
      </c>
      <c r="F184" s="98">
        <v>172.5</v>
      </c>
      <c r="G184" s="80">
        <f t="shared" si="4"/>
        <v>52450.996857265542</v>
      </c>
    </row>
    <row r="185" spans="1:7" x14ac:dyDescent="0.3">
      <c r="A185" s="63" t="s">
        <v>99</v>
      </c>
      <c r="B185" s="120">
        <v>1</v>
      </c>
      <c r="C185" s="120">
        <v>1</v>
      </c>
      <c r="D185" s="120">
        <v>45</v>
      </c>
      <c r="E185" s="120">
        <v>30</v>
      </c>
      <c r="F185" s="98">
        <v>37.5</v>
      </c>
      <c r="G185" s="80">
        <f t="shared" si="4"/>
        <v>18587.071630306044</v>
      </c>
    </row>
    <row r="186" spans="1:7" x14ac:dyDescent="0.3">
      <c r="A186" s="63" t="s">
        <v>99</v>
      </c>
      <c r="B186" s="120">
        <v>1</v>
      </c>
      <c r="C186" s="120">
        <v>1</v>
      </c>
      <c r="D186" s="120">
        <v>80</v>
      </c>
      <c r="E186" s="120">
        <v>50</v>
      </c>
      <c r="F186" s="98">
        <v>65</v>
      </c>
      <c r="G186" s="80">
        <f t="shared" si="4"/>
        <v>27014.878377277142</v>
      </c>
    </row>
    <row r="187" spans="1:7" x14ac:dyDescent="0.3">
      <c r="A187" s="63" t="s">
        <v>99</v>
      </c>
      <c r="B187" s="120">
        <v>1</v>
      </c>
      <c r="C187" s="120">
        <v>1</v>
      </c>
      <c r="D187" s="120">
        <v>50</v>
      </c>
      <c r="E187" s="120">
        <v>35</v>
      </c>
      <c r="F187" s="98">
        <v>42.5</v>
      </c>
      <c r="G187" s="80">
        <f t="shared" si="4"/>
        <v>20237.800548947533</v>
      </c>
    </row>
    <row r="188" spans="1:7" x14ac:dyDescent="0.3">
      <c r="A188" s="63" t="s">
        <v>99</v>
      </c>
      <c r="B188" s="120">
        <v>1</v>
      </c>
      <c r="C188" s="120">
        <v>3</v>
      </c>
      <c r="D188" s="120">
        <v>132</v>
      </c>
      <c r="E188" s="120">
        <v>122</v>
      </c>
      <c r="F188" s="98">
        <v>127</v>
      </c>
      <c r="G188" s="80">
        <f t="shared" si="4"/>
        <v>83832.65965209296</v>
      </c>
    </row>
    <row r="189" spans="1:7" x14ac:dyDescent="0.3">
      <c r="A189" s="63" t="s">
        <v>99</v>
      </c>
      <c r="B189" s="120">
        <v>2</v>
      </c>
      <c r="C189" s="120">
        <v>5</v>
      </c>
      <c r="D189" s="120">
        <v>33000</v>
      </c>
      <c r="E189" s="120">
        <v>12240</v>
      </c>
      <c r="F189" s="98">
        <v>22620</v>
      </c>
      <c r="G189" s="80">
        <f t="shared" si="4"/>
        <v>3719151.0420102379</v>
      </c>
    </row>
    <row r="190" spans="1:7" x14ac:dyDescent="0.3">
      <c r="A190" s="63" t="s">
        <v>99</v>
      </c>
      <c r="B190" s="120">
        <v>2</v>
      </c>
      <c r="C190" s="120">
        <v>3</v>
      </c>
      <c r="D190" s="120">
        <v>4900</v>
      </c>
      <c r="E190" s="120">
        <v>3300</v>
      </c>
      <c r="F190" s="98">
        <v>4100</v>
      </c>
      <c r="G190" s="80">
        <f t="shared" si="4"/>
        <v>889647.45554517733</v>
      </c>
    </row>
    <row r="191" spans="1:7" x14ac:dyDescent="0.3">
      <c r="A191" s="63" t="s">
        <v>99</v>
      </c>
      <c r="B191" s="120">
        <v>1</v>
      </c>
      <c r="C191" s="120">
        <v>1</v>
      </c>
      <c r="D191" s="120">
        <v>35</v>
      </c>
      <c r="E191" s="120">
        <v>28</v>
      </c>
      <c r="F191" s="98">
        <v>31.5</v>
      </c>
      <c r="G191" s="80">
        <f t="shared" si="4"/>
        <v>16509.580236786071</v>
      </c>
    </row>
    <row r="192" spans="1:7" x14ac:dyDescent="0.3">
      <c r="A192" s="63" t="s">
        <v>99</v>
      </c>
      <c r="B192" s="120">
        <v>2</v>
      </c>
      <c r="C192" s="120">
        <v>3</v>
      </c>
      <c r="D192" s="120">
        <v>1700</v>
      </c>
      <c r="E192" s="120">
        <v>627</v>
      </c>
      <c r="F192" s="98">
        <v>1163.5</v>
      </c>
      <c r="G192" s="80">
        <f t="shared" si="4"/>
        <v>377881.3563169266</v>
      </c>
    </row>
    <row r="193" spans="1:7" x14ac:dyDescent="0.3">
      <c r="A193" s="63" t="s">
        <v>99</v>
      </c>
      <c r="B193" s="120">
        <v>1</v>
      </c>
      <c r="C193" s="120">
        <v>1</v>
      </c>
      <c r="D193" s="120">
        <v>120</v>
      </c>
      <c r="E193" s="120">
        <v>10</v>
      </c>
      <c r="F193" s="98">
        <v>65</v>
      </c>
      <c r="G193" s="80">
        <f t="shared" si="4"/>
        <v>27014.878377277142</v>
      </c>
    </row>
    <row r="194" spans="1:7" x14ac:dyDescent="0.3">
      <c r="A194" s="63" t="s">
        <v>99</v>
      </c>
      <c r="B194" s="120">
        <v>1</v>
      </c>
      <c r="C194" s="120">
        <v>1</v>
      </c>
      <c r="D194" s="120">
        <v>60</v>
      </c>
      <c r="E194" s="120">
        <v>48</v>
      </c>
      <c r="F194" s="98">
        <v>54</v>
      </c>
      <c r="G194" s="80">
        <f t="shared" si="4"/>
        <v>23815.834010384351</v>
      </c>
    </row>
    <row r="195" spans="1:7" x14ac:dyDescent="0.3">
      <c r="A195" s="63" t="s">
        <v>99</v>
      </c>
      <c r="B195" s="120">
        <v>1</v>
      </c>
      <c r="C195" s="120">
        <v>1</v>
      </c>
      <c r="D195" s="120">
        <v>85</v>
      </c>
      <c r="E195" s="120">
        <v>48</v>
      </c>
      <c r="F195" s="98">
        <v>66.5</v>
      </c>
      <c r="G195" s="80">
        <f t="shared" si="4"/>
        <v>27437.129386405377</v>
      </c>
    </row>
    <row r="196" spans="1:7" x14ac:dyDescent="0.3">
      <c r="A196" s="63" t="s">
        <v>99</v>
      </c>
      <c r="B196" s="120">
        <v>1</v>
      </c>
      <c r="C196" s="120">
        <v>3</v>
      </c>
      <c r="D196" s="120">
        <v>165</v>
      </c>
      <c r="E196" s="120">
        <v>156</v>
      </c>
      <c r="F196" s="98">
        <v>160.5</v>
      </c>
      <c r="G196" s="80">
        <f t="shared" si="4"/>
        <v>98294.542389211652</v>
      </c>
    </row>
    <row r="197" spans="1:7" x14ac:dyDescent="0.3">
      <c r="A197" s="63" t="s">
        <v>99</v>
      </c>
      <c r="B197" s="120">
        <v>1</v>
      </c>
      <c r="C197" s="120">
        <v>1</v>
      </c>
      <c r="D197" s="120">
        <v>65</v>
      </c>
      <c r="E197" s="120">
        <v>65</v>
      </c>
      <c r="F197" s="98">
        <v>65</v>
      </c>
      <c r="G197" s="80">
        <f t="shared" ref="G197:G260" si="5">IF(C197=1,1581.92*(F197^0.6798),IF(C197=2,2991.14*(F197^0.6798),IF(C197=3,3113.49*(F197^0.6798),IF(C197=4,3279.19*(F197^0.6798),IF(C197=5, IF(B197=1,3891.82*(F197^0.6798),IF(B197=2,4076.24*(F197^0.6798),0)),0)))))</f>
        <v>27014.878377277142</v>
      </c>
    </row>
    <row r="198" spans="1:7" x14ac:dyDescent="0.3">
      <c r="A198" s="63" t="s">
        <v>99</v>
      </c>
      <c r="B198" s="120">
        <v>1</v>
      </c>
      <c r="C198" s="120">
        <v>1</v>
      </c>
      <c r="D198" s="120">
        <v>65</v>
      </c>
      <c r="E198" s="120">
        <v>65</v>
      </c>
      <c r="F198" s="98">
        <v>65</v>
      </c>
      <c r="G198" s="80">
        <f t="shared" si="5"/>
        <v>27014.878377277142</v>
      </c>
    </row>
    <row r="199" spans="1:7" x14ac:dyDescent="0.3">
      <c r="A199" s="63" t="s">
        <v>99</v>
      </c>
      <c r="B199" s="120">
        <v>1</v>
      </c>
      <c r="C199" s="120">
        <v>1</v>
      </c>
      <c r="D199" s="120">
        <v>85</v>
      </c>
      <c r="E199" s="120">
        <v>30</v>
      </c>
      <c r="F199" s="98">
        <v>57.5</v>
      </c>
      <c r="G199" s="80">
        <f t="shared" si="5"/>
        <v>24854.596535458284</v>
      </c>
    </row>
    <row r="200" spans="1:7" x14ac:dyDescent="0.3">
      <c r="A200" s="63" t="s">
        <v>99</v>
      </c>
      <c r="B200" s="120">
        <v>1</v>
      </c>
      <c r="C200" s="120">
        <v>1</v>
      </c>
      <c r="D200" s="120">
        <v>200</v>
      </c>
      <c r="E200" s="120">
        <v>130</v>
      </c>
      <c r="F200" s="98">
        <v>165</v>
      </c>
      <c r="G200" s="80">
        <f t="shared" si="5"/>
        <v>50889.724773556147</v>
      </c>
    </row>
    <row r="201" spans="1:7" x14ac:dyDescent="0.3">
      <c r="A201" s="63" t="s">
        <v>99</v>
      </c>
      <c r="B201" s="120">
        <v>1</v>
      </c>
      <c r="C201" s="120">
        <v>1</v>
      </c>
      <c r="D201" s="120">
        <v>200</v>
      </c>
      <c r="E201" s="120">
        <v>125</v>
      </c>
      <c r="F201" s="98">
        <v>162.5</v>
      </c>
      <c r="G201" s="80">
        <f t="shared" si="5"/>
        <v>50364.280560007697</v>
      </c>
    </row>
    <row r="202" spans="1:7" x14ac:dyDescent="0.3">
      <c r="A202" s="63" t="s">
        <v>99</v>
      </c>
      <c r="B202" s="120">
        <v>2</v>
      </c>
      <c r="C202" s="120">
        <v>5</v>
      </c>
      <c r="D202" s="120">
        <v>750</v>
      </c>
      <c r="E202" s="120">
        <v>610</v>
      </c>
      <c r="F202" s="98">
        <v>680</v>
      </c>
      <c r="G202" s="80">
        <f t="shared" si="5"/>
        <v>343399.22069437505</v>
      </c>
    </row>
    <row r="203" spans="1:7" x14ac:dyDescent="0.3">
      <c r="A203" s="63" t="s">
        <v>99</v>
      </c>
      <c r="B203" s="120">
        <v>1</v>
      </c>
      <c r="C203" s="120">
        <v>2</v>
      </c>
      <c r="D203" s="120">
        <v>200</v>
      </c>
      <c r="E203" s="120">
        <v>120</v>
      </c>
      <c r="F203" s="98">
        <v>160</v>
      </c>
      <c r="G203" s="80">
        <f t="shared" si="5"/>
        <v>94231.80386381541</v>
      </c>
    </row>
    <row r="204" spans="1:7" x14ac:dyDescent="0.3">
      <c r="A204" s="63" t="s">
        <v>99</v>
      </c>
      <c r="B204" s="120">
        <v>1</v>
      </c>
      <c r="C204" s="120">
        <v>2</v>
      </c>
      <c r="D204" s="120">
        <v>560</v>
      </c>
      <c r="E204" s="120">
        <v>136</v>
      </c>
      <c r="F204" s="98">
        <v>348</v>
      </c>
      <c r="G204" s="80">
        <f t="shared" si="5"/>
        <v>159809.3962060388</v>
      </c>
    </row>
    <row r="205" spans="1:7" x14ac:dyDescent="0.3">
      <c r="A205" s="63" t="s">
        <v>99</v>
      </c>
      <c r="B205" s="120">
        <v>1</v>
      </c>
      <c r="C205" s="120">
        <v>1</v>
      </c>
      <c r="D205" s="120">
        <v>450</v>
      </c>
      <c r="E205" s="120">
        <v>382</v>
      </c>
      <c r="F205" s="98">
        <v>416</v>
      </c>
      <c r="G205" s="80">
        <f t="shared" si="5"/>
        <v>95421.04380550237</v>
      </c>
    </row>
    <row r="206" spans="1:7" x14ac:dyDescent="0.3">
      <c r="A206" s="63" t="s">
        <v>99</v>
      </c>
      <c r="B206" s="120">
        <v>1</v>
      </c>
      <c r="C206" s="120">
        <v>3</v>
      </c>
      <c r="D206" s="120">
        <v>200</v>
      </c>
      <c r="E206" s="120">
        <v>190</v>
      </c>
      <c r="F206" s="98">
        <v>195</v>
      </c>
      <c r="G206" s="80">
        <f t="shared" si="5"/>
        <v>112205.20511561885</v>
      </c>
    </row>
    <row r="207" spans="1:7" x14ac:dyDescent="0.3">
      <c r="A207" s="63" t="s">
        <v>99</v>
      </c>
      <c r="B207" s="120">
        <v>1</v>
      </c>
      <c r="C207" s="120">
        <v>1</v>
      </c>
      <c r="D207" s="120">
        <v>319</v>
      </c>
      <c r="E207" s="120">
        <v>319</v>
      </c>
      <c r="F207" s="98">
        <v>319</v>
      </c>
      <c r="G207" s="80">
        <f t="shared" si="5"/>
        <v>79663.874205863132</v>
      </c>
    </row>
    <row r="208" spans="1:7" x14ac:dyDescent="0.3">
      <c r="A208" s="63" t="s">
        <v>99</v>
      </c>
      <c r="B208" s="120">
        <v>2</v>
      </c>
      <c r="C208" s="120">
        <v>1</v>
      </c>
      <c r="D208" s="120">
        <v>120</v>
      </c>
      <c r="E208" s="120">
        <v>10</v>
      </c>
      <c r="F208" s="98">
        <v>65</v>
      </c>
      <c r="G208" s="80">
        <f t="shared" si="5"/>
        <v>27014.878377277142</v>
      </c>
    </row>
    <row r="209" spans="1:7" x14ac:dyDescent="0.3">
      <c r="A209" s="63" t="s">
        <v>99</v>
      </c>
      <c r="B209" s="120">
        <v>2</v>
      </c>
      <c r="C209" s="120">
        <v>1</v>
      </c>
      <c r="D209" s="120">
        <v>1100</v>
      </c>
      <c r="E209" s="120">
        <v>705</v>
      </c>
      <c r="F209" s="98">
        <v>902.5</v>
      </c>
      <c r="G209" s="80">
        <f t="shared" si="5"/>
        <v>161546.49157579787</v>
      </c>
    </row>
    <row r="210" spans="1:7" x14ac:dyDescent="0.3">
      <c r="A210" s="63" t="s">
        <v>99</v>
      </c>
      <c r="B210" s="120">
        <v>2</v>
      </c>
      <c r="C210" s="120">
        <v>1</v>
      </c>
      <c r="D210" s="120">
        <v>60</v>
      </c>
      <c r="E210" s="120">
        <v>65</v>
      </c>
      <c r="F210" s="98">
        <v>62.5</v>
      </c>
      <c r="G210" s="80">
        <f t="shared" si="5"/>
        <v>26304.118514684789</v>
      </c>
    </row>
    <row r="211" spans="1:7" x14ac:dyDescent="0.3">
      <c r="A211" s="63" t="s">
        <v>99</v>
      </c>
      <c r="B211" s="120">
        <v>2</v>
      </c>
      <c r="C211" s="120">
        <v>3</v>
      </c>
      <c r="D211" s="120">
        <v>1660</v>
      </c>
      <c r="E211" s="120">
        <v>705</v>
      </c>
      <c r="F211" s="98">
        <v>1182.5</v>
      </c>
      <c r="G211" s="80">
        <f t="shared" si="5"/>
        <v>382065.38853394613</v>
      </c>
    </row>
    <row r="212" spans="1:7" x14ac:dyDescent="0.3">
      <c r="A212" s="63" t="s">
        <v>99</v>
      </c>
      <c r="B212" s="120">
        <v>1</v>
      </c>
      <c r="C212" s="120">
        <v>3</v>
      </c>
      <c r="D212" s="120">
        <v>1850</v>
      </c>
      <c r="E212" s="120">
        <v>1100</v>
      </c>
      <c r="F212" s="98">
        <v>1475</v>
      </c>
      <c r="G212" s="80">
        <f t="shared" si="5"/>
        <v>444009.5288688349</v>
      </c>
    </row>
    <row r="213" spans="1:7" x14ac:dyDescent="0.3">
      <c r="A213" s="63" t="s">
        <v>99</v>
      </c>
      <c r="B213" s="120">
        <v>1</v>
      </c>
      <c r="C213" s="120">
        <v>1</v>
      </c>
      <c r="D213" s="120">
        <v>300</v>
      </c>
      <c r="E213" s="120">
        <v>300</v>
      </c>
      <c r="F213" s="98">
        <v>300</v>
      </c>
      <c r="G213" s="80">
        <f t="shared" si="5"/>
        <v>76406.718091237999</v>
      </c>
    </row>
    <row r="214" spans="1:7" x14ac:dyDescent="0.3">
      <c r="A214" s="63" t="s">
        <v>99</v>
      </c>
      <c r="B214" s="120">
        <v>1</v>
      </c>
      <c r="C214" s="120">
        <v>1</v>
      </c>
      <c r="D214" s="120">
        <v>65</v>
      </c>
      <c r="E214" s="120">
        <v>40</v>
      </c>
      <c r="F214" s="98">
        <v>52.5</v>
      </c>
      <c r="G214" s="80">
        <f t="shared" si="5"/>
        <v>23364.086813333481</v>
      </c>
    </row>
    <row r="215" spans="1:7" x14ac:dyDescent="0.3">
      <c r="A215" s="63" t="s">
        <v>99</v>
      </c>
      <c r="B215" s="120">
        <v>1</v>
      </c>
      <c r="C215" s="120">
        <v>1</v>
      </c>
      <c r="D215" s="120">
        <v>35</v>
      </c>
      <c r="E215" s="120">
        <v>25</v>
      </c>
      <c r="F215" s="98">
        <v>30</v>
      </c>
      <c r="G215" s="80">
        <f t="shared" si="5"/>
        <v>15970.979262411765</v>
      </c>
    </row>
    <row r="216" spans="1:7" x14ac:dyDescent="0.3">
      <c r="A216" s="63" t="s">
        <v>99</v>
      </c>
      <c r="B216" s="120">
        <v>1</v>
      </c>
      <c r="C216" s="120">
        <v>3</v>
      </c>
      <c r="D216" s="120">
        <v>200</v>
      </c>
      <c r="E216" s="120">
        <v>100</v>
      </c>
      <c r="F216" s="98">
        <v>150</v>
      </c>
      <c r="G216" s="80">
        <f t="shared" si="5"/>
        <v>93875.943105660699</v>
      </c>
    </row>
    <row r="217" spans="1:7" ht="15" thickBot="1" x14ac:dyDescent="0.35">
      <c r="A217" s="110" t="s">
        <v>99</v>
      </c>
      <c r="B217" s="90">
        <v>1</v>
      </c>
      <c r="C217" s="90">
        <v>2</v>
      </c>
      <c r="D217" s="90">
        <v>300</v>
      </c>
      <c r="E217" s="90">
        <v>120</v>
      </c>
      <c r="F217" s="92">
        <v>210</v>
      </c>
      <c r="G217" s="74">
        <f t="shared" si="5"/>
        <v>113365.63295749751</v>
      </c>
    </row>
    <row r="218" spans="1:7" x14ac:dyDescent="0.3">
      <c r="A218" s="99" t="s">
        <v>62</v>
      </c>
      <c r="B218" s="81">
        <v>2</v>
      </c>
      <c r="C218" s="81">
        <v>5</v>
      </c>
      <c r="D218" s="81">
        <v>125000</v>
      </c>
      <c r="E218" s="81">
        <v>20858</v>
      </c>
      <c r="F218" s="57">
        <v>72929</v>
      </c>
      <c r="G218" s="125">
        <f t="shared" si="5"/>
        <v>8242507.3325349772</v>
      </c>
    </row>
    <row r="219" spans="1:7" x14ac:dyDescent="0.3">
      <c r="A219" s="63" t="s">
        <v>62</v>
      </c>
      <c r="B219" s="120">
        <v>1</v>
      </c>
      <c r="C219" s="120">
        <v>1</v>
      </c>
      <c r="D219" s="120">
        <v>900</v>
      </c>
      <c r="E219" s="120">
        <v>251</v>
      </c>
      <c r="F219" s="98">
        <v>575.5</v>
      </c>
      <c r="G219" s="80">
        <f t="shared" si="5"/>
        <v>118977.08677602941</v>
      </c>
    </row>
    <row r="220" spans="1:7" x14ac:dyDescent="0.3">
      <c r="A220" s="63" t="s">
        <v>62</v>
      </c>
      <c r="B220" s="120">
        <v>1</v>
      </c>
      <c r="C220" s="120">
        <v>2</v>
      </c>
      <c r="D220" s="120">
        <v>900</v>
      </c>
      <c r="E220" s="120">
        <v>0</v>
      </c>
      <c r="F220" s="98">
        <v>450</v>
      </c>
      <c r="G220" s="80">
        <f t="shared" si="5"/>
        <v>190322.70758938944</v>
      </c>
    </row>
    <row r="221" spans="1:7" x14ac:dyDescent="0.3">
      <c r="A221" s="63" t="s">
        <v>62</v>
      </c>
      <c r="B221" s="120">
        <v>1</v>
      </c>
      <c r="C221" s="120">
        <v>5</v>
      </c>
      <c r="D221" s="120">
        <v>2800</v>
      </c>
      <c r="E221" s="120">
        <v>2192</v>
      </c>
      <c r="F221" s="98">
        <v>2496</v>
      </c>
      <c r="G221" s="80">
        <f t="shared" si="5"/>
        <v>793596.25872059062</v>
      </c>
    </row>
    <row r="222" spans="1:7" x14ac:dyDescent="0.3">
      <c r="A222" s="63" t="s">
        <v>62</v>
      </c>
      <c r="B222" s="120">
        <v>1</v>
      </c>
      <c r="C222" s="120">
        <v>5</v>
      </c>
      <c r="D222" s="120">
        <v>9000</v>
      </c>
      <c r="E222" s="120">
        <v>841</v>
      </c>
      <c r="F222" s="98">
        <v>4920.5</v>
      </c>
      <c r="G222" s="80">
        <f t="shared" si="5"/>
        <v>1258869.2470993046</v>
      </c>
    </row>
    <row r="223" spans="1:7" ht="15" thickBot="1" x14ac:dyDescent="0.35">
      <c r="A223" s="123" t="s">
        <v>62</v>
      </c>
      <c r="B223" s="103">
        <v>1</v>
      </c>
      <c r="C223" s="103">
        <v>5</v>
      </c>
      <c r="D223" s="103">
        <v>9000</v>
      </c>
      <c r="E223" s="103">
        <v>351</v>
      </c>
      <c r="F223" s="130">
        <v>4675.5</v>
      </c>
      <c r="G223" s="111">
        <f t="shared" si="5"/>
        <v>1215911.2078705132</v>
      </c>
    </row>
    <row r="224" spans="1:7" x14ac:dyDescent="0.3">
      <c r="A224" s="99" t="s">
        <v>64</v>
      </c>
      <c r="B224" s="81">
        <v>2</v>
      </c>
      <c r="C224" s="81">
        <v>5</v>
      </c>
      <c r="D224" s="81">
        <v>60000</v>
      </c>
      <c r="E224" s="81">
        <v>27578</v>
      </c>
      <c r="F224" s="57">
        <v>43789</v>
      </c>
      <c r="G224" s="125">
        <f t="shared" si="5"/>
        <v>5827196.8858828926</v>
      </c>
    </row>
    <row r="225" spans="1:7" x14ac:dyDescent="0.3">
      <c r="A225" s="63" t="s">
        <v>64</v>
      </c>
      <c r="B225" s="120">
        <v>2</v>
      </c>
      <c r="C225" s="120">
        <v>5</v>
      </c>
      <c r="D225" s="120">
        <v>28000</v>
      </c>
      <c r="E225" s="120">
        <v>17244</v>
      </c>
      <c r="F225" s="98">
        <v>22622</v>
      </c>
      <c r="G225" s="80">
        <f t="shared" si="5"/>
        <v>3719374.5825133659</v>
      </c>
    </row>
    <row r="226" spans="1:7" x14ac:dyDescent="0.3">
      <c r="A226" s="63" t="s">
        <v>64</v>
      </c>
      <c r="B226" s="120">
        <v>1</v>
      </c>
      <c r="C226" s="120">
        <v>4</v>
      </c>
      <c r="D226" s="120">
        <v>5000</v>
      </c>
      <c r="E226" s="120">
        <v>3084</v>
      </c>
      <c r="F226" s="98">
        <v>4042</v>
      </c>
      <c r="G226" s="80">
        <f t="shared" si="5"/>
        <v>927963.19581228727</v>
      </c>
    </row>
    <row r="227" spans="1:7" x14ac:dyDescent="0.3">
      <c r="A227" s="63" t="s">
        <v>64</v>
      </c>
      <c r="B227" s="120">
        <v>2</v>
      </c>
      <c r="C227" s="120">
        <v>5</v>
      </c>
      <c r="D227" s="120">
        <v>5000</v>
      </c>
      <c r="E227" s="120">
        <v>3777</v>
      </c>
      <c r="F227" s="98">
        <v>4388.5</v>
      </c>
      <c r="G227" s="80">
        <f t="shared" si="5"/>
        <v>1219849.4451685422</v>
      </c>
    </row>
    <row r="228" spans="1:7" ht="15" thickBot="1" x14ac:dyDescent="0.35">
      <c r="A228" s="123" t="s">
        <v>64</v>
      </c>
      <c r="B228" s="103">
        <v>1</v>
      </c>
      <c r="C228" s="103">
        <v>4</v>
      </c>
      <c r="D228" s="103">
        <v>900</v>
      </c>
      <c r="E228" s="103">
        <v>430</v>
      </c>
      <c r="F228" s="130">
        <v>665</v>
      </c>
      <c r="G228" s="111">
        <f t="shared" si="5"/>
        <v>272095.10908120841</v>
      </c>
    </row>
    <row r="229" spans="1:7" x14ac:dyDescent="0.3">
      <c r="A229" s="99" t="s">
        <v>71</v>
      </c>
      <c r="B229" s="50">
        <v>2</v>
      </c>
      <c r="C229" s="50">
        <v>5</v>
      </c>
      <c r="D229" s="50">
        <v>120000</v>
      </c>
      <c r="E229" s="93">
        <v>60938</v>
      </c>
      <c r="F229" s="57">
        <v>90469</v>
      </c>
      <c r="G229" s="125">
        <f t="shared" si="5"/>
        <v>9543074.2645655833</v>
      </c>
    </row>
    <row r="230" spans="1:7" x14ac:dyDescent="0.3">
      <c r="A230" s="63" t="s">
        <v>71</v>
      </c>
      <c r="B230" s="95">
        <v>2</v>
      </c>
      <c r="C230" s="95">
        <v>5</v>
      </c>
      <c r="D230" s="95">
        <v>11500</v>
      </c>
      <c r="E230" s="126">
        <v>4177</v>
      </c>
      <c r="F230" s="98">
        <v>7838.5</v>
      </c>
      <c r="G230" s="80">
        <f t="shared" si="5"/>
        <v>1809503.0289454276</v>
      </c>
    </row>
    <row r="231" spans="1:7" x14ac:dyDescent="0.3">
      <c r="A231" s="63" t="s">
        <v>71</v>
      </c>
      <c r="B231" s="95">
        <v>1</v>
      </c>
      <c r="C231" s="95">
        <v>5</v>
      </c>
      <c r="D231" s="95">
        <v>7500</v>
      </c>
      <c r="E231" s="126">
        <v>3892</v>
      </c>
      <c r="F231" s="98">
        <v>5696</v>
      </c>
      <c r="G231" s="80">
        <f t="shared" si="5"/>
        <v>1390558.353663598</v>
      </c>
    </row>
    <row r="232" spans="1:7" x14ac:dyDescent="0.3">
      <c r="A232" s="63" t="s">
        <v>71</v>
      </c>
      <c r="B232" s="95">
        <v>2</v>
      </c>
      <c r="C232" s="95">
        <v>5</v>
      </c>
      <c r="D232" s="95">
        <v>5145</v>
      </c>
      <c r="E232" s="126">
        <v>3165</v>
      </c>
      <c r="F232" s="98">
        <v>4155</v>
      </c>
      <c r="G232" s="80">
        <f t="shared" si="5"/>
        <v>1175342.2047932837</v>
      </c>
    </row>
    <row r="233" spans="1:7" x14ac:dyDescent="0.3">
      <c r="A233" s="63" t="s">
        <v>71</v>
      </c>
      <c r="B233" s="95">
        <v>1</v>
      </c>
      <c r="C233" s="95">
        <v>4</v>
      </c>
      <c r="D233" s="95">
        <v>700</v>
      </c>
      <c r="E233" s="126">
        <v>363</v>
      </c>
      <c r="F233" s="98">
        <v>531.5</v>
      </c>
      <c r="G233" s="80">
        <f t="shared" si="5"/>
        <v>233648.87974085257</v>
      </c>
    </row>
    <row r="234" spans="1:7" x14ac:dyDescent="0.3">
      <c r="A234" s="63" t="s">
        <v>71</v>
      </c>
      <c r="B234" s="95">
        <v>1</v>
      </c>
      <c r="C234" s="95">
        <v>4</v>
      </c>
      <c r="D234" s="95">
        <v>630</v>
      </c>
      <c r="E234" s="126">
        <v>654</v>
      </c>
      <c r="F234" s="98">
        <v>642</v>
      </c>
      <c r="G234" s="80">
        <f t="shared" si="5"/>
        <v>265661.66670908505</v>
      </c>
    </row>
    <row r="235" spans="1:7" x14ac:dyDescent="0.3">
      <c r="A235" s="63" t="s">
        <v>71</v>
      </c>
      <c r="B235" s="95">
        <v>1</v>
      </c>
      <c r="C235" s="95">
        <v>3</v>
      </c>
      <c r="D235" s="95">
        <v>100</v>
      </c>
      <c r="E235" s="126">
        <v>80</v>
      </c>
      <c r="F235" s="98">
        <v>90</v>
      </c>
      <c r="G235" s="80">
        <f t="shared" si="5"/>
        <v>66334.816652127629</v>
      </c>
    </row>
    <row r="236" spans="1:7" x14ac:dyDescent="0.3">
      <c r="A236" s="63" t="s">
        <v>71</v>
      </c>
      <c r="B236" s="95">
        <v>1</v>
      </c>
      <c r="C236" s="95">
        <v>1</v>
      </c>
      <c r="D236" s="95">
        <v>165</v>
      </c>
      <c r="E236" s="126">
        <v>150</v>
      </c>
      <c r="F236" s="98">
        <v>157.5</v>
      </c>
      <c r="G236" s="80">
        <f t="shared" si="5"/>
        <v>49305.553693890921</v>
      </c>
    </row>
    <row r="237" spans="1:7" x14ac:dyDescent="0.3">
      <c r="A237" s="63" t="s">
        <v>71</v>
      </c>
      <c r="B237" s="95">
        <v>1</v>
      </c>
      <c r="C237" s="95">
        <v>1</v>
      </c>
      <c r="D237" s="95">
        <v>75</v>
      </c>
      <c r="E237" s="126">
        <v>62</v>
      </c>
      <c r="F237" s="98">
        <v>68.5</v>
      </c>
      <c r="G237" s="80">
        <f t="shared" si="5"/>
        <v>27995.418707525027</v>
      </c>
    </row>
    <row r="238" spans="1:7" x14ac:dyDescent="0.3">
      <c r="A238" s="63" t="s">
        <v>71</v>
      </c>
      <c r="B238" s="95">
        <v>1</v>
      </c>
      <c r="C238" s="95">
        <v>1</v>
      </c>
      <c r="D238" s="95">
        <v>40</v>
      </c>
      <c r="E238" s="126">
        <v>20</v>
      </c>
      <c r="F238" s="98">
        <v>30</v>
      </c>
      <c r="G238" s="80">
        <f t="shared" si="5"/>
        <v>15970.979262411765</v>
      </c>
    </row>
    <row r="239" spans="1:7" x14ac:dyDescent="0.3">
      <c r="A239" s="63" t="s">
        <v>71</v>
      </c>
      <c r="B239" s="95">
        <v>1</v>
      </c>
      <c r="C239" s="95">
        <v>1</v>
      </c>
      <c r="D239" s="95">
        <v>50</v>
      </c>
      <c r="E239" s="126">
        <v>50</v>
      </c>
      <c r="F239" s="98">
        <v>50</v>
      </c>
      <c r="G239" s="80">
        <f t="shared" si="5"/>
        <v>22601.867559873106</v>
      </c>
    </row>
    <row r="240" spans="1:7" x14ac:dyDescent="0.3">
      <c r="A240" s="63" t="s">
        <v>71</v>
      </c>
      <c r="B240" s="95">
        <v>1</v>
      </c>
      <c r="C240" s="95">
        <v>1</v>
      </c>
      <c r="D240" s="95">
        <v>45</v>
      </c>
      <c r="E240" s="126">
        <v>45</v>
      </c>
      <c r="F240" s="98">
        <v>45</v>
      </c>
      <c r="G240" s="80">
        <f t="shared" si="5"/>
        <v>21039.643834592174</v>
      </c>
    </row>
    <row r="241" spans="1:7" x14ac:dyDescent="0.3">
      <c r="A241" s="63" t="s">
        <v>71</v>
      </c>
      <c r="B241" s="120">
        <v>1</v>
      </c>
      <c r="C241" s="120">
        <v>1</v>
      </c>
      <c r="D241" s="120">
        <v>30</v>
      </c>
      <c r="E241" s="120">
        <v>30</v>
      </c>
      <c r="F241" s="98">
        <v>30</v>
      </c>
      <c r="G241" s="80">
        <f t="shared" si="5"/>
        <v>15970.979262411765</v>
      </c>
    </row>
    <row r="242" spans="1:7" x14ac:dyDescent="0.3">
      <c r="A242" s="63" t="s">
        <v>71</v>
      </c>
      <c r="B242" s="120">
        <v>1</v>
      </c>
      <c r="C242" s="120">
        <v>1</v>
      </c>
      <c r="D242" s="120">
        <v>80</v>
      </c>
      <c r="E242" s="120">
        <v>80</v>
      </c>
      <c r="F242" s="98">
        <v>80</v>
      </c>
      <c r="G242" s="80">
        <f t="shared" si="5"/>
        <v>31110.363818285037</v>
      </c>
    </row>
    <row r="243" spans="1:7" ht="15" thickBot="1" x14ac:dyDescent="0.35">
      <c r="A243" s="123" t="s">
        <v>71</v>
      </c>
      <c r="B243" s="103">
        <v>1</v>
      </c>
      <c r="C243" s="103">
        <v>1</v>
      </c>
      <c r="D243" s="103">
        <v>35</v>
      </c>
      <c r="E243" s="103">
        <v>35</v>
      </c>
      <c r="F243" s="130">
        <v>35</v>
      </c>
      <c r="G243" s="111">
        <f t="shared" si="5"/>
        <v>17735.440243880439</v>
      </c>
    </row>
    <row r="244" spans="1:7" x14ac:dyDescent="0.3">
      <c r="A244" s="99" t="s">
        <v>65</v>
      </c>
      <c r="B244" s="81">
        <v>2</v>
      </c>
      <c r="C244" s="81">
        <v>5</v>
      </c>
      <c r="D244" s="81">
        <v>25000</v>
      </c>
      <c r="E244" s="81">
        <v>20888</v>
      </c>
      <c r="F244" s="57">
        <v>22944</v>
      </c>
      <c r="G244" s="125">
        <f t="shared" si="5"/>
        <v>3755282.5888313768</v>
      </c>
    </row>
    <row r="245" spans="1:7" x14ac:dyDescent="0.3">
      <c r="A245" s="63" t="s">
        <v>65</v>
      </c>
      <c r="B245" s="120">
        <v>1</v>
      </c>
      <c r="C245" s="120">
        <v>5</v>
      </c>
      <c r="D245" s="120">
        <v>3000</v>
      </c>
      <c r="E245" s="120">
        <v>2183</v>
      </c>
      <c r="F245" s="98">
        <v>2591.5</v>
      </c>
      <c r="G245" s="80">
        <f t="shared" si="5"/>
        <v>814113.31969652616</v>
      </c>
    </row>
    <row r="246" spans="1:7" x14ac:dyDescent="0.3">
      <c r="A246" s="63" t="s">
        <v>65</v>
      </c>
      <c r="B246" s="120">
        <v>1</v>
      </c>
      <c r="C246" s="120">
        <v>5</v>
      </c>
      <c r="D246" s="120">
        <v>335</v>
      </c>
      <c r="E246" s="120">
        <v>297</v>
      </c>
      <c r="F246" s="98">
        <v>316</v>
      </c>
      <c r="G246" s="80">
        <f t="shared" si="5"/>
        <v>194733.21066106818</v>
      </c>
    </row>
    <row r="247" spans="1:7" x14ac:dyDescent="0.3">
      <c r="A247" s="63" t="s">
        <v>65</v>
      </c>
      <c r="B247" s="120">
        <v>1</v>
      </c>
      <c r="C247" s="120">
        <v>4</v>
      </c>
      <c r="D247" s="120">
        <v>590</v>
      </c>
      <c r="E247" s="120">
        <v>328</v>
      </c>
      <c r="F247" s="98">
        <v>459</v>
      </c>
      <c r="G247" s="80">
        <f t="shared" si="5"/>
        <v>211478.80347301406</v>
      </c>
    </row>
    <row r="248" spans="1:7" x14ac:dyDescent="0.3">
      <c r="A248" s="63" t="s">
        <v>65</v>
      </c>
      <c r="B248" s="120">
        <v>1</v>
      </c>
      <c r="C248" s="120">
        <v>1</v>
      </c>
      <c r="D248" s="120">
        <v>50</v>
      </c>
      <c r="E248" s="120">
        <v>0</v>
      </c>
      <c r="F248" s="98">
        <v>25</v>
      </c>
      <c r="G248" s="80">
        <f t="shared" si="5"/>
        <v>14109.256691337609</v>
      </c>
    </row>
    <row r="249" spans="1:7" x14ac:dyDescent="0.3">
      <c r="A249" s="63" t="s">
        <v>65</v>
      </c>
      <c r="B249" s="120">
        <v>1</v>
      </c>
      <c r="C249" s="120">
        <v>1</v>
      </c>
      <c r="D249" s="120">
        <v>190</v>
      </c>
      <c r="E249" s="120">
        <v>0</v>
      </c>
      <c r="F249" s="98">
        <v>95</v>
      </c>
      <c r="G249" s="80">
        <f t="shared" si="5"/>
        <v>34965.603113720892</v>
      </c>
    </row>
    <row r="250" spans="1:7" x14ac:dyDescent="0.3">
      <c r="A250" s="63" t="s">
        <v>65</v>
      </c>
      <c r="B250" s="120">
        <v>1</v>
      </c>
      <c r="C250" s="120">
        <v>1</v>
      </c>
      <c r="D250" s="120">
        <v>30</v>
      </c>
      <c r="E250" s="120">
        <v>0</v>
      </c>
      <c r="F250" s="98">
        <v>15</v>
      </c>
      <c r="G250" s="80">
        <f t="shared" si="5"/>
        <v>9969.9126821475147</v>
      </c>
    </row>
    <row r="251" spans="1:7" ht="15" thickBot="1" x14ac:dyDescent="0.35">
      <c r="A251" s="110" t="s">
        <v>65</v>
      </c>
      <c r="B251" s="90">
        <v>1</v>
      </c>
      <c r="C251" s="90">
        <v>1</v>
      </c>
      <c r="D251" s="90">
        <v>117</v>
      </c>
      <c r="E251" s="90">
        <v>0</v>
      </c>
      <c r="F251" s="92">
        <v>58.5</v>
      </c>
      <c r="G251" s="74">
        <f t="shared" si="5"/>
        <v>25147.630733923659</v>
      </c>
    </row>
    <row r="252" spans="1:7" x14ac:dyDescent="0.3">
      <c r="A252" s="99" t="s">
        <v>73</v>
      </c>
      <c r="B252" s="50">
        <v>1</v>
      </c>
      <c r="C252" s="50">
        <v>5</v>
      </c>
      <c r="D252" s="50">
        <v>15000</v>
      </c>
      <c r="E252" s="93">
        <v>11544</v>
      </c>
      <c r="F252" s="57">
        <v>13272</v>
      </c>
      <c r="G252" s="125">
        <f t="shared" si="5"/>
        <v>2471296.7153687775</v>
      </c>
    </row>
    <row r="253" spans="1:7" x14ac:dyDescent="0.3">
      <c r="A253" s="63" t="s">
        <v>73</v>
      </c>
      <c r="B253" s="95">
        <v>1</v>
      </c>
      <c r="C253" s="95">
        <v>5</v>
      </c>
      <c r="D253" s="95">
        <v>9900</v>
      </c>
      <c r="E253" s="126">
        <v>6998</v>
      </c>
      <c r="F253" s="98">
        <v>8449</v>
      </c>
      <c r="G253" s="80">
        <f t="shared" si="5"/>
        <v>1818004.6737775295</v>
      </c>
    </row>
    <row r="254" spans="1:7" x14ac:dyDescent="0.3">
      <c r="A254" s="63" t="s">
        <v>73</v>
      </c>
      <c r="B254" s="95">
        <v>1</v>
      </c>
      <c r="C254" s="95">
        <v>5</v>
      </c>
      <c r="D254" s="95">
        <v>11700</v>
      </c>
      <c r="E254" s="126">
        <v>5020</v>
      </c>
      <c r="F254" s="98">
        <v>8360</v>
      </c>
      <c r="G254" s="80">
        <f t="shared" si="5"/>
        <v>1804964.119058182</v>
      </c>
    </row>
    <row r="255" spans="1:7" ht="15" thickBot="1" x14ac:dyDescent="0.35">
      <c r="A255" s="123" t="s">
        <v>73</v>
      </c>
      <c r="B255" s="46">
        <v>1</v>
      </c>
      <c r="C255" s="46">
        <v>3</v>
      </c>
      <c r="D255" s="46">
        <v>3500</v>
      </c>
      <c r="E255" s="70">
        <v>2351</v>
      </c>
      <c r="F255" s="130">
        <v>2925.5</v>
      </c>
      <c r="G255" s="111">
        <f t="shared" si="5"/>
        <v>707245.68235252216</v>
      </c>
    </row>
    <row r="256" spans="1:7" x14ac:dyDescent="0.3">
      <c r="A256" s="99" t="s">
        <v>66</v>
      </c>
      <c r="B256" s="81">
        <v>1</v>
      </c>
      <c r="C256" s="81">
        <v>5</v>
      </c>
      <c r="D256" s="81">
        <v>6700</v>
      </c>
      <c r="E256" s="81">
        <v>1375</v>
      </c>
      <c r="F256" s="57">
        <v>4037.5</v>
      </c>
      <c r="G256" s="125">
        <f t="shared" si="5"/>
        <v>1100494.9325392479</v>
      </c>
    </row>
    <row r="257" spans="1:7" x14ac:dyDescent="0.3">
      <c r="A257" s="63" t="s">
        <v>66</v>
      </c>
      <c r="B257" s="120">
        <v>1</v>
      </c>
      <c r="C257" s="120">
        <v>1</v>
      </c>
      <c r="D257" s="120">
        <v>200</v>
      </c>
      <c r="E257" s="120">
        <v>0</v>
      </c>
      <c r="F257" s="98">
        <v>100</v>
      </c>
      <c r="G257" s="80">
        <f t="shared" si="5"/>
        <v>36206.330947800925</v>
      </c>
    </row>
    <row r="258" spans="1:7" x14ac:dyDescent="0.3">
      <c r="A258" s="63" t="s">
        <v>66</v>
      </c>
      <c r="B258" s="120">
        <v>1</v>
      </c>
      <c r="C258" s="120">
        <v>1</v>
      </c>
      <c r="D258" s="120">
        <v>735</v>
      </c>
      <c r="E258" s="120">
        <v>112</v>
      </c>
      <c r="F258" s="98">
        <v>423.5</v>
      </c>
      <c r="G258" s="80">
        <f t="shared" si="5"/>
        <v>96587.175928888668</v>
      </c>
    </row>
    <row r="259" spans="1:7" x14ac:dyDescent="0.3">
      <c r="A259" s="63" t="s">
        <v>66</v>
      </c>
      <c r="B259" s="120">
        <v>1</v>
      </c>
      <c r="C259" s="120">
        <v>1</v>
      </c>
      <c r="D259" s="120">
        <v>260</v>
      </c>
      <c r="E259" s="120">
        <v>78</v>
      </c>
      <c r="F259" s="98">
        <v>169</v>
      </c>
      <c r="G259" s="80">
        <f t="shared" si="5"/>
        <v>51725.166655103822</v>
      </c>
    </row>
    <row r="260" spans="1:7" x14ac:dyDescent="0.3">
      <c r="A260" s="63" t="s">
        <v>66</v>
      </c>
      <c r="B260" s="120">
        <v>1</v>
      </c>
      <c r="C260" s="120">
        <v>1</v>
      </c>
      <c r="D260" s="120">
        <v>735</v>
      </c>
      <c r="E260" s="120">
        <v>70</v>
      </c>
      <c r="F260" s="98">
        <v>402.5</v>
      </c>
      <c r="G260" s="80">
        <f t="shared" si="5"/>
        <v>93304.88141182196</v>
      </c>
    </row>
    <row r="261" spans="1:7" x14ac:dyDescent="0.3">
      <c r="A261" s="63" t="s">
        <v>66</v>
      </c>
      <c r="B261" s="120">
        <v>1</v>
      </c>
      <c r="C261" s="120">
        <v>1</v>
      </c>
      <c r="D261" s="120">
        <v>1340</v>
      </c>
      <c r="E261" s="120">
        <v>36.799999999999997</v>
      </c>
      <c r="F261" s="98">
        <v>688.4</v>
      </c>
      <c r="G261" s="80">
        <f t="shared" ref="G261:G325" si="6">IF(C261=1,1581.92*(F261^0.6798),IF(C261=2,2991.14*(F261^0.6798),IF(C261=3,3113.49*(F261^0.6798),IF(C261=4,3279.19*(F261^0.6798),IF(C261=5, IF(B261=1,3891.82*(F261^0.6798),IF(B261=2,4076.24*(F261^0.6798),0)),0)))))</f>
        <v>134384.36223524364</v>
      </c>
    </row>
    <row r="262" spans="1:7" x14ac:dyDescent="0.3">
      <c r="A262" s="63" t="s">
        <v>66</v>
      </c>
      <c r="B262" s="120">
        <v>1</v>
      </c>
      <c r="C262" s="120">
        <v>1</v>
      </c>
      <c r="D262" s="120">
        <v>225</v>
      </c>
      <c r="E262" s="120">
        <v>53</v>
      </c>
      <c r="F262" s="98">
        <v>139</v>
      </c>
      <c r="G262" s="80">
        <f t="shared" si="6"/>
        <v>45290.381404131134</v>
      </c>
    </row>
    <row r="263" spans="1:7" x14ac:dyDescent="0.3">
      <c r="A263" s="63" t="s">
        <v>66</v>
      </c>
      <c r="B263" s="120">
        <v>1</v>
      </c>
      <c r="C263" s="120">
        <v>1</v>
      </c>
      <c r="D263" s="120">
        <v>495</v>
      </c>
      <c r="E263" s="120">
        <v>165</v>
      </c>
      <c r="F263" s="98">
        <v>330</v>
      </c>
      <c r="G263" s="80">
        <f t="shared" si="6"/>
        <v>81521.149175525119</v>
      </c>
    </row>
    <row r="264" spans="1:7" x14ac:dyDescent="0.3">
      <c r="A264" s="63" t="s">
        <v>66</v>
      </c>
      <c r="B264" s="120">
        <v>1</v>
      </c>
      <c r="C264" s="120">
        <v>1</v>
      </c>
      <c r="D264" s="120">
        <v>310</v>
      </c>
      <c r="E264" s="120">
        <v>21.2</v>
      </c>
      <c r="F264" s="98">
        <v>165.6</v>
      </c>
      <c r="G264" s="80">
        <f t="shared" si="6"/>
        <v>51015.451052025324</v>
      </c>
    </row>
    <row r="265" spans="1:7" x14ac:dyDescent="0.3">
      <c r="A265" s="63" t="s">
        <v>66</v>
      </c>
      <c r="B265" s="120">
        <v>1</v>
      </c>
      <c r="C265" s="120">
        <v>1</v>
      </c>
      <c r="D265" s="120">
        <v>75</v>
      </c>
      <c r="E265" s="120">
        <v>20.8</v>
      </c>
      <c r="F265" s="98">
        <v>47.9</v>
      </c>
      <c r="G265" s="80">
        <f t="shared" si="6"/>
        <v>21952.126609091451</v>
      </c>
    </row>
    <row r="266" spans="1:7" x14ac:dyDescent="0.3">
      <c r="A266" s="63" t="s">
        <v>66</v>
      </c>
      <c r="B266" s="120">
        <v>1</v>
      </c>
      <c r="C266" s="120">
        <v>1</v>
      </c>
      <c r="D266" s="120">
        <v>75</v>
      </c>
      <c r="E266" s="120">
        <v>0</v>
      </c>
      <c r="F266" s="98">
        <v>37.5</v>
      </c>
      <c r="G266" s="80">
        <f t="shared" si="6"/>
        <v>18587.071630306044</v>
      </c>
    </row>
    <row r="267" spans="1:7" x14ac:dyDescent="0.3">
      <c r="A267" s="63" t="s">
        <v>66</v>
      </c>
      <c r="B267" s="120">
        <v>1</v>
      </c>
      <c r="C267" s="120">
        <v>1</v>
      </c>
      <c r="D267" s="120">
        <v>100</v>
      </c>
      <c r="E267" s="120">
        <v>27</v>
      </c>
      <c r="F267" s="98">
        <v>63.5</v>
      </c>
      <c r="G267" s="80">
        <f t="shared" si="6"/>
        <v>26589.495378217034</v>
      </c>
    </row>
    <row r="268" spans="1:7" ht="15" thickBot="1" x14ac:dyDescent="0.35">
      <c r="A268" s="110" t="s">
        <v>66</v>
      </c>
      <c r="B268" s="90">
        <v>1</v>
      </c>
      <c r="C268" s="90">
        <v>1</v>
      </c>
      <c r="D268" s="90">
        <v>25</v>
      </c>
      <c r="E268" s="90">
        <v>0</v>
      </c>
      <c r="F268" s="92">
        <v>12.5</v>
      </c>
      <c r="G268" s="74">
        <f t="shared" si="6"/>
        <v>8807.729000920348</v>
      </c>
    </row>
    <row r="269" spans="1:7" x14ac:dyDescent="0.3">
      <c r="A269" s="99" t="s">
        <v>74</v>
      </c>
      <c r="B269" s="50">
        <v>2</v>
      </c>
      <c r="C269" s="50">
        <v>5</v>
      </c>
      <c r="D269" s="50">
        <v>140000</v>
      </c>
      <c r="E269" s="93">
        <v>78426</v>
      </c>
      <c r="F269" s="57">
        <v>109213</v>
      </c>
      <c r="G269" s="125">
        <f t="shared" si="6"/>
        <v>10846225.780576987</v>
      </c>
    </row>
    <row r="270" spans="1:7" x14ac:dyDescent="0.3">
      <c r="A270" s="63" t="s">
        <v>74</v>
      </c>
      <c r="B270" s="95">
        <v>2</v>
      </c>
      <c r="C270" s="95">
        <v>5</v>
      </c>
      <c r="D270" s="95">
        <v>25000</v>
      </c>
      <c r="E270" s="126">
        <v>13116</v>
      </c>
      <c r="F270" s="98">
        <v>19058</v>
      </c>
      <c r="G270" s="80">
        <f t="shared" si="6"/>
        <v>3310215.8230132419</v>
      </c>
    </row>
    <row r="271" spans="1:7" x14ac:dyDescent="0.3">
      <c r="A271" s="63" t="s">
        <v>74</v>
      </c>
      <c r="B271" s="95">
        <v>1</v>
      </c>
      <c r="C271" s="95">
        <v>5</v>
      </c>
      <c r="D271" s="95">
        <v>12500</v>
      </c>
      <c r="E271" s="126">
        <v>15817</v>
      </c>
      <c r="F271" s="98">
        <v>14158.5</v>
      </c>
      <c r="G271" s="80">
        <f t="shared" si="6"/>
        <v>2582345.0326307472</v>
      </c>
    </row>
    <row r="272" spans="1:7" x14ac:dyDescent="0.3">
      <c r="A272" s="63" t="s">
        <v>74</v>
      </c>
      <c r="B272" s="95">
        <v>1</v>
      </c>
      <c r="C272" s="95">
        <v>5</v>
      </c>
      <c r="D272" s="95">
        <v>14500</v>
      </c>
      <c r="E272" s="126">
        <v>7292</v>
      </c>
      <c r="F272" s="98">
        <v>10896</v>
      </c>
      <c r="G272" s="80">
        <f t="shared" si="6"/>
        <v>2161159.9785516001</v>
      </c>
    </row>
    <row r="273" spans="1:7" x14ac:dyDescent="0.3">
      <c r="A273" s="63" t="s">
        <v>74</v>
      </c>
      <c r="B273" s="95">
        <v>1</v>
      </c>
      <c r="C273" s="95">
        <v>5</v>
      </c>
      <c r="D273" s="95">
        <v>1500</v>
      </c>
      <c r="E273" s="126">
        <v>3851</v>
      </c>
      <c r="F273" s="98">
        <v>2675.5</v>
      </c>
      <c r="G273" s="80">
        <f t="shared" si="6"/>
        <v>831960.36003568862</v>
      </c>
    </row>
    <row r="274" spans="1:7" x14ac:dyDescent="0.3">
      <c r="A274" s="63" t="s">
        <v>74</v>
      </c>
      <c r="B274" s="95">
        <v>1</v>
      </c>
      <c r="C274" s="95">
        <v>3</v>
      </c>
      <c r="D274" s="95">
        <v>850</v>
      </c>
      <c r="E274" s="126">
        <v>634</v>
      </c>
      <c r="F274" s="98">
        <v>742</v>
      </c>
      <c r="G274" s="80">
        <f t="shared" si="6"/>
        <v>278322.3290380438</v>
      </c>
    </row>
    <row r="275" spans="1:7" x14ac:dyDescent="0.3">
      <c r="A275" s="63" t="s">
        <v>74</v>
      </c>
      <c r="B275" s="95">
        <v>1</v>
      </c>
      <c r="C275" s="95">
        <v>5</v>
      </c>
      <c r="D275" s="95">
        <v>1400</v>
      </c>
      <c r="E275" s="126">
        <v>692</v>
      </c>
      <c r="F275" s="98">
        <v>1046</v>
      </c>
      <c r="G275" s="80">
        <f t="shared" si="6"/>
        <v>439369.98438285734</v>
      </c>
    </row>
    <row r="276" spans="1:7" x14ac:dyDescent="0.3">
      <c r="A276" s="63" t="s">
        <v>74</v>
      </c>
      <c r="B276" s="95">
        <v>1</v>
      </c>
      <c r="C276" s="95">
        <v>1</v>
      </c>
      <c r="D276" s="95">
        <v>150</v>
      </c>
      <c r="E276" s="126">
        <v>85</v>
      </c>
      <c r="F276" s="98">
        <v>117.5</v>
      </c>
      <c r="G276" s="80">
        <f t="shared" si="6"/>
        <v>40401.38547590941</v>
      </c>
    </row>
    <row r="277" spans="1:7" x14ac:dyDescent="0.3">
      <c r="A277" s="63" t="s">
        <v>74</v>
      </c>
      <c r="B277" s="95">
        <v>1</v>
      </c>
      <c r="C277" s="95">
        <v>1</v>
      </c>
      <c r="D277" s="95">
        <v>200</v>
      </c>
      <c r="E277" s="126">
        <v>140</v>
      </c>
      <c r="F277" s="98">
        <v>170</v>
      </c>
      <c r="G277" s="80">
        <f t="shared" si="6"/>
        <v>51933.033777792552</v>
      </c>
    </row>
    <row r="278" spans="1:7" x14ac:dyDescent="0.3">
      <c r="A278" s="63" t="s">
        <v>74</v>
      </c>
      <c r="B278" s="95">
        <v>1</v>
      </c>
      <c r="C278" s="95">
        <v>1</v>
      </c>
      <c r="D278" s="95">
        <v>360</v>
      </c>
      <c r="E278" s="126">
        <v>240</v>
      </c>
      <c r="F278" s="98">
        <v>300</v>
      </c>
      <c r="G278" s="80">
        <f t="shared" si="6"/>
        <v>76406.718091237999</v>
      </c>
    </row>
    <row r="279" spans="1:7" x14ac:dyDescent="0.3">
      <c r="A279" s="63" t="s">
        <v>74</v>
      </c>
      <c r="B279" s="95">
        <v>1</v>
      </c>
      <c r="C279" s="95">
        <v>3</v>
      </c>
      <c r="D279" s="95">
        <v>80</v>
      </c>
      <c r="E279" s="126">
        <v>33</v>
      </c>
      <c r="F279" s="98">
        <v>56.5</v>
      </c>
      <c r="G279" s="80">
        <f t="shared" si="6"/>
        <v>48338.148325667185</v>
      </c>
    </row>
    <row r="280" spans="1:7" x14ac:dyDescent="0.3">
      <c r="A280" s="63" t="s">
        <v>74</v>
      </c>
      <c r="B280" s="95">
        <v>1</v>
      </c>
      <c r="C280" s="95">
        <v>1</v>
      </c>
      <c r="D280" s="95">
        <v>100</v>
      </c>
      <c r="E280" s="126">
        <v>61</v>
      </c>
      <c r="F280" s="98">
        <v>80.5</v>
      </c>
      <c r="G280" s="80">
        <f t="shared" si="6"/>
        <v>31242.412076251487</v>
      </c>
    </row>
    <row r="281" spans="1:7" x14ac:dyDescent="0.3">
      <c r="A281" s="63" t="s">
        <v>74</v>
      </c>
      <c r="B281" s="95">
        <v>1</v>
      </c>
      <c r="C281" s="95">
        <v>1</v>
      </c>
      <c r="D281" s="95">
        <v>70</v>
      </c>
      <c r="E281" s="126">
        <v>12</v>
      </c>
      <c r="F281" s="98">
        <v>41</v>
      </c>
      <c r="G281" s="80">
        <f t="shared" si="6"/>
        <v>19749.448958298992</v>
      </c>
    </row>
    <row r="282" spans="1:7" x14ac:dyDescent="0.3">
      <c r="A282" s="63" t="s">
        <v>74</v>
      </c>
      <c r="B282" s="95">
        <v>1</v>
      </c>
      <c r="C282" s="95">
        <v>3</v>
      </c>
      <c r="D282" s="95">
        <v>1000</v>
      </c>
      <c r="E282" s="126">
        <v>175</v>
      </c>
      <c r="F282" s="98">
        <v>587.5</v>
      </c>
      <c r="G282" s="80">
        <f t="shared" si="6"/>
        <v>237475.61761930463</v>
      </c>
    </row>
    <row r="283" spans="1:7" x14ac:dyDescent="0.3">
      <c r="A283" s="63" t="s">
        <v>74</v>
      </c>
      <c r="B283" s="95">
        <v>1</v>
      </c>
      <c r="C283" s="95">
        <v>3</v>
      </c>
      <c r="D283" s="95">
        <v>1200</v>
      </c>
      <c r="E283" s="126">
        <v>526</v>
      </c>
      <c r="F283" s="98">
        <v>863</v>
      </c>
      <c r="G283" s="80">
        <f t="shared" si="6"/>
        <v>308423.60855815519</v>
      </c>
    </row>
    <row r="284" spans="1:7" ht="15" thickBot="1" x14ac:dyDescent="0.35">
      <c r="A284" s="123" t="s">
        <v>74</v>
      </c>
      <c r="B284" s="46">
        <v>1</v>
      </c>
      <c r="C284" s="46">
        <v>3</v>
      </c>
      <c r="D284" s="46">
        <v>300</v>
      </c>
      <c r="E284" s="70">
        <v>13844</v>
      </c>
      <c r="F284" s="130">
        <v>7072</v>
      </c>
      <c r="G284" s="111">
        <f t="shared" si="6"/>
        <v>1288742.9368826603</v>
      </c>
    </row>
    <row r="285" spans="1:7" x14ac:dyDescent="0.3">
      <c r="A285" s="99" t="s">
        <v>75</v>
      </c>
      <c r="B285" s="50">
        <v>2</v>
      </c>
      <c r="C285" s="50">
        <v>5</v>
      </c>
      <c r="D285" s="50">
        <v>41382</v>
      </c>
      <c r="E285" s="93">
        <v>32050</v>
      </c>
      <c r="F285" s="57">
        <v>36716</v>
      </c>
      <c r="G285" s="125">
        <f t="shared" si="6"/>
        <v>5169498.5865848167</v>
      </c>
    </row>
    <row r="286" spans="1:7" x14ac:dyDescent="0.3">
      <c r="A286" s="63" t="s">
        <v>75</v>
      </c>
      <c r="B286" s="95">
        <v>2</v>
      </c>
      <c r="C286" s="95">
        <v>5</v>
      </c>
      <c r="D286" s="95">
        <v>13558</v>
      </c>
      <c r="E286" s="126">
        <v>8591</v>
      </c>
      <c r="F286" s="98">
        <v>11074.5</v>
      </c>
      <c r="G286" s="80">
        <f t="shared" si="6"/>
        <v>2288712.7460420658</v>
      </c>
    </row>
    <row r="287" spans="1:7" x14ac:dyDescent="0.3">
      <c r="A287" s="63" t="s">
        <v>75</v>
      </c>
      <c r="B287" s="95">
        <v>1</v>
      </c>
      <c r="C287" s="95">
        <v>5</v>
      </c>
      <c r="D287" s="95">
        <v>9477</v>
      </c>
      <c r="E287" s="126">
        <v>3910</v>
      </c>
      <c r="F287" s="98">
        <v>6693.5</v>
      </c>
      <c r="G287" s="80">
        <f t="shared" si="6"/>
        <v>1551786.0270283059</v>
      </c>
    </row>
    <row r="288" spans="1:7" x14ac:dyDescent="0.3">
      <c r="A288" s="63" t="s">
        <v>75</v>
      </c>
      <c r="B288" s="95">
        <v>2</v>
      </c>
      <c r="C288" s="95">
        <v>5</v>
      </c>
      <c r="D288" s="95">
        <v>7412</v>
      </c>
      <c r="E288" s="126">
        <v>7284</v>
      </c>
      <c r="F288" s="98">
        <v>7348</v>
      </c>
      <c r="G288" s="80">
        <f t="shared" si="6"/>
        <v>1731735.3924022915</v>
      </c>
    </row>
    <row r="289" spans="1:7" x14ac:dyDescent="0.3">
      <c r="A289" s="63" t="s">
        <v>75</v>
      </c>
      <c r="B289" s="95">
        <v>1</v>
      </c>
      <c r="C289" s="95">
        <v>5</v>
      </c>
      <c r="D289" s="95">
        <v>6395</v>
      </c>
      <c r="E289" s="126">
        <v>7488</v>
      </c>
      <c r="F289" s="98">
        <v>6941.5</v>
      </c>
      <c r="G289" s="80">
        <f t="shared" si="6"/>
        <v>1590642.9975930497</v>
      </c>
    </row>
    <row r="290" spans="1:7" x14ac:dyDescent="0.3">
      <c r="A290" s="63" t="s">
        <v>75</v>
      </c>
      <c r="B290" s="95">
        <v>2</v>
      </c>
      <c r="C290" s="95">
        <v>4</v>
      </c>
      <c r="D290" s="95">
        <v>2750</v>
      </c>
      <c r="E290" s="126">
        <v>2232</v>
      </c>
      <c r="F290" s="98">
        <v>2491</v>
      </c>
      <c r="G290" s="80">
        <f t="shared" si="6"/>
        <v>667761.59969566192</v>
      </c>
    </row>
    <row r="291" spans="1:7" ht="15" thickBot="1" x14ac:dyDescent="0.35">
      <c r="A291" s="123" t="s">
        <v>75</v>
      </c>
      <c r="B291" s="46">
        <v>2</v>
      </c>
      <c r="C291" s="46">
        <v>4</v>
      </c>
      <c r="D291" s="46">
        <v>1600</v>
      </c>
      <c r="E291" s="70">
        <v>1682</v>
      </c>
      <c r="F291" s="130">
        <v>1641</v>
      </c>
      <c r="G291" s="111">
        <f t="shared" si="6"/>
        <v>502802.46055135049</v>
      </c>
    </row>
    <row r="292" spans="1:7" x14ac:dyDescent="0.3">
      <c r="A292" s="99" t="s">
        <v>76</v>
      </c>
      <c r="B292" s="50">
        <v>2</v>
      </c>
      <c r="C292" s="50">
        <v>5</v>
      </c>
      <c r="D292" s="50">
        <v>123000</v>
      </c>
      <c r="E292" s="93">
        <v>43546</v>
      </c>
      <c r="F292" s="57">
        <v>83273</v>
      </c>
      <c r="G292" s="125">
        <f t="shared" si="6"/>
        <v>9020248.6410914026</v>
      </c>
    </row>
    <row r="293" spans="1:7" x14ac:dyDescent="0.3">
      <c r="A293" s="63" t="s">
        <v>76</v>
      </c>
      <c r="B293" s="95">
        <v>1</v>
      </c>
      <c r="C293" s="95">
        <v>5</v>
      </c>
      <c r="D293" s="95">
        <v>17800</v>
      </c>
      <c r="E293" s="126">
        <v>7760</v>
      </c>
      <c r="F293" s="98">
        <v>12780</v>
      </c>
      <c r="G293" s="80">
        <f t="shared" si="6"/>
        <v>2408642.9152766033</v>
      </c>
    </row>
    <row r="294" spans="1:7" x14ac:dyDescent="0.3">
      <c r="A294" s="63" t="s">
        <v>76</v>
      </c>
      <c r="B294" s="95">
        <v>1</v>
      </c>
      <c r="C294" s="95">
        <v>5</v>
      </c>
      <c r="D294" s="95">
        <v>5200</v>
      </c>
      <c r="E294" s="126">
        <v>2606</v>
      </c>
      <c r="F294" s="98">
        <v>3903</v>
      </c>
      <c r="G294" s="80">
        <f t="shared" si="6"/>
        <v>1075438.2544787615</v>
      </c>
    </row>
    <row r="295" spans="1:7" x14ac:dyDescent="0.3">
      <c r="A295" s="63" t="s">
        <v>76</v>
      </c>
      <c r="B295" s="95">
        <v>1</v>
      </c>
      <c r="C295" s="95">
        <v>5</v>
      </c>
      <c r="D295" s="95">
        <v>1500</v>
      </c>
      <c r="E295" s="126">
        <v>418</v>
      </c>
      <c r="F295" s="98">
        <v>959</v>
      </c>
      <c r="G295" s="80">
        <f t="shared" si="6"/>
        <v>414183.72983247106</v>
      </c>
    </row>
    <row r="296" spans="1:7" x14ac:dyDescent="0.3">
      <c r="A296" s="63" t="s">
        <v>76</v>
      </c>
      <c r="B296" s="95">
        <v>1</v>
      </c>
      <c r="C296" s="95">
        <v>5</v>
      </c>
      <c r="D296" s="95">
        <v>1500</v>
      </c>
      <c r="E296" s="126">
        <v>458</v>
      </c>
      <c r="F296" s="98">
        <v>979</v>
      </c>
      <c r="G296" s="80">
        <f t="shared" si="6"/>
        <v>420036.29538677167</v>
      </c>
    </row>
    <row r="297" spans="1:7" ht="15" thickBot="1" x14ac:dyDescent="0.35">
      <c r="A297" s="123" t="s">
        <v>76</v>
      </c>
      <c r="B297" s="46">
        <v>1</v>
      </c>
      <c r="C297" s="46">
        <v>3</v>
      </c>
      <c r="D297" s="46">
        <v>50</v>
      </c>
      <c r="E297" s="70">
        <v>16</v>
      </c>
      <c r="F297" s="130">
        <v>33</v>
      </c>
      <c r="G297" s="111">
        <f t="shared" si="6"/>
        <v>33537.698141439469</v>
      </c>
    </row>
    <row r="298" spans="1:7" ht="15" thickBot="1" x14ac:dyDescent="0.35">
      <c r="A298" s="62" t="s">
        <v>77</v>
      </c>
      <c r="B298" s="66">
        <v>2</v>
      </c>
      <c r="C298" s="66">
        <v>5</v>
      </c>
      <c r="D298" s="66">
        <v>23000</v>
      </c>
      <c r="E298" s="97">
        <v>24940</v>
      </c>
      <c r="F298" s="76">
        <v>23970</v>
      </c>
      <c r="G298" s="59">
        <f t="shared" si="6"/>
        <v>3868637.8443817194</v>
      </c>
    </row>
    <row r="299" spans="1:7" ht="15" thickBot="1" x14ac:dyDescent="0.35">
      <c r="A299" s="73" t="s">
        <v>78</v>
      </c>
      <c r="B299" s="128">
        <v>1</v>
      </c>
      <c r="C299" s="128">
        <v>5</v>
      </c>
      <c r="D299" s="128">
        <v>400000</v>
      </c>
      <c r="E299" s="109">
        <v>255000</v>
      </c>
      <c r="F299" s="106">
        <v>327500</v>
      </c>
      <c r="G299" s="59">
        <f t="shared" si="6"/>
        <v>21847079.56047615</v>
      </c>
    </row>
    <row r="300" spans="1:7" x14ac:dyDescent="0.3">
      <c r="A300" s="99" t="s">
        <v>67</v>
      </c>
      <c r="B300" s="81">
        <v>1</v>
      </c>
      <c r="C300" s="81">
        <v>2</v>
      </c>
      <c r="D300" s="81">
        <v>100</v>
      </c>
      <c r="E300" s="81">
        <v>36</v>
      </c>
      <c r="F300" s="57">
        <v>68</v>
      </c>
      <c r="G300" s="125">
        <f t="shared" si="6"/>
        <v>52671.574336345977</v>
      </c>
    </row>
    <row r="301" spans="1:7" x14ac:dyDescent="0.3">
      <c r="A301" s="63" t="s">
        <v>67</v>
      </c>
      <c r="B301" s="120">
        <v>1</v>
      </c>
      <c r="C301" s="120">
        <v>1</v>
      </c>
      <c r="D301" s="120">
        <v>55</v>
      </c>
      <c r="E301" s="120">
        <v>12</v>
      </c>
      <c r="F301" s="98">
        <v>33.5</v>
      </c>
      <c r="G301" s="80">
        <f t="shared" si="6"/>
        <v>17215.116919401094</v>
      </c>
    </row>
    <row r="302" spans="1:7" x14ac:dyDescent="0.3">
      <c r="A302" s="63" t="s">
        <v>67</v>
      </c>
      <c r="B302" s="120">
        <v>1</v>
      </c>
      <c r="C302" s="120">
        <v>5</v>
      </c>
      <c r="D302" s="120">
        <v>23753</v>
      </c>
      <c r="E302" s="120">
        <v>20272</v>
      </c>
      <c r="F302" s="98">
        <v>22012.5</v>
      </c>
      <c r="G302" s="80">
        <f t="shared" si="6"/>
        <v>3485775.2551180883</v>
      </c>
    </row>
    <row r="303" spans="1:7" x14ac:dyDescent="0.3">
      <c r="A303" s="63" t="s">
        <v>67</v>
      </c>
      <c r="B303" s="120">
        <v>1</v>
      </c>
      <c r="C303" s="120">
        <v>2</v>
      </c>
      <c r="D303" s="120">
        <v>65</v>
      </c>
      <c r="E303" s="120">
        <v>28</v>
      </c>
      <c r="F303" s="98">
        <v>46.5</v>
      </c>
      <c r="G303" s="80">
        <f t="shared" si="6"/>
        <v>40679.092706215211</v>
      </c>
    </row>
    <row r="304" spans="1:7" x14ac:dyDescent="0.3">
      <c r="A304" s="63" t="s">
        <v>67</v>
      </c>
      <c r="B304" s="120">
        <v>1</v>
      </c>
      <c r="C304" s="120">
        <v>5</v>
      </c>
      <c r="D304" s="120">
        <v>3811</v>
      </c>
      <c r="E304" s="120">
        <v>3423</v>
      </c>
      <c r="F304" s="98">
        <v>3617</v>
      </c>
      <c r="G304" s="80">
        <f t="shared" si="6"/>
        <v>1021217.0611804422</v>
      </c>
    </row>
    <row r="305" spans="1:11" x14ac:dyDescent="0.3">
      <c r="A305" s="63" t="s">
        <v>67</v>
      </c>
      <c r="B305" s="120">
        <v>1</v>
      </c>
      <c r="C305" s="120">
        <v>2</v>
      </c>
      <c r="D305" s="120">
        <v>190</v>
      </c>
      <c r="E305" s="120">
        <v>436</v>
      </c>
      <c r="F305" s="98">
        <v>313</v>
      </c>
      <c r="G305" s="80">
        <f t="shared" si="6"/>
        <v>148698.90871008151</v>
      </c>
    </row>
    <row r="306" spans="1:11" x14ac:dyDescent="0.3">
      <c r="A306" s="63" t="s">
        <v>67</v>
      </c>
      <c r="B306" s="120">
        <v>1</v>
      </c>
      <c r="C306" s="120">
        <v>5</v>
      </c>
      <c r="D306" s="120">
        <v>14523</v>
      </c>
      <c r="E306" s="120">
        <v>11360</v>
      </c>
      <c r="F306" s="98">
        <v>12941.5</v>
      </c>
      <c r="G306" s="80">
        <f t="shared" si="6"/>
        <v>2429292.9397537559</v>
      </c>
    </row>
    <row r="307" spans="1:11" x14ac:dyDescent="0.3">
      <c r="A307" s="63" t="s">
        <v>67</v>
      </c>
      <c r="B307" s="120">
        <v>1</v>
      </c>
      <c r="C307" s="120">
        <v>4</v>
      </c>
      <c r="D307" s="120">
        <v>2971</v>
      </c>
      <c r="E307" s="120">
        <v>1170</v>
      </c>
      <c r="F307" s="98">
        <v>2070.5</v>
      </c>
      <c r="G307" s="80">
        <f t="shared" si="6"/>
        <v>588890.46912999847</v>
      </c>
    </row>
    <row r="308" spans="1:11" x14ac:dyDescent="0.3">
      <c r="A308" s="63" t="s">
        <v>67</v>
      </c>
      <c r="B308" s="120">
        <v>1</v>
      </c>
      <c r="C308" s="120">
        <v>3</v>
      </c>
      <c r="D308" s="120">
        <v>1507</v>
      </c>
      <c r="E308" s="120">
        <v>1651</v>
      </c>
      <c r="F308" s="98">
        <v>1579</v>
      </c>
      <c r="G308" s="80">
        <f t="shared" si="6"/>
        <v>465058.56495505047</v>
      </c>
    </row>
    <row r="309" spans="1:11" x14ac:dyDescent="0.3">
      <c r="A309" s="63" t="s">
        <v>67</v>
      </c>
      <c r="B309" s="120">
        <v>2</v>
      </c>
      <c r="C309" s="120">
        <v>3</v>
      </c>
      <c r="D309" s="120">
        <v>1897</v>
      </c>
      <c r="E309" s="120">
        <v>1267</v>
      </c>
      <c r="F309" s="98">
        <v>1582</v>
      </c>
      <c r="G309" s="80">
        <f t="shared" si="6"/>
        <v>465659.04132100061</v>
      </c>
    </row>
    <row r="310" spans="1:11" x14ac:dyDescent="0.3">
      <c r="A310" s="63" t="s">
        <v>67</v>
      </c>
      <c r="B310" s="120">
        <v>1</v>
      </c>
      <c r="C310" s="120">
        <v>5</v>
      </c>
      <c r="D310" s="120">
        <v>5591</v>
      </c>
      <c r="E310" s="120">
        <v>7961</v>
      </c>
      <c r="F310" s="98">
        <v>6776</v>
      </c>
      <c r="G310" s="80">
        <f t="shared" si="6"/>
        <v>1564762.6134889284</v>
      </c>
    </row>
    <row r="311" spans="1:11" s="146" customFormat="1" x14ac:dyDescent="0.3">
      <c r="A311" s="63" t="s">
        <v>67</v>
      </c>
      <c r="B311" s="90">
        <v>1</v>
      </c>
      <c r="C311" s="90">
        <v>1</v>
      </c>
      <c r="D311" s="90">
        <v>298</v>
      </c>
      <c r="E311" s="90">
        <v>101</v>
      </c>
      <c r="F311" s="92">
        <v>199.5</v>
      </c>
      <c r="G311" s="80">
        <f t="shared" si="6"/>
        <v>57900.951446372048</v>
      </c>
      <c r="H311" s="107"/>
      <c r="I311" s="67"/>
      <c r="J311" s="129"/>
      <c r="K311" s="129"/>
    </row>
    <row r="312" spans="1:11" ht="15" thickBot="1" x14ac:dyDescent="0.35">
      <c r="A312" s="110" t="s">
        <v>67</v>
      </c>
      <c r="B312" s="90">
        <v>1</v>
      </c>
      <c r="C312" s="90">
        <v>1</v>
      </c>
      <c r="D312" s="90">
        <v>70</v>
      </c>
      <c r="E312" s="90">
        <v>70</v>
      </c>
      <c r="F312" s="92">
        <v>70</v>
      </c>
      <c r="G312" s="74">
        <f t="shared" si="6"/>
        <v>28410.715055906108</v>
      </c>
    </row>
    <row r="313" spans="1:11" x14ac:dyDescent="0.3">
      <c r="A313" s="89" t="s">
        <v>68</v>
      </c>
      <c r="B313" s="102">
        <v>2</v>
      </c>
      <c r="C313" s="102">
        <v>5</v>
      </c>
      <c r="D313" s="102">
        <v>410000</v>
      </c>
      <c r="E313" s="102">
        <v>226991</v>
      </c>
      <c r="F313" s="57">
        <v>318495.5</v>
      </c>
      <c r="G313" s="145">
        <f t="shared" si="6"/>
        <v>22452741.179898556</v>
      </c>
    </row>
    <row r="314" spans="1:11" x14ac:dyDescent="0.3">
      <c r="A314" s="72" t="s">
        <v>68</v>
      </c>
      <c r="B314" s="113">
        <v>1</v>
      </c>
      <c r="C314" s="113">
        <v>5</v>
      </c>
      <c r="D314" s="113">
        <v>75000</v>
      </c>
      <c r="E314" s="113">
        <v>40214</v>
      </c>
      <c r="F314" s="98">
        <v>57607</v>
      </c>
      <c r="G314" s="144">
        <f t="shared" si="6"/>
        <v>6703842.8742706953</v>
      </c>
    </row>
    <row r="315" spans="1:11" x14ac:dyDescent="0.3">
      <c r="A315" s="72" t="s">
        <v>68</v>
      </c>
      <c r="B315" s="113">
        <v>1</v>
      </c>
      <c r="C315" s="113">
        <v>5</v>
      </c>
      <c r="D315" s="113">
        <v>37000</v>
      </c>
      <c r="E315" s="113">
        <v>20253</v>
      </c>
      <c r="F315" s="98">
        <v>28626.5</v>
      </c>
      <c r="G315" s="144">
        <f t="shared" si="6"/>
        <v>4167386.721898058</v>
      </c>
    </row>
    <row r="316" spans="1:11" x14ac:dyDescent="0.3">
      <c r="A316" s="72" t="s">
        <v>68</v>
      </c>
      <c r="B316" s="113">
        <v>1</v>
      </c>
      <c r="C316" s="113">
        <v>5</v>
      </c>
      <c r="D316" s="113">
        <v>12500</v>
      </c>
      <c r="E316" s="113">
        <v>10855</v>
      </c>
      <c r="F316" s="98">
        <v>11677.5</v>
      </c>
      <c r="G316" s="144">
        <f t="shared" si="6"/>
        <v>2265359.8093281114</v>
      </c>
    </row>
    <row r="317" spans="1:11" x14ac:dyDescent="0.3">
      <c r="A317" s="72" t="s">
        <v>68</v>
      </c>
      <c r="B317" s="113">
        <v>1</v>
      </c>
      <c r="C317" s="113">
        <v>5</v>
      </c>
      <c r="D317" s="113">
        <v>30000</v>
      </c>
      <c r="E317" s="113">
        <v>11098</v>
      </c>
      <c r="F317" s="98">
        <v>20549</v>
      </c>
      <c r="G317" s="144">
        <f t="shared" si="6"/>
        <v>3326502.5300195082</v>
      </c>
    </row>
    <row r="318" spans="1:11" x14ac:dyDescent="0.3">
      <c r="A318" s="72" t="s">
        <v>68</v>
      </c>
      <c r="B318" s="113">
        <v>1</v>
      </c>
      <c r="C318" s="113">
        <v>5</v>
      </c>
      <c r="D318" s="113">
        <v>7000</v>
      </c>
      <c r="E318" s="113">
        <v>6455</v>
      </c>
      <c r="F318" s="98">
        <v>6727.5</v>
      </c>
      <c r="G318" s="144">
        <f t="shared" si="6"/>
        <v>1557140.1224430425</v>
      </c>
    </row>
    <row r="319" spans="1:11" x14ac:dyDescent="0.3">
      <c r="A319" s="72" t="s">
        <v>68</v>
      </c>
      <c r="B319" s="113">
        <v>1</v>
      </c>
      <c r="C319" s="113">
        <v>4</v>
      </c>
      <c r="D319" s="113">
        <v>7500</v>
      </c>
      <c r="E319" s="113">
        <v>1919</v>
      </c>
      <c r="F319" s="98">
        <v>4709.5</v>
      </c>
      <c r="G319" s="144">
        <f t="shared" si="6"/>
        <v>1029567.5614094004</v>
      </c>
    </row>
    <row r="320" spans="1:11" x14ac:dyDescent="0.3">
      <c r="A320" s="72" t="s">
        <v>68</v>
      </c>
      <c r="B320" s="113">
        <v>1</v>
      </c>
      <c r="C320" s="113">
        <v>4</v>
      </c>
      <c r="D320" s="113">
        <v>3200</v>
      </c>
      <c r="E320" s="113">
        <v>437</v>
      </c>
      <c r="F320" s="98">
        <v>1818.5</v>
      </c>
      <c r="G320" s="144">
        <f t="shared" si="6"/>
        <v>539162.50934625021</v>
      </c>
    </row>
    <row r="321" spans="1:7" x14ac:dyDescent="0.3">
      <c r="A321" s="72" t="s">
        <v>68</v>
      </c>
      <c r="B321" s="113">
        <v>1</v>
      </c>
      <c r="C321" s="113">
        <v>1</v>
      </c>
      <c r="D321" s="113">
        <v>1000</v>
      </c>
      <c r="E321" s="113">
        <v>1000</v>
      </c>
      <c r="F321" s="98">
        <v>1000</v>
      </c>
      <c r="G321" s="144">
        <f t="shared" si="6"/>
        <v>173214.60859682679</v>
      </c>
    </row>
    <row r="322" spans="1:7" x14ac:dyDescent="0.3">
      <c r="A322" s="72" t="s">
        <v>68</v>
      </c>
      <c r="B322" s="113">
        <v>1</v>
      </c>
      <c r="C322" s="113">
        <v>1</v>
      </c>
      <c r="D322" s="113">
        <v>1000</v>
      </c>
      <c r="E322" s="113">
        <v>1000</v>
      </c>
      <c r="F322" s="98">
        <v>1000</v>
      </c>
      <c r="G322" s="144">
        <f t="shared" si="6"/>
        <v>173214.60859682679</v>
      </c>
    </row>
    <row r="323" spans="1:7" x14ac:dyDescent="0.3">
      <c r="A323" s="72" t="s">
        <v>68</v>
      </c>
      <c r="B323" s="113">
        <v>1</v>
      </c>
      <c r="C323" s="113">
        <v>1</v>
      </c>
      <c r="D323" s="113">
        <v>40</v>
      </c>
      <c r="E323" s="113">
        <v>40</v>
      </c>
      <c r="F323" s="98">
        <v>40</v>
      </c>
      <c r="G323" s="144">
        <f t="shared" si="6"/>
        <v>19420.70086510808</v>
      </c>
    </row>
    <row r="324" spans="1:7" x14ac:dyDescent="0.3">
      <c r="A324" s="72" t="s">
        <v>68</v>
      </c>
      <c r="B324" s="113">
        <v>1</v>
      </c>
      <c r="C324" s="113">
        <v>1</v>
      </c>
      <c r="D324" s="113">
        <v>40</v>
      </c>
      <c r="E324" s="113">
        <v>40</v>
      </c>
      <c r="F324" s="98">
        <v>40</v>
      </c>
      <c r="G324" s="144">
        <f t="shared" si="6"/>
        <v>19420.70086510808</v>
      </c>
    </row>
    <row r="325" spans="1:7" x14ac:dyDescent="0.3">
      <c r="A325" s="72" t="s">
        <v>68</v>
      </c>
      <c r="B325" s="113">
        <v>1</v>
      </c>
      <c r="C325" s="113">
        <v>1</v>
      </c>
      <c r="D325" s="113">
        <v>40</v>
      </c>
      <c r="E325" s="113">
        <v>40</v>
      </c>
      <c r="F325" s="98">
        <v>40</v>
      </c>
      <c r="G325" s="144">
        <f t="shared" si="6"/>
        <v>19420.70086510808</v>
      </c>
    </row>
    <row r="326" spans="1:7" ht="15" thickBot="1" x14ac:dyDescent="0.35">
      <c r="A326" s="148" t="s">
        <v>68</v>
      </c>
      <c r="B326" s="85">
        <v>1</v>
      </c>
      <c r="C326" s="85">
        <v>1</v>
      </c>
      <c r="D326" s="85">
        <v>20</v>
      </c>
      <c r="E326" s="85">
        <v>20</v>
      </c>
      <c r="F326" s="130">
        <v>20</v>
      </c>
      <c r="G326" s="137">
        <f t="shared" ref="G326" si="7">IF(C326=1,1581.92*(F326^0.6798),IF(C326=2,2991.14*(F326^0.6798),IF(C326=3,3113.49*(F326^0.6798),IF(C326=4,3279.19*(F326^0.6798),IF(C326=5, IF(B326=1,3891.82*(F326^0.6798),IF(B326=2,4076.24*(F326^0.6798),0)),0)))))</f>
        <v>12123.407630171541</v>
      </c>
    </row>
    <row r="327" spans="1:7" x14ac:dyDescent="0.3">
      <c r="A327" s="139" t="s">
        <v>69</v>
      </c>
      <c r="B327" s="147">
        <v>1</v>
      </c>
      <c r="C327" s="147">
        <v>5</v>
      </c>
      <c r="D327" s="147">
        <v>32000</v>
      </c>
      <c r="E327" s="147">
        <v>28555</v>
      </c>
      <c r="F327" s="143">
        <v>30277.5</v>
      </c>
      <c r="G327" s="138">
        <f t="shared" ref="G327:G372" si="8">IF(C327=1,1581.92*(F327^0.6798),IF(C327=2,2991.14*(F327^0.6798),IF(C327=3,3113.49*(F327^0.6798),IF(C327=4,3279.19*(F327^0.6798),IF(C327=5, IF(B327=1,3891.82*(F327^0.6798),IF(B327=2,4076.24*(F327^0.6798),0)),0)))))</f>
        <v>4329304.4745471207</v>
      </c>
    </row>
    <row r="328" spans="1:7" x14ac:dyDescent="0.3">
      <c r="A328" s="63" t="s">
        <v>69</v>
      </c>
      <c r="B328" s="120">
        <v>1</v>
      </c>
      <c r="C328" s="120">
        <v>5</v>
      </c>
      <c r="D328" s="120">
        <v>23500</v>
      </c>
      <c r="E328" s="120">
        <v>22728</v>
      </c>
      <c r="F328" s="98">
        <v>23114</v>
      </c>
      <c r="G328" s="80">
        <f t="shared" si="8"/>
        <v>3603421.3271704805</v>
      </c>
    </row>
    <row r="329" spans="1:7" x14ac:dyDescent="0.3">
      <c r="A329" s="63" t="s">
        <v>69</v>
      </c>
      <c r="B329" s="120">
        <v>1</v>
      </c>
      <c r="C329" s="120">
        <v>5</v>
      </c>
      <c r="D329" s="120">
        <v>11000</v>
      </c>
      <c r="E329" s="120">
        <v>3986</v>
      </c>
      <c r="F329" s="98">
        <v>7493</v>
      </c>
      <c r="G329" s="80">
        <f t="shared" si="8"/>
        <v>1675497.2238717659</v>
      </c>
    </row>
    <row r="330" spans="1:7" x14ac:dyDescent="0.3">
      <c r="A330" s="63" t="s">
        <v>69</v>
      </c>
      <c r="B330" s="120">
        <v>1</v>
      </c>
      <c r="C330" s="120">
        <v>5</v>
      </c>
      <c r="D330" s="120">
        <v>9100</v>
      </c>
      <c r="E330" s="120">
        <v>3566</v>
      </c>
      <c r="F330" s="98">
        <v>6333</v>
      </c>
      <c r="G330" s="80">
        <f t="shared" si="8"/>
        <v>1494468.8785254841</v>
      </c>
    </row>
    <row r="331" spans="1:7" x14ac:dyDescent="0.3">
      <c r="A331" s="63" t="s">
        <v>69</v>
      </c>
      <c r="B331" s="120">
        <v>1</v>
      </c>
      <c r="C331" s="120">
        <v>5</v>
      </c>
      <c r="D331" s="120">
        <v>7000</v>
      </c>
      <c r="E331" s="120">
        <v>2108</v>
      </c>
      <c r="F331" s="98">
        <v>4554</v>
      </c>
      <c r="G331" s="80">
        <f t="shared" si="8"/>
        <v>1194340.9548248823</v>
      </c>
    </row>
    <row r="332" spans="1:7" x14ac:dyDescent="0.3">
      <c r="A332" s="63" t="s">
        <v>69</v>
      </c>
      <c r="B332" s="120">
        <v>1</v>
      </c>
      <c r="C332" s="120">
        <v>4</v>
      </c>
      <c r="D332" s="120">
        <v>4000</v>
      </c>
      <c r="E332" s="120">
        <v>1035</v>
      </c>
      <c r="F332" s="98">
        <v>2517.5</v>
      </c>
      <c r="G332" s="80">
        <f t="shared" si="8"/>
        <v>672582.60798005725</v>
      </c>
    </row>
    <row r="333" spans="1:7" x14ac:dyDescent="0.3">
      <c r="A333" s="63" t="s">
        <v>69</v>
      </c>
      <c r="B333" s="120">
        <v>1</v>
      </c>
      <c r="C333" s="120">
        <v>4</v>
      </c>
      <c r="D333" s="120">
        <v>3000</v>
      </c>
      <c r="E333" s="120">
        <v>2439</v>
      </c>
      <c r="F333" s="98">
        <v>2719.5</v>
      </c>
      <c r="G333" s="80">
        <f t="shared" si="8"/>
        <v>708813.93340929039</v>
      </c>
    </row>
    <row r="334" spans="1:7" x14ac:dyDescent="0.3">
      <c r="A334" s="63" t="s">
        <v>69</v>
      </c>
      <c r="B334" s="120">
        <v>1</v>
      </c>
      <c r="C334" s="120">
        <v>4</v>
      </c>
      <c r="D334" s="120">
        <v>3000</v>
      </c>
      <c r="E334" s="120">
        <v>1737</v>
      </c>
      <c r="F334" s="98">
        <v>2368.5</v>
      </c>
      <c r="G334" s="80">
        <f t="shared" si="8"/>
        <v>645258.28691073123</v>
      </c>
    </row>
    <row r="335" spans="1:7" x14ac:dyDescent="0.3">
      <c r="A335" s="63" t="s">
        <v>69</v>
      </c>
      <c r="B335" s="120">
        <v>1</v>
      </c>
      <c r="C335" s="120">
        <v>4</v>
      </c>
      <c r="D335" s="120">
        <v>2400</v>
      </c>
      <c r="E335" s="120">
        <v>513</v>
      </c>
      <c r="F335" s="98">
        <v>1456.5</v>
      </c>
      <c r="G335" s="80">
        <f t="shared" si="8"/>
        <v>463644.43487453536</v>
      </c>
    </row>
    <row r="336" spans="1:7" ht="15" thickBot="1" x14ac:dyDescent="0.35">
      <c r="A336" s="123" t="s">
        <v>69</v>
      </c>
      <c r="B336" s="103">
        <v>1</v>
      </c>
      <c r="C336" s="103">
        <v>4</v>
      </c>
      <c r="D336" s="103">
        <v>1000</v>
      </c>
      <c r="E336" s="103">
        <v>481</v>
      </c>
      <c r="F336" s="130">
        <v>740.5</v>
      </c>
      <c r="G336" s="111">
        <f t="shared" si="8"/>
        <v>292731.67559330497</v>
      </c>
    </row>
    <row r="337" spans="1:7" x14ac:dyDescent="0.3">
      <c r="A337" s="99" t="s">
        <v>79</v>
      </c>
      <c r="B337" s="50">
        <v>1</v>
      </c>
      <c r="C337" s="50">
        <v>5</v>
      </c>
      <c r="D337" s="50">
        <v>18000</v>
      </c>
      <c r="E337" s="93">
        <v>10237</v>
      </c>
      <c r="F337" s="57">
        <v>14118.5</v>
      </c>
      <c r="G337" s="125">
        <f t="shared" si="8"/>
        <v>2577383.2834103275</v>
      </c>
    </row>
    <row r="338" spans="1:7" x14ac:dyDescent="0.3">
      <c r="A338" s="63" t="s">
        <v>79</v>
      </c>
      <c r="B338" s="95">
        <v>1</v>
      </c>
      <c r="C338" s="95">
        <v>5</v>
      </c>
      <c r="D338" s="95">
        <v>10000</v>
      </c>
      <c r="E338" s="126">
        <v>5645</v>
      </c>
      <c r="F338" s="98">
        <v>7822.5</v>
      </c>
      <c r="G338" s="80">
        <f t="shared" si="8"/>
        <v>1725238.1984891067</v>
      </c>
    </row>
    <row r="339" spans="1:7" x14ac:dyDescent="0.3">
      <c r="A339" s="63" t="s">
        <v>79</v>
      </c>
      <c r="B339" s="95">
        <v>1</v>
      </c>
      <c r="C339" s="95">
        <v>5</v>
      </c>
      <c r="D339" s="95">
        <v>12400</v>
      </c>
      <c r="E339" s="126">
        <v>6801</v>
      </c>
      <c r="F339" s="98">
        <v>9600.5</v>
      </c>
      <c r="G339" s="80">
        <f t="shared" si="8"/>
        <v>1982969.8275790955</v>
      </c>
    </row>
    <row r="340" spans="1:7" x14ac:dyDescent="0.3">
      <c r="A340" s="63" t="s">
        <v>79</v>
      </c>
      <c r="B340" s="95">
        <v>1</v>
      </c>
      <c r="C340" s="95">
        <v>5</v>
      </c>
      <c r="D340" s="95">
        <v>24000</v>
      </c>
      <c r="E340" s="126">
        <v>20405</v>
      </c>
      <c r="F340" s="98">
        <v>22202.5</v>
      </c>
      <c r="G340" s="80">
        <f t="shared" si="8"/>
        <v>3506200.4627993153</v>
      </c>
    </row>
    <row r="341" spans="1:7" x14ac:dyDescent="0.3">
      <c r="A341" s="63" t="s">
        <v>79</v>
      </c>
      <c r="B341" s="95">
        <v>1</v>
      </c>
      <c r="C341" s="95">
        <v>3</v>
      </c>
      <c r="D341" s="95">
        <v>1000</v>
      </c>
      <c r="E341" s="126">
        <v>197</v>
      </c>
      <c r="F341" s="98">
        <v>598.5</v>
      </c>
      <c r="G341" s="80">
        <f t="shared" si="8"/>
        <v>240489.26086945718</v>
      </c>
    </row>
    <row r="342" spans="1:7" x14ac:dyDescent="0.3">
      <c r="A342" s="63" t="s">
        <v>79</v>
      </c>
      <c r="B342" s="95">
        <v>1</v>
      </c>
      <c r="C342" s="95">
        <v>3</v>
      </c>
      <c r="D342" s="95">
        <v>1000</v>
      </c>
      <c r="E342" s="126">
        <v>442</v>
      </c>
      <c r="F342" s="98">
        <v>721</v>
      </c>
      <c r="G342" s="80">
        <f t="shared" si="8"/>
        <v>272942.94182378193</v>
      </c>
    </row>
    <row r="343" spans="1:7" x14ac:dyDescent="0.3">
      <c r="A343" s="63" t="s">
        <v>79</v>
      </c>
      <c r="B343" s="95">
        <v>1</v>
      </c>
      <c r="C343" s="95">
        <v>3</v>
      </c>
      <c r="D343" s="95">
        <v>60</v>
      </c>
      <c r="E343" s="126">
        <v>40</v>
      </c>
      <c r="F343" s="98">
        <v>50</v>
      </c>
      <c r="G343" s="80">
        <f t="shared" si="8"/>
        <v>44484.353588670288</v>
      </c>
    </row>
    <row r="344" spans="1:7" x14ac:dyDescent="0.3">
      <c r="A344" s="63" t="s">
        <v>79</v>
      </c>
      <c r="B344" s="95">
        <v>1</v>
      </c>
      <c r="C344" s="95">
        <v>3</v>
      </c>
      <c r="D344" s="95">
        <v>700</v>
      </c>
      <c r="E344" s="126">
        <v>127</v>
      </c>
      <c r="F344" s="98">
        <v>413.5</v>
      </c>
      <c r="G344" s="80">
        <f t="shared" si="8"/>
        <v>187037.00067200803</v>
      </c>
    </row>
    <row r="345" spans="1:7" x14ac:dyDescent="0.3">
      <c r="A345" s="63" t="s">
        <v>79</v>
      </c>
      <c r="B345" s="95">
        <v>1</v>
      </c>
      <c r="C345" s="95">
        <v>2</v>
      </c>
      <c r="D345" s="95">
        <v>50</v>
      </c>
      <c r="E345" s="126">
        <v>32</v>
      </c>
      <c r="F345" s="98">
        <v>41</v>
      </c>
      <c r="G345" s="80">
        <f t="shared" si="8"/>
        <v>37342.828181656747</v>
      </c>
    </row>
    <row r="346" spans="1:7" x14ac:dyDescent="0.3">
      <c r="A346" s="63" t="s">
        <v>79</v>
      </c>
      <c r="B346" s="95">
        <v>1</v>
      </c>
      <c r="C346" s="95">
        <v>3</v>
      </c>
      <c r="D346" s="95">
        <v>100</v>
      </c>
      <c r="E346" s="126">
        <v>4</v>
      </c>
      <c r="F346" s="98">
        <v>52</v>
      </c>
      <c r="G346" s="80">
        <f t="shared" si="8"/>
        <v>45686.359009477033</v>
      </c>
    </row>
    <row r="347" spans="1:7" x14ac:dyDescent="0.3">
      <c r="A347" s="63" t="s">
        <v>79</v>
      </c>
      <c r="B347" s="95">
        <v>1</v>
      </c>
      <c r="C347" s="95">
        <v>5</v>
      </c>
      <c r="D347" s="95">
        <v>2450</v>
      </c>
      <c r="E347" s="126">
        <v>2132</v>
      </c>
      <c r="F347" s="98">
        <v>2291</v>
      </c>
      <c r="G347" s="80">
        <f t="shared" si="8"/>
        <v>748682.70570456015</v>
      </c>
    </row>
    <row r="348" spans="1:7" ht="15" thickBot="1" x14ac:dyDescent="0.35">
      <c r="A348" s="110" t="s">
        <v>79</v>
      </c>
      <c r="B348" s="45">
        <v>1</v>
      </c>
      <c r="C348" s="45">
        <v>3</v>
      </c>
      <c r="D348" s="45">
        <v>150</v>
      </c>
      <c r="E348" s="116">
        <v>27</v>
      </c>
      <c r="F348" s="92">
        <v>88.5</v>
      </c>
      <c r="G348" s="74">
        <f t="shared" si="8"/>
        <v>65581.22287826777</v>
      </c>
    </row>
    <row r="349" spans="1:7" x14ac:dyDescent="0.3">
      <c r="A349" s="99" t="s">
        <v>70</v>
      </c>
      <c r="B349" s="81">
        <v>2</v>
      </c>
      <c r="C349" s="81">
        <v>5</v>
      </c>
      <c r="D349" s="81">
        <v>170000</v>
      </c>
      <c r="E349" s="81">
        <v>88062</v>
      </c>
      <c r="F349" s="57">
        <v>129031</v>
      </c>
      <c r="G349" s="125">
        <f t="shared" si="8"/>
        <v>12148133.90838062</v>
      </c>
    </row>
    <row r="350" spans="1:7" x14ac:dyDescent="0.3">
      <c r="A350" s="63" t="s">
        <v>70</v>
      </c>
      <c r="B350" s="120">
        <v>1</v>
      </c>
      <c r="C350" s="120">
        <v>5</v>
      </c>
      <c r="D350" s="120">
        <v>13700</v>
      </c>
      <c r="E350" s="120">
        <v>19711</v>
      </c>
      <c r="F350" s="98">
        <v>16705.5</v>
      </c>
      <c r="G350" s="80">
        <f t="shared" si="8"/>
        <v>2889699.0768358805</v>
      </c>
    </row>
    <row r="351" spans="1:7" x14ac:dyDescent="0.3">
      <c r="A351" s="63" t="s">
        <v>70</v>
      </c>
      <c r="B351" s="120">
        <v>1</v>
      </c>
      <c r="C351" s="120">
        <v>4</v>
      </c>
      <c r="D351" s="120">
        <v>3600</v>
      </c>
      <c r="E351" s="120">
        <v>1987</v>
      </c>
      <c r="F351" s="98">
        <v>2793.5</v>
      </c>
      <c r="G351" s="80">
        <f t="shared" si="8"/>
        <v>721869.09776232159</v>
      </c>
    </row>
    <row r="352" spans="1:7" x14ac:dyDescent="0.3">
      <c r="A352" s="63" t="s">
        <v>70</v>
      </c>
      <c r="B352" s="120">
        <v>1</v>
      </c>
      <c r="C352" s="120">
        <v>4</v>
      </c>
      <c r="D352" s="120">
        <v>2400</v>
      </c>
      <c r="E352" s="120">
        <v>774</v>
      </c>
      <c r="F352" s="98">
        <v>1587</v>
      </c>
      <c r="G352" s="80">
        <f t="shared" si="8"/>
        <v>491494.62837950425</v>
      </c>
    </row>
    <row r="353" spans="1:7" x14ac:dyDescent="0.3">
      <c r="A353" s="63" t="s">
        <v>70</v>
      </c>
      <c r="B353" s="120">
        <v>1</v>
      </c>
      <c r="C353" s="120">
        <v>4</v>
      </c>
      <c r="D353" s="120">
        <v>3150</v>
      </c>
      <c r="E353" s="120">
        <v>2076</v>
      </c>
      <c r="F353" s="98">
        <v>2613</v>
      </c>
      <c r="G353" s="80">
        <f t="shared" si="8"/>
        <v>689823.4466157906</v>
      </c>
    </row>
    <row r="354" spans="1:7" x14ac:dyDescent="0.3">
      <c r="A354" s="63" t="s">
        <v>70</v>
      </c>
      <c r="B354" s="120">
        <v>1</v>
      </c>
      <c r="C354" s="120">
        <v>5</v>
      </c>
      <c r="D354" s="120">
        <v>14000</v>
      </c>
      <c r="E354" s="120">
        <v>7339</v>
      </c>
      <c r="F354" s="98">
        <v>10669.5</v>
      </c>
      <c r="G354" s="80">
        <f t="shared" si="8"/>
        <v>2130517.3871554756</v>
      </c>
    </row>
    <row r="355" spans="1:7" x14ac:dyDescent="0.3">
      <c r="A355" s="63" t="s">
        <v>70</v>
      </c>
      <c r="B355" s="120">
        <v>1</v>
      </c>
      <c r="C355" s="120">
        <v>4</v>
      </c>
      <c r="D355" s="120">
        <v>3400</v>
      </c>
      <c r="E355" s="120">
        <v>3903</v>
      </c>
      <c r="F355" s="98">
        <v>3651.5</v>
      </c>
      <c r="G355" s="80">
        <f t="shared" si="8"/>
        <v>866033.26523458888</v>
      </c>
    </row>
    <row r="356" spans="1:7" x14ac:dyDescent="0.3">
      <c r="A356" s="63" t="s">
        <v>70</v>
      </c>
      <c r="B356" s="120">
        <v>1</v>
      </c>
      <c r="C356" s="120">
        <v>4</v>
      </c>
      <c r="D356" s="120">
        <v>1300</v>
      </c>
      <c r="E356" s="120">
        <v>6556</v>
      </c>
      <c r="F356" s="98">
        <v>3928</v>
      </c>
      <c r="G356" s="80">
        <f t="shared" si="8"/>
        <v>910090.02099425439</v>
      </c>
    </row>
    <row r="357" spans="1:7" x14ac:dyDescent="0.3">
      <c r="A357" s="63" t="s">
        <v>70</v>
      </c>
      <c r="B357" s="120">
        <v>2</v>
      </c>
      <c r="C357" s="120">
        <v>5</v>
      </c>
      <c r="D357" s="120">
        <v>42500</v>
      </c>
      <c r="E357" s="120">
        <v>28549</v>
      </c>
      <c r="F357" s="98">
        <v>35524.5</v>
      </c>
      <c r="G357" s="80">
        <f t="shared" si="8"/>
        <v>5054854.5448578009</v>
      </c>
    </row>
    <row r="358" spans="1:7" x14ac:dyDescent="0.3">
      <c r="A358" s="63" t="s">
        <v>70</v>
      </c>
      <c r="B358" s="120">
        <v>1</v>
      </c>
      <c r="C358" s="120">
        <v>5</v>
      </c>
      <c r="D358" s="120">
        <v>14500</v>
      </c>
      <c r="E358" s="120">
        <v>4916</v>
      </c>
      <c r="F358" s="98">
        <v>9708</v>
      </c>
      <c r="G358" s="80">
        <f t="shared" si="8"/>
        <v>1998037.1624916312</v>
      </c>
    </row>
    <row r="359" spans="1:7" x14ac:dyDescent="0.3">
      <c r="A359" s="63" t="s">
        <v>70</v>
      </c>
      <c r="B359" s="120">
        <v>2</v>
      </c>
      <c r="C359" s="120">
        <v>4</v>
      </c>
      <c r="D359" s="120">
        <v>4500</v>
      </c>
      <c r="E359" s="120">
        <v>1226</v>
      </c>
      <c r="F359" s="98">
        <v>2863</v>
      </c>
      <c r="G359" s="80">
        <f t="shared" si="8"/>
        <v>734029.87034893781</v>
      </c>
    </row>
    <row r="360" spans="1:7" x14ac:dyDescent="0.3">
      <c r="A360" s="63" t="s">
        <v>70</v>
      </c>
      <c r="B360" s="120">
        <v>1</v>
      </c>
      <c r="C360" s="120">
        <v>4</v>
      </c>
      <c r="D360" s="120">
        <v>1000</v>
      </c>
      <c r="E360" s="120">
        <v>350</v>
      </c>
      <c r="F360" s="98">
        <v>675</v>
      </c>
      <c r="G360" s="80">
        <f t="shared" si="8"/>
        <v>274869.96407755307</v>
      </c>
    </row>
    <row r="361" spans="1:7" x14ac:dyDescent="0.3">
      <c r="A361" s="63" t="s">
        <v>70</v>
      </c>
      <c r="B361" s="120">
        <v>1</v>
      </c>
      <c r="C361" s="120">
        <v>4</v>
      </c>
      <c r="D361" s="120">
        <v>4500</v>
      </c>
      <c r="E361" s="120">
        <v>3510</v>
      </c>
      <c r="F361" s="98">
        <v>4005</v>
      </c>
      <c r="G361" s="80">
        <f t="shared" si="8"/>
        <v>922180.15963027335</v>
      </c>
    </row>
    <row r="362" spans="1:7" ht="15" thickBot="1" x14ac:dyDescent="0.35">
      <c r="A362" s="123" t="s">
        <v>70</v>
      </c>
      <c r="B362" s="103">
        <v>1</v>
      </c>
      <c r="C362" s="103">
        <v>4</v>
      </c>
      <c r="D362" s="103">
        <v>1200</v>
      </c>
      <c r="E362" s="103">
        <v>931</v>
      </c>
      <c r="F362" s="130">
        <v>1065.5</v>
      </c>
      <c r="G362" s="111">
        <f t="shared" si="8"/>
        <v>374884.44350730407</v>
      </c>
    </row>
    <row r="363" spans="1:7" x14ac:dyDescent="0.3">
      <c r="A363" s="99" t="s">
        <v>72</v>
      </c>
      <c r="B363" s="81">
        <v>2</v>
      </c>
      <c r="C363" s="81">
        <v>5</v>
      </c>
      <c r="D363" s="81">
        <v>220000</v>
      </c>
      <c r="E363" s="81">
        <v>172561</v>
      </c>
      <c r="F363" s="57">
        <v>196280.5</v>
      </c>
      <c r="G363" s="125">
        <f t="shared" si="8"/>
        <v>16156885.110477952</v>
      </c>
    </row>
    <row r="364" spans="1:7" x14ac:dyDescent="0.3">
      <c r="A364" s="63" t="s">
        <v>72</v>
      </c>
      <c r="B364" s="120">
        <v>1</v>
      </c>
      <c r="C364" s="120">
        <v>5</v>
      </c>
      <c r="D364" s="120">
        <v>120000</v>
      </c>
      <c r="E364" s="120">
        <v>76168</v>
      </c>
      <c r="F364" s="98">
        <v>98084</v>
      </c>
      <c r="G364" s="80">
        <f t="shared" si="8"/>
        <v>9625896.3426174913</v>
      </c>
    </row>
    <row r="365" spans="1:7" x14ac:dyDescent="0.3">
      <c r="A365" s="63" t="s">
        <v>72</v>
      </c>
      <c r="B365" s="120">
        <v>2</v>
      </c>
      <c r="C365" s="120">
        <v>5</v>
      </c>
      <c r="D365" s="120">
        <v>84000</v>
      </c>
      <c r="E365" s="120">
        <v>63289</v>
      </c>
      <c r="F365" s="98">
        <v>73644.5</v>
      </c>
      <c r="G365" s="80">
        <f t="shared" si="8"/>
        <v>8297394.4117537579</v>
      </c>
    </row>
    <row r="366" spans="1:7" x14ac:dyDescent="0.3">
      <c r="A366" s="63" t="s">
        <v>72</v>
      </c>
      <c r="B366" s="120">
        <v>2</v>
      </c>
      <c r="C366" s="120">
        <v>5</v>
      </c>
      <c r="D366" s="120">
        <v>83000</v>
      </c>
      <c r="E366" s="120">
        <v>35111</v>
      </c>
      <c r="F366" s="98">
        <v>59055.5</v>
      </c>
      <c r="G366" s="80">
        <f t="shared" si="8"/>
        <v>7141057.5470804395</v>
      </c>
    </row>
    <row r="367" spans="1:7" x14ac:dyDescent="0.3">
      <c r="A367" s="63" t="s">
        <v>72</v>
      </c>
      <c r="B367" s="120">
        <v>1</v>
      </c>
      <c r="C367" s="120">
        <v>5</v>
      </c>
      <c r="D367" s="120">
        <v>6000</v>
      </c>
      <c r="E367" s="120">
        <v>3182</v>
      </c>
      <c r="F367" s="98">
        <v>4591</v>
      </c>
      <c r="G367" s="80">
        <f t="shared" si="8"/>
        <v>1200928.97486365</v>
      </c>
    </row>
    <row r="368" spans="1:7" x14ac:dyDescent="0.3">
      <c r="A368" s="63" t="s">
        <v>72</v>
      </c>
      <c r="B368" s="120">
        <v>1</v>
      </c>
      <c r="C368" s="120">
        <v>5</v>
      </c>
      <c r="D368" s="120">
        <v>6000</v>
      </c>
      <c r="E368" s="120">
        <v>5990</v>
      </c>
      <c r="F368" s="98">
        <v>5995</v>
      </c>
      <c r="G368" s="80">
        <f t="shared" si="8"/>
        <v>1439772.3707394339</v>
      </c>
    </row>
    <row r="369" spans="1:7" x14ac:dyDescent="0.3">
      <c r="A369" s="63" t="s">
        <v>72</v>
      </c>
      <c r="B369" s="120">
        <v>1</v>
      </c>
      <c r="C369" s="120">
        <v>5</v>
      </c>
      <c r="D369" s="120">
        <v>6000</v>
      </c>
      <c r="E369" s="120">
        <v>2995</v>
      </c>
      <c r="F369" s="98">
        <v>4497.5</v>
      </c>
      <c r="G369" s="80">
        <f t="shared" si="8"/>
        <v>1184247.6955733667</v>
      </c>
    </row>
    <row r="370" spans="1:7" x14ac:dyDescent="0.3">
      <c r="A370" s="63" t="s">
        <v>72</v>
      </c>
      <c r="B370" s="120">
        <v>1</v>
      </c>
      <c r="C370" s="120">
        <v>5</v>
      </c>
      <c r="D370" s="120">
        <v>6000</v>
      </c>
      <c r="E370" s="120">
        <v>3172</v>
      </c>
      <c r="F370" s="98">
        <v>4586</v>
      </c>
      <c r="G370" s="80">
        <f t="shared" si="8"/>
        <v>1200039.6980897905</v>
      </c>
    </row>
    <row r="371" spans="1:7" x14ac:dyDescent="0.3">
      <c r="A371" s="63" t="s">
        <v>72</v>
      </c>
      <c r="B371" s="120">
        <v>1</v>
      </c>
      <c r="C371" s="120">
        <v>5</v>
      </c>
      <c r="D371" s="120">
        <v>4100</v>
      </c>
      <c r="E371" s="120">
        <v>2932</v>
      </c>
      <c r="F371" s="98">
        <v>3516</v>
      </c>
      <c r="G371" s="80">
        <f t="shared" si="8"/>
        <v>1001744.0347551603</v>
      </c>
    </row>
    <row r="372" spans="1:7" ht="15" thickBot="1" x14ac:dyDescent="0.35">
      <c r="A372" s="123" t="s">
        <v>72</v>
      </c>
      <c r="B372" s="103">
        <v>1</v>
      </c>
      <c r="C372" s="103">
        <v>5</v>
      </c>
      <c r="D372" s="103">
        <v>10000</v>
      </c>
      <c r="E372" s="103">
        <v>6240</v>
      </c>
      <c r="F372" s="130">
        <v>8120</v>
      </c>
      <c r="G372" s="111">
        <f t="shared" si="8"/>
        <v>1769574.8376528569</v>
      </c>
    </row>
  </sheetData>
  <customSheetViews>
    <customSheetView guid="{CA125778-F8FD-4378-B746-C94ABF8D8556}" topLeftCell="A698">
      <selection activeCell="I725" sqref="I725"/>
      <pageMargins left="0.7" right="0.7" top="0.75" bottom="0.75" header="0.3" footer="0.3"/>
      <pageSetup paperSize="9" orientation="portrait" r:id="rId1"/>
    </customSheetView>
    <customSheetView guid="{671B1274-D827-4B17-9362-3AC860C70530}" topLeftCell="A698">
      <selection activeCell="I725" sqref="I725"/>
      <pageMargins left="0.7" right="0.7" top="0.75" bottom="0.75" header="0.3" footer="0.3"/>
      <pageSetup paperSize="9" orientation="portrait" r:id="rId2"/>
    </customSheetView>
    <customSheetView guid="{88D7A6C6-1D77-4300-8600-F7BD640C7FF4}">
      <pane ySplit="1" topLeftCell="A17" activePane="bottomLeft" state="frozen"/>
      <selection pane="bottomLeft" activeCell="C27" sqref="C27"/>
      <pageMargins left="0.7" right="0.7" top="0.75" bottom="0.75" header="0.3" footer="0.3"/>
      <pageSetup paperSize="9" orientation="portrait" r:id="rId3"/>
    </customSheetView>
    <customSheetView guid="{630A50AD-37E0-4B13-8A0F-82608C065D57}" topLeftCell="A212">
      <selection activeCell="E221" sqref="E221"/>
      <pageMargins left="0.7" right="0.7" top="0.75" bottom="0.75" header="0.3" footer="0.3"/>
      <pageSetup paperSize="9" orientation="portrait" r:id="rId4"/>
    </customSheetView>
    <customSheetView guid="{80E426B4-B9D0-45E3-ACA1-6AA797532F97}" topLeftCell="A212">
      <selection activeCell="E221" sqref="E221"/>
      <pageMargins left="0.7" right="0.7" top="0.75" bottom="0.75" header="0.3" footer="0.3"/>
      <pageSetup paperSize="9" orientation="portrait" r:id="rId5"/>
    </customSheetView>
    <customSheetView guid="{A178F800-3B7E-4511-BF10-5AA233FDE985}" topLeftCell="A212">
      <selection activeCell="E221" sqref="E221"/>
      <pageMargins left="0.7" right="0.7" top="0.75" bottom="0.75" header="0.3" footer="0.3"/>
      <pageSetup paperSize="9" orientation="portrait" r:id="rId6"/>
    </customSheetView>
    <customSheetView guid="{1AAC2EB3-B963-4CB8-8604-06326666FF8C}" topLeftCell="A212">
      <selection activeCell="E221" sqref="E221"/>
      <pageMargins left="0.7" right="0.7" top="0.75" bottom="0.75" header="0.3" footer="0.3"/>
      <pageSetup paperSize="9" orientation="portrait" r:id="rId7"/>
    </customSheetView>
    <customSheetView guid="{898A57C7-EA84-4A1C-AA42-8284F31DD32C}">
      <pane xSplit="1" ySplit="1" topLeftCell="B311" activePane="bottomRight" state="frozen"/>
      <selection pane="bottomRight" activeCell="D319" sqref="D319"/>
      <pageMargins left="0.7" right="0.7" top="0.75" bottom="0.75" header="0.3" footer="0.3"/>
      <pageSetup paperSize="9" orientation="portrait" r:id="rId8"/>
    </customSheetView>
  </customSheetViews>
  <pageMargins left="0.7" right="0.7" top="0.75" bottom="0.75" header="0.3" footer="0.3"/>
  <pageSetup paperSize="9" orientation="portrait" r:id="rId9"/>
  <legacyDrawing r:id="rId1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Potentialer og krav</vt:lpstr>
      <vt:lpstr>Netvolumenmål</vt:lpstr>
      <vt:lpstr>Costdrivere</vt:lpstr>
      <vt:lpstr>Renseanlæg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Rikke Leerberg Jørgensen</dc:creator>
  <cp:lastModifiedBy>Birgitte Klitsgaard</cp:lastModifiedBy>
  <cp:lastPrinted>2013-11-05T09:46:23Z</cp:lastPrinted>
  <dcterms:created xsi:type="dcterms:W3CDTF">2006-09-16T00:00:00Z</dcterms:created>
  <dcterms:modified xsi:type="dcterms:W3CDTF">2014-01-10T09:48:39Z</dcterms:modified>
</cp:coreProperties>
</file>