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705" windowWidth="27630" windowHeight="10740" activeTab="0"/>
  </bookViews>
  <sheets>
    <sheet name="SPILDEVAND" sheetId="1" r:id="rId1"/>
    <sheet name="Renseanlæg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Rikke Leerberg J?rgensen (KFST)</author>
    <author>Katrine Stagaard</author>
  </authors>
  <commentList>
    <comment ref="AX81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Ændret efter selskabets HS - før 9779</t>
        </r>
      </text>
    </comment>
    <comment ref="BS81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rettet efter HS fra selsabet - før 60.750.963</t>
        </r>
      </text>
    </comment>
    <comment ref="AX99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ændrat på baggrund af HS - før 1917</t>
        </r>
      </text>
    </comment>
    <comment ref="M31" authorId="1">
      <text>
        <r>
          <rPr>
            <b/>
            <sz val="10"/>
            <rFont val="Tahoma"/>
            <family val="2"/>
          </rPr>
          <t>Katrine Stagaard:</t>
        </r>
        <r>
          <rPr>
            <sz val="10"/>
            <rFont val="Tahoma"/>
            <family val="2"/>
          </rPr>
          <t xml:space="preserve">
Det rigtige beløb er lavere (45.554.628 kr.), men da vi har sendt afgørelse med det forkerte beløb, og da dette er til fordel for selskabet, har jeg ikke ændret tallet.</t>
        </r>
      </text>
    </comment>
  </commentList>
</comments>
</file>

<file path=xl/comments2.xml><?xml version="1.0" encoding="utf-8"?>
<comments xmlns="http://schemas.openxmlformats.org/spreadsheetml/2006/main">
  <authors>
    <author>Rikke Leerberg J?rgensen (KFST)</author>
  </authors>
  <commentList>
    <comment ref="D600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ændrat på baggrund af HS - før 130.000</t>
        </r>
      </text>
    </comment>
    <comment ref="H614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ændrat på baggrund af HS - før28.892.318,26</t>
        </r>
      </text>
    </comment>
    <comment ref="I614" authorId="0">
      <text>
        <r>
          <rPr>
            <b/>
            <sz val="8"/>
            <rFont val="Tahoma"/>
            <family val="2"/>
          </rPr>
          <t>Rikke Leerberg Jørgensen (KFST):</t>
        </r>
        <r>
          <rPr>
            <sz val="8"/>
            <rFont val="Tahoma"/>
            <family val="2"/>
          </rPr>
          <t xml:space="preserve">
ændrat på baggrund af HS - før 28.892.692</t>
        </r>
      </text>
    </comment>
  </commentList>
</comments>
</file>

<file path=xl/sharedStrings.xml><?xml version="1.0" encoding="utf-8"?>
<sst xmlns="http://schemas.openxmlformats.org/spreadsheetml/2006/main" count="938" uniqueCount="187">
  <si>
    <t>Selskabs navn</t>
  </si>
  <si>
    <t>Kunder</t>
  </si>
  <si>
    <t>Rebild Vand &amp; Spildevand A/S</t>
  </si>
  <si>
    <t>Selskabets samlede el forbrug (kWt)</t>
  </si>
  <si>
    <t>Vandcenter Syd as</t>
  </si>
  <si>
    <t>Herning Vand A/S</t>
  </si>
  <si>
    <t>Hjørring Vandselskab A/S</t>
  </si>
  <si>
    <t>Skive Vand A/S</t>
  </si>
  <si>
    <t>AquaDjurs as</t>
  </si>
  <si>
    <t>Mariagerfjord Vand a/s</t>
  </si>
  <si>
    <t>Ærø Vand A/S</t>
  </si>
  <si>
    <t>Randers Spildevand A/S</t>
  </si>
  <si>
    <t>Hørsholm Vand ApS</t>
  </si>
  <si>
    <t>Morsø Forsyning A/S</t>
  </si>
  <si>
    <t>Horsens Vand A/S</t>
  </si>
  <si>
    <t>Vesthimmerlands Vand A/S</t>
  </si>
  <si>
    <t>Århus Vand A/S</t>
  </si>
  <si>
    <t>Fanø Vand A/S</t>
  </si>
  <si>
    <t>Vejen Forsyning A/S</t>
  </si>
  <si>
    <t>Jammerbugt Forsyning A/S</t>
  </si>
  <si>
    <t>Skanderborg Forsyningsvirksomhed A/S</t>
  </si>
  <si>
    <t>Lemvig Vand og Spildevand A/S</t>
  </si>
  <si>
    <t>Rudersdal Forsyning A/S</t>
  </si>
  <si>
    <t>Halsnaes Forsyning A/S</t>
  </si>
  <si>
    <t>Læsø Vand A/S</t>
  </si>
  <si>
    <t>Land (længde i km med dimension &lt;= 200 mm)</t>
  </si>
  <si>
    <t>Land (længde i km med dimension &gt; 200 mm)</t>
  </si>
  <si>
    <t>By (længde i km med dimension &lt;= 200 mm)</t>
  </si>
  <si>
    <t>By (længde i km med dimension &gt; 200 mm)</t>
  </si>
  <si>
    <t>City (længde i kilometer med dimension &lt;= 200 mm)</t>
  </si>
  <si>
    <t>City (længde i km med dimension &gt; 200 mm)</t>
  </si>
  <si>
    <t>Indre city (længde i km med dimension &lt;= 200 mm)</t>
  </si>
  <si>
    <t>Indre city (længde i km med dimension &gt; 200 mm)</t>
  </si>
  <si>
    <t>Pumpestationer</t>
  </si>
  <si>
    <t>Antal husstandspumper (stk)</t>
  </si>
  <si>
    <t>0 l/s - 10 l/s (stk)</t>
  </si>
  <si>
    <t>Samlet kap. (ml 0 l/s -10 l/s)</t>
  </si>
  <si>
    <t>11 l/s - 100 l/s (stk)</t>
  </si>
  <si>
    <t>Samlet kap. (ml 11 l/s -10 0l/s)</t>
  </si>
  <si>
    <t>101 l/s - 300 l/s (stk)</t>
  </si>
  <si>
    <t>Samlet kap. (ml 101 l/s -300 l/s)</t>
  </si>
  <si>
    <t>301 l/s - 600 l/s (stk)</t>
  </si>
  <si>
    <t>Samlet kap. (ml 301 l/s -600 l/s)</t>
  </si>
  <si>
    <t>601 l/s - 1000 l/s (stk)</t>
  </si>
  <si>
    <t>Samlet kap. (ml 601 l/s -1000 l/s)</t>
  </si>
  <si>
    <t>over 1000 l/s (stk)</t>
  </si>
  <si>
    <t>Samlet kap. (over 1000 l/s)</t>
  </si>
  <si>
    <t>Regnvandsbassiner</t>
  </si>
  <si>
    <t>Spildevandsbassiner</t>
  </si>
  <si>
    <t>Slambehandling</t>
  </si>
  <si>
    <t>Minirenseanlæg</t>
  </si>
  <si>
    <t>Antal (stk)</t>
  </si>
  <si>
    <t>Tons tørstof A-slam</t>
  </si>
  <si>
    <t>Tons tørstof B-slam</t>
  </si>
  <si>
    <t>Tons tørstof C-slam</t>
  </si>
  <si>
    <t>Samlet kap. (PE)</t>
  </si>
  <si>
    <r>
      <t>Areal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</si>
  <si>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Lynettefællesskabet I/S</t>
  </si>
  <si>
    <t>Hunseby Renseanlæg</t>
  </si>
  <si>
    <t>Spildevandscenter Avedøre I/S</t>
  </si>
  <si>
    <t>Energi Viborg Spildevand A/S</t>
  </si>
  <si>
    <t>KE Afløb A/S</t>
  </si>
  <si>
    <t>FFV Spildevand A/S</t>
  </si>
  <si>
    <t>Vestforsyning Spildevand A/S</t>
  </si>
  <si>
    <t>SK Spildevand A/S</t>
  </si>
  <si>
    <t>Syddjurs Spildevand A/S</t>
  </si>
  <si>
    <t>NFS Spildevand A/S</t>
  </si>
  <si>
    <t>Frederiksberg Kloak A/S</t>
  </si>
  <si>
    <t>Dragør Spildevand A/S</t>
  </si>
  <si>
    <t>Svendborg Spildevand A/S</t>
  </si>
  <si>
    <t>Herlev Kloak A/S</t>
  </si>
  <si>
    <t>HTK Kloak A/S</t>
  </si>
  <si>
    <t>Køge Afløb A/S</t>
  </si>
  <si>
    <t>Vordingborg Spildevand A/S</t>
  </si>
  <si>
    <t>Hvidovre Spildevand A/S</t>
  </si>
  <si>
    <t>Lolland Spildevand A/S</t>
  </si>
  <si>
    <t>Ringsted Spildevand A/S</t>
  </si>
  <si>
    <t>Brønderslev Spildevand A/S</t>
  </si>
  <si>
    <t>Faxe Spildevand A/S</t>
  </si>
  <si>
    <t>Bornholms Spildevand A/S</t>
  </si>
  <si>
    <t>Hillerød Spildevand A/S</t>
  </si>
  <si>
    <t>Odsherred Spildevand A/S</t>
  </si>
  <si>
    <t>Kalundborg Renseanlæg A/S</t>
  </si>
  <si>
    <t>Kalundborg Spildevandsanlæg A/S</t>
  </si>
  <si>
    <t>Silkeborg Spildevand A/S</t>
  </si>
  <si>
    <t>Sønderborg Spildevandsforsyning A/S</t>
  </si>
  <si>
    <t>Gentofte Spildevand A/S</t>
  </si>
  <si>
    <t>Gladsaxe Spildevand A/S</t>
  </si>
  <si>
    <t>Tønder Spildevand A/S</t>
  </si>
  <si>
    <t>Kerteminde Forsyning - Spildevand A/S</t>
  </si>
  <si>
    <t>VARDE KLOAK OG SPILDEVAND A/S</t>
  </si>
  <si>
    <t>Allerød Spildevand A/S</t>
  </si>
  <si>
    <t>NK-Spildevand A/S</t>
  </si>
  <si>
    <t>Assens Spildevand A/S</t>
  </si>
  <si>
    <t>Egedal Spildevand A/S</t>
  </si>
  <si>
    <t>Middelfart Spildevand A/S</t>
  </si>
  <si>
    <t>Frederikssund Spildevand A/S</t>
  </si>
  <si>
    <t>Stevns Spildevand A/S</t>
  </si>
  <si>
    <t>Greve Spildevand A/S</t>
  </si>
  <si>
    <t>Lyngby-Taarbæk Spildevand A/S</t>
  </si>
  <si>
    <t>Thisted Spildevand A/S</t>
  </si>
  <si>
    <t>Guldborgsund Spildevand A/S</t>
  </si>
  <si>
    <t>Langeland Spildevand ApS</t>
  </si>
  <si>
    <t>Ikast-Brande Spildevand A/S</t>
  </si>
  <si>
    <t>Aalborg Forsyning, Kloak A/S</t>
  </si>
  <si>
    <t>Helsingør Forsyning Spildevand A/S</t>
  </si>
  <si>
    <t>Hedensted Spildevand</t>
  </si>
  <si>
    <t>Fredericia Spildevand A/S</t>
  </si>
  <si>
    <t>Afløb Ballerup A/S</t>
  </si>
  <si>
    <t>Esbjerg Spildevand A/S</t>
  </si>
  <si>
    <t>Rødovre Spildevand A/S</t>
  </si>
  <si>
    <t>TÅRNBYFORSYNING Spildevand</t>
  </si>
  <si>
    <t>Fredensborg Spildevand A/S</t>
  </si>
  <si>
    <t>Gribvand Spildevand A/S</t>
  </si>
  <si>
    <t>Samsø Spildevand A/S</t>
  </si>
  <si>
    <t>Holbæk Spildevand A/S</t>
  </si>
  <si>
    <t>Kolding Spildevand A/S</t>
  </si>
  <si>
    <t>Roskilde Spildevand A/S</t>
  </si>
  <si>
    <t>Ishøj Spildevand A/S</t>
  </si>
  <si>
    <t>Vejle Spildevand a/s</t>
  </si>
  <si>
    <t>Haderslev Spildevand A/S</t>
  </si>
  <si>
    <t>Brøndby Kloakforsyning A/S</t>
  </si>
  <si>
    <t>Favrskov Spildevand A/S</t>
  </si>
  <si>
    <t>Odder Spildevand A/S</t>
  </si>
  <si>
    <t>Vallensbæk Kloakforsyning A/S</t>
  </si>
  <si>
    <t>Billund Spildevand A/S</t>
  </si>
  <si>
    <t>Glostrup Spildevand a/s</t>
  </si>
  <si>
    <t>Frederikshavn Spildevand A/S</t>
  </si>
  <si>
    <t>Albertslund Spildevand A/S</t>
  </si>
  <si>
    <t>Arwos Spildevand A/S</t>
  </si>
  <si>
    <t>Solrød Spildevand A/S</t>
  </si>
  <si>
    <t>Ringkøbing-Skjern Spildevand A/S</t>
  </si>
  <si>
    <t>Struer Forsyning Spildevand A/S</t>
  </si>
  <si>
    <t>Sorø Spildevand A/S</t>
  </si>
  <si>
    <t>Måløv Rens A/S</t>
  </si>
  <si>
    <t>Ringsted Centralrenseanlæg A/S</t>
  </si>
  <si>
    <t>Mølleåværket A/S</t>
  </si>
  <si>
    <t>Ikke angivet</t>
  </si>
  <si>
    <t>Særlige forhold</t>
  </si>
  <si>
    <t>Tæthedskorrigeret Netvolumenmål</t>
  </si>
  <si>
    <t>Alderskorrigeret Netvolumenmål</t>
  </si>
  <si>
    <t>Netvolumenmål</t>
  </si>
  <si>
    <t>Måler_pr_ledning</t>
  </si>
  <si>
    <t>Ledninger</t>
  </si>
  <si>
    <t>Renseanlæg</t>
  </si>
  <si>
    <t>Alder ledning</t>
  </si>
  <si>
    <r>
      <t>Volumen 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</si>
  <si>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Antal målere (målere)</t>
  </si>
  <si>
    <t>FADO_2011</t>
  </si>
  <si>
    <t>Middelværdi</t>
  </si>
  <si>
    <t>Varians</t>
  </si>
  <si>
    <t>Standardafvigelse</t>
  </si>
  <si>
    <t>Standardafvigelse (minus)</t>
  </si>
  <si>
    <t>Reduktion</t>
  </si>
  <si>
    <t>Lejre Spildevand A/S</t>
  </si>
  <si>
    <t>Gruppe</t>
  </si>
  <si>
    <t>Sum af ledninger, regnvandsbassiner og kunder</t>
  </si>
  <si>
    <t>DOiPL</t>
  </si>
  <si>
    <t>Potentiale i pct.</t>
  </si>
  <si>
    <t>Potentiale i kr.</t>
  </si>
  <si>
    <t>Potentiale uden særlige forhold i kr.</t>
  </si>
  <si>
    <t>Potentiale uden særlige forhold i pct.</t>
  </si>
  <si>
    <t>Korrigerede potentiale i pct.</t>
  </si>
  <si>
    <t>Korrigerde potentiale i kr.</t>
  </si>
  <si>
    <t>Effektive driftsomkostninger</t>
  </si>
  <si>
    <t>Net</t>
  </si>
  <si>
    <t>Alder</t>
  </si>
  <si>
    <t>Net_plus20</t>
  </si>
  <si>
    <t>Alder_plus20</t>
  </si>
  <si>
    <t>Tathed</t>
  </si>
  <si>
    <t>Tathed_plus20</t>
  </si>
  <si>
    <t>Krav i pct.</t>
  </si>
  <si>
    <t>Krav i kr.</t>
  </si>
  <si>
    <t>Umiddelbare krav i pct.</t>
  </si>
  <si>
    <t>Afvigelse fra standardafvigelse</t>
  </si>
  <si>
    <t>Korrigerede potentiale efter reduktion i pct.</t>
  </si>
  <si>
    <t>Andel af distribution</t>
  </si>
  <si>
    <t>Selskab navn</t>
  </si>
  <si>
    <t>Zoneplacering (1=land, 2=by)</t>
  </si>
  <si>
    <t>Type af rensning (1=M, 2=MK,3= MBN, 4=MBNK/MBND, 5=MBNKD)</t>
  </si>
  <si>
    <t>Organisk Kapacitet (PE)</t>
  </si>
  <si>
    <t>Faktisk organisk belastningsgrad (PE)</t>
  </si>
  <si>
    <t>Gns. Kap. og FakKap.</t>
  </si>
  <si>
    <t>Netvolumen-bidrags koefficient</t>
  </si>
  <si>
    <t>Netvolumen-bridrag uden konstant</t>
  </si>
  <si>
    <t>Total netvolumenbidrag</t>
  </si>
  <si>
    <t>Furesø Spildevand A/S</t>
  </si>
</sst>
</file>

<file path=xl/styles.xml><?xml version="1.0" encoding="utf-8"?>
<styleSheet xmlns="http://schemas.openxmlformats.org/spreadsheetml/2006/main">
  <numFmts count="3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000"/>
    <numFmt numFmtId="165" formatCode="&quot;Ja&quot;;&quot;Ja&quot;;&quot;Nej&quot;"/>
    <numFmt numFmtId="166" formatCode="&quot;Sandt&quot;;&quot;Sandt&quot;;&quot;Falsk&quot;"/>
    <numFmt numFmtId="167" formatCode="&quot;Til&quot;;&quot;Til&quot;;&quot;Fra&quot;"/>
    <numFmt numFmtId="168" formatCode="[$€-2]\ #.##000_);[Red]\([$€-2]\ #.##000\)"/>
    <numFmt numFmtId="169" formatCode="0.000%"/>
    <numFmt numFmtId="170" formatCode="#,##0.000"/>
    <numFmt numFmtId="171" formatCode="#,##0.0"/>
    <numFmt numFmtId="172" formatCode="0.0%"/>
    <numFmt numFmtId="173" formatCode="_ &quot;SFr.&quot;\ * #,##0_ ;_ &quot;SFr.&quot;\ * \-#,##0_ ;_ &quot;SFr.&quot;\ * &quot;-&quot;_ ;_ @_ "/>
    <numFmt numFmtId="174" formatCode="_ &quot;SFr.&quot;\ * #,##0.00_ ;_ &quot;SFr.&quot;\ * \-#,##0.00_ ;_ &quot;SFr.&quot;\ * &quot;-&quot;??_ ;_ @_ "/>
    <numFmt numFmtId="175" formatCode="_ * #,##0.0_ ;_ * \-#,##0.0_ ;_ * &quot;-&quot;??_ ;_ @_ "/>
    <numFmt numFmtId="176" formatCode="_ * #,##0_ ;_ * \-#,##0_ ;_ * &quot;-&quot;??_ ;_ @_ "/>
    <numFmt numFmtId="177" formatCode="_(* #,##0.00_);_(* \(#,##0.00\);_(* &quot;-&quot;??_);_(@_)"/>
    <numFmt numFmtId="178" formatCode="#,##0.00000"/>
    <numFmt numFmtId="179" formatCode="#,##0.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%"/>
    <numFmt numFmtId="187" formatCode="0.00000%"/>
    <numFmt numFmtId="188" formatCode="0.000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4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>
        <color rgb="FF000000"/>
      </left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vertical="center" wrapText="1"/>
    </xf>
    <xf numFmtId="1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wrapText="1"/>
    </xf>
    <xf numFmtId="3" fontId="0" fillId="0" borderId="18" xfId="0" applyNumberFormat="1" applyFill="1" applyBorder="1" applyAlignment="1">
      <alignment wrapText="1"/>
    </xf>
    <xf numFmtId="3" fontId="0" fillId="0" borderId="19" xfId="0" applyNumberForma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4" fontId="0" fillId="0" borderId="19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4" fontId="0" fillId="0" borderId="13" xfId="0" applyNumberFormat="1" applyFill="1" applyBorder="1" applyAlignment="1">
      <alignment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wrapText="1"/>
    </xf>
    <xf numFmtId="3" fontId="0" fillId="0" borderId="20" xfId="0" applyNumberFormat="1" applyFill="1" applyBorder="1" applyAlignment="1">
      <alignment wrapText="1"/>
    </xf>
    <xf numFmtId="3" fontId="0" fillId="0" borderId="21" xfId="0" applyNumberFormat="1" applyFill="1" applyBorder="1" applyAlignment="1">
      <alignment wrapText="1"/>
    </xf>
    <xf numFmtId="4" fontId="0" fillId="0" borderId="20" xfId="0" applyNumberFormat="1" applyFill="1" applyBorder="1" applyAlignment="1">
      <alignment wrapText="1"/>
    </xf>
    <xf numFmtId="4" fontId="0" fillId="0" borderId="2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4" fontId="0" fillId="0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10" fontId="0" fillId="0" borderId="0" xfId="58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center" wrapText="1"/>
    </xf>
    <xf numFmtId="3" fontId="0" fillId="0" borderId="0" xfId="40" applyNumberFormat="1" applyFont="1" applyFill="1" applyBorder="1" applyAlignment="1">
      <alignment/>
    </xf>
    <xf numFmtId="10" fontId="3" fillId="0" borderId="0" xfId="58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0" fontId="47" fillId="0" borderId="0" xfId="58" applyNumberFormat="1" applyFont="1" applyFill="1" applyBorder="1" applyAlignment="1">
      <alignment vertical="center"/>
    </xf>
    <xf numFmtId="10" fontId="4" fillId="0" borderId="0" xfId="58" applyNumberFormat="1" applyFont="1" applyFill="1" applyBorder="1" applyAlignment="1">
      <alignment vertical="center"/>
    </xf>
    <xf numFmtId="10" fontId="0" fillId="0" borderId="0" xfId="58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Procent 2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dxfs count="16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21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38.00390625" style="1" bestFit="1" customWidth="1"/>
    <col min="2" max="3" width="12.7109375" style="53" customWidth="1"/>
    <col min="4" max="4" width="12.7109375" style="1" customWidth="1"/>
    <col min="5" max="5" width="12.7109375" style="53" customWidth="1"/>
    <col min="6" max="6" width="12.7109375" style="1" customWidth="1"/>
    <col min="7" max="7" width="12.7109375" style="53" customWidth="1"/>
    <col min="8" max="11" width="12.7109375" style="1" customWidth="1"/>
    <col min="12" max="13" width="12.7109375" style="53" customWidth="1"/>
    <col min="14" max="15" width="12.7109375" style="1" customWidth="1"/>
    <col min="16" max="23" width="12.7109375" style="53" customWidth="1"/>
    <col min="24" max="24" width="12.7109375" style="1" customWidth="1"/>
    <col min="25" max="25" width="18.421875" style="53" customWidth="1"/>
    <col min="26" max="26" width="18.140625" style="53" customWidth="1"/>
    <col min="27" max="27" width="18.421875" style="53" customWidth="1"/>
    <col min="28" max="28" width="12.57421875" style="53" customWidth="1"/>
    <col min="29" max="29" width="17.28125" style="53" customWidth="1"/>
    <col min="30" max="30" width="13.57421875" style="53" customWidth="1"/>
    <col min="31" max="31" width="17.8515625" style="53" customWidth="1"/>
    <col min="32" max="32" width="12.8515625" style="53" customWidth="1"/>
    <col min="33" max="33" width="13.140625" style="53" customWidth="1"/>
    <col min="34" max="34" width="8.8515625" style="53" customWidth="1"/>
    <col min="35" max="35" width="11.8515625" style="53" customWidth="1"/>
    <col min="36" max="36" width="10.8515625" style="53" customWidth="1"/>
    <col min="37" max="37" width="12.8515625" style="53" customWidth="1"/>
    <col min="38" max="38" width="8.421875" style="53" customWidth="1"/>
    <col min="39" max="39" width="11.8515625" style="53" customWidth="1"/>
    <col min="40" max="40" width="8.421875" style="53" customWidth="1"/>
    <col min="41" max="41" width="11.8515625" style="53" customWidth="1"/>
    <col min="42" max="42" width="8.421875" style="53" customWidth="1"/>
    <col min="43" max="43" width="8.8515625" style="53" customWidth="1"/>
    <col min="44" max="44" width="9.57421875" style="53" customWidth="1"/>
    <col min="45" max="45" width="10.00390625" style="53" customWidth="1"/>
    <col min="46" max="46" width="10.57421875" style="53" customWidth="1"/>
    <col min="47" max="47" width="10.28125" style="53" customWidth="1"/>
    <col min="48" max="48" width="10.57421875" style="53" customWidth="1"/>
    <col min="49" max="49" width="13.7109375" style="53" customWidth="1"/>
    <col min="50" max="51" width="9.421875" style="53" customWidth="1"/>
    <col min="52" max="52" width="9.28125" style="53" customWidth="1"/>
    <col min="53" max="53" width="10.57421875" style="53" customWidth="1"/>
    <col min="54" max="54" width="11.8515625" style="53" customWidth="1"/>
    <col min="55" max="55" width="26.8515625" style="53" customWidth="1"/>
    <col min="56" max="56" width="43.8515625" style="53" customWidth="1"/>
    <col min="57" max="57" width="13.8515625" style="53" customWidth="1"/>
    <col min="58" max="58" width="10.140625" style="53" bestFit="1" customWidth="1"/>
    <col min="59" max="59" width="15.421875" style="53" customWidth="1"/>
    <col min="60" max="60" width="18.28125" style="53" bestFit="1" customWidth="1"/>
    <col min="61" max="61" width="19.421875" style="53" customWidth="1"/>
    <col min="62" max="62" width="15.57421875" style="53" bestFit="1" customWidth="1"/>
    <col min="63" max="63" width="11.8515625" style="53" bestFit="1" customWidth="1"/>
    <col min="64" max="64" width="15.421875" style="53" bestFit="1" customWidth="1"/>
    <col min="65" max="65" width="9.140625" style="53" bestFit="1" customWidth="1"/>
    <col min="66" max="66" width="10.8515625" style="53" customWidth="1"/>
    <col min="67" max="67" width="12.140625" style="53" customWidth="1"/>
    <col min="68" max="68" width="15.7109375" style="53" customWidth="1"/>
    <col min="69" max="69" width="15.7109375" style="53" bestFit="1" customWidth="1"/>
    <col min="70" max="70" width="18.28125" style="53" customWidth="1"/>
    <col min="71" max="71" width="16.00390625" style="53" customWidth="1"/>
    <col min="72" max="72" width="26.00390625" style="1" bestFit="1" customWidth="1"/>
    <col min="73" max="80" width="12.7109375" style="53" customWidth="1"/>
    <col min="81" max="81" width="9.140625" style="1" customWidth="1"/>
    <col min="82" max="82" width="12.7109375" style="53" customWidth="1"/>
    <col min="83" max="83" width="9.140625" style="1" customWidth="1"/>
    <col min="84" max="91" width="12.7109375" style="53" customWidth="1"/>
    <col min="92" max="92" width="9.140625" style="1" customWidth="1"/>
    <col min="93" max="94" width="12.7109375" style="53" customWidth="1"/>
    <col min="95" max="95" width="10.57421875" style="53" bestFit="1" customWidth="1"/>
    <col min="96" max="16384" width="9.140625" style="1" customWidth="1"/>
  </cols>
  <sheetData>
    <row r="1" spans="1:95" ht="75" customHeight="1">
      <c r="A1" s="3" t="s">
        <v>0</v>
      </c>
      <c r="B1" s="55" t="s">
        <v>155</v>
      </c>
      <c r="C1" s="55" t="s">
        <v>157</v>
      </c>
      <c r="D1" s="3" t="s">
        <v>158</v>
      </c>
      <c r="E1" s="55" t="s">
        <v>159</v>
      </c>
      <c r="F1" s="3" t="s">
        <v>161</v>
      </c>
      <c r="G1" s="55" t="s">
        <v>160</v>
      </c>
      <c r="H1" s="3" t="s">
        <v>162</v>
      </c>
      <c r="I1" s="3" t="s">
        <v>174</v>
      </c>
      <c r="J1" s="3" t="s">
        <v>153</v>
      </c>
      <c r="K1" s="3" t="s">
        <v>175</v>
      </c>
      <c r="L1" s="55" t="s">
        <v>163</v>
      </c>
      <c r="M1" s="55" t="s">
        <v>164</v>
      </c>
      <c r="N1" s="3" t="s">
        <v>173</v>
      </c>
      <c r="O1" s="3" t="s">
        <v>171</v>
      </c>
      <c r="P1" s="55" t="s">
        <v>172</v>
      </c>
      <c r="Q1" s="55"/>
      <c r="R1" s="55" t="s">
        <v>165</v>
      </c>
      <c r="S1" s="55" t="s">
        <v>166</v>
      </c>
      <c r="T1" s="55" t="s">
        <v>169</v>
      </c>
      <c r="U1" s="55" t="s">
        <v>167</v>
      </c>
      <c r="V1" s="55" t="s">
        <v>168</v>
      </c>
      <c r="W1" s="55" t="s">
        <v>170</v>
      </c>
      <c r="X1" s="3"/>
      <c r="Y1" s="55" t="s">
        <v>25</v>
      </c>
      <c r="Z1" s="55" t="s">
        <v>26</v>
      </c>
      <c r="AA1" s="55" t="s">
        <v>27</v>
      </c>
      <c r="AB1" s="55" t="s">
        <v>28</v>
      </c>
      <c r="AC1" s="55" t="s">
        <v>29</v>
      </c>
      <c r="AD1" s="55" t="s">
        <v>30</v>
      </c>
      <c r="AE1" s="55" t="s">
        <v>31</v>
      </c>
      <c r="AF1" s="55" t="s">
        <v>32</v>
      </c>
      <c r="AG1" s="55" t="s">
        <v>34</v>
      </c>
      <c r="AH1" s="55" t="s">
        <v>35</v>
      </c>
      <c r="AI1" s="55" t="s">
        <v>36</v>
      </c>
      <c r="AJ1" s="55" t="s">
        <v>37</v>
      </c>
      <c r="AK1" s="55" t="s">
        <v>38</v>
      </c>
      <c r="AL1" s="55" t="s">
        <v>39</v>
      </c>
      <c r="AM1" s="55" t="s">
        <v>40</v>
      </c>
      <c r="AN1" s="55" t="s">
        <v>41</v>
      </c>
      <c r="AO1" s="55" t="s">
        <v>42</v>
      </c>
      <c r="AP1" s="55" t="s">
        <v>43</v>
      </c>
      <c r="AQ1" s="55" t="s">
        <v>44</v>
      </c>
      <c r="AR1" s="55" t="s">
        <v>45</v>
      </c>
      <c r="AS1" s="55" t="s">
        <v>46</v>
      </c>
      <c r="AT1" s="55" t="s">
        <v>51</v>
      </c>
      <c r="AU1" s="55" t="s">
        <v>56</v>
      </c>
      <c r="AV1" s="55" t="s">
        <v>51</v>
      </c>
      <c r="AW1" s="55" t="s">
        <v>146</v>
      </c>
      <c r="AX1" s="55" t="s">
        <v>52</v>
      </c>
      <c r="AY1" s="55" t="s">
        <v>53</v>
      </c>
      <c r="AZ1" s="55" t="s">
        <v>54</v>
      </c>
      <c r="BA1" s="55" t="s">
        <v>51</v>
      </c>
      <c r="BB1" s="55" t="s">
        <v>55</v>
      </c>
      <c r="BC1" s="55" t="s">
        <v>147</v>
      </c>
      <c r="BD1" s="55" t="s">
        <v>3</v>
      </c>
      <c r="BE1" s="55" t="s">
        <v>138</v>
      </c>
      <c r="BF1" s="55" t="s">
        <v>143</v>
      </c>
      <c r="BG1" s="55" t="s">
        <v>33</v>
      </c>
      <c r="BH1" s="55" t="s">
        <v>47</v>
      </c>
      <c r="BI1" s="55" t="s">
        <v>48</v>
      </c>
      <c r="BJ1" s="55" t="s">
        <v>50</v>
      </c>
      <c r="BK1" s="55" t="s">
        <v>144</v>
      </c>
      <c r="BL1" s="55" t="s">
        <v>49</v>
      </c>
      <c r="BM1" s="55" t="s">
        <v>1</v>
      </c>
      <c r="BN1" s="55" t="s">
        <v>145</v>
      </c>
      <c r="BO1" s="55" t="s">
        <v>142</v>
      </c>
      <c r="BP1" s="55" t="s">
        <v>141</v>
      </c>
      <c r="BQ1" s="55" t="s">
        <v>140</v>
      </c>
      <c r="BR1" s="55" t="s">
        <v>139</v>
      </c>
      <c r="BS1" s="55" t="s">
        <v>148</v>
      </c>
      <c r="BT1" s="3"/>
      <c r="BU1" s="55" t="s">
        <v>143</v>
      </c>
      <c r="BV1" s="55" t="s">
        <v>33</v>
      </c>
      <c r="BW1" s="55" t="s">
        <v>47</v>
      </c>
      <c r="BX1" s="55" t="s">
        <v>48</v>
      </c>
      <c r="BY1" s="55" t="s">
        <v>50</v>
      </c>
      <c r="BZ1" s="55" t="s">
        <v>144</v>
      </c>
      <c r="CA1" s="55" t="s">
        <v>49</v>
      </c>
      <c r="CB1" s="55" t="s">
        <v>1</v>
      </c>
      <c r="CC1" s="3"/>
      <c r="CD1" s="55" t="s">
        <v>156</v>
      </c>
      <c r="CE1" s="3"/>
      <c r="CF1" s="55" t="s">
        <v>143</v>
      </c>
      <c r="CG1" s="55" t="s">
        <v>33</v>
      </c>
      <c r="CH1" s="55" t="s">
        <v>47</v>
      </c>
      <c r="CI1" s="55" t="s">
        <v>48</v>
      </c>
      <c r="CJ1" s="55" t="s">
        <v>50</v>
      </c>
      <c r="CK1" s="55" t="s">
        <v>144</v>
      </c>
      <c r="CL1" s="55" t="s">
        <v>49</v>
      </c>
      <c r="CM1" s="55" t="s">
        <v>1</v>
      </c>
      <c r="CN1" s="3"/>
      <c r="CO1" s="55" t="s">
        <v>156</v>
      </c>
      <c r="CP1" s="55" t="s">
        <v>153</v>
      </c>
      <c r="CQ1" s="55" t="s">
        <v>176</v>
      </c>
    </row>
    <row r="2" spans="1:95" ht="15" customHeight="1">
      <c r="A2" s="54" t="s">
        <v>108</v>
      </c>
      <c r="B2" s="70">
        <v>2</v>
      </c>
      <c r="C2" s="16">
        <v>13444730.010423524</v>
      </c>
      <c r="D2" s="51">
        <v>0.5728062807192198</v>
      </c>
      <c r="E2" s="16">
        <f>C2*D2</f>
        <v>7701225.792544777</v>
      </c>
      <c r="F2" s="51"/>
      <c r="G2" s="16"/>
      <c r="H2" s="51">
        <v>0.43653227957949026</v>
      </c>
      <c r="I2" s="52">
        <f>IF(CO2&lt;$CD$111,CO2-$CD$111,0)/100</f>
        <v>-0.29089867669547603</v>
      </c>
      <c r="J2" s="52">
        <f>CP2/100</f>
        <v>-0.08887536370400184</v>
      </c>
      <c r="K2" s="52">
        <f aca="true" t="shared" si="0" ref="K2:K7">IF(J2&lt;0,H2+J2,0)</f>
        <v>0.3476569158754884</v>
      </c>
      <c r="L2" s="16">
        <f>IF(J2&lt;0,(H2+J2)*C2,H2*C2)</f>
        <v>4674153.370202466</v>
      </c>
      <c r="M2" s="16">
        <f>IF(D2&gt;0,C2-E2,"Over front")</f>
        <v>5743504.217878748</v>
      </c>
      <c r="N2" s="52">
        <f>IF(J2&lt;0,(H2+J2)/4,H2/4)</f>
        <v>0.0869142289688721</v>
      </c>
      <c r="O2" s="51">
        <f>IF(N2&gt;0.05,0.05,IF(N2&gt;0.01,N2,0))</f>
        <v>0.05</v>
      </c>
      <c r="P2" s="16">
        <f>C2*O2</f>
        <v>672236.5005211763</v>
      </c>
      <c r="Q2" s="51"/>
      <c r="R2" s="16">
        <f>BP2</f>
        <v>8429346.5</v>
      </c>
      <c r="S2" s="16">
        <f>BQ2</f>
        <v>10139520.207831316</v>
      </c>
      <c r="T2" s="16">
        <f>BR2</f>
        <v>9102470.876504889</v>
      </c>
      <c r="U2" s="16">
        <f>R2+(0.2*C2)</f>
        <v>11118292.502084706</v>
      </c>
      <c r="V2" s="16">
        <f>S2+(0.2*C2)</f>
        <v>12828466.209916022</v>
      </c>
      <c r="W2" s="16">
        <f>T2+(0.2*C2)</f>
        <v>11791416.878589593</v>
      </c>
      <c r="X2" s="54"/>
      <c r="Y2" s="53">
        <v>15</v>
      </c>
      <c r="Z2" s="53">
        <v>22</v>
      </c>
      <c r="AA2" s="53">
        <v>226</v>
      </c>
      <c r="AB2" s="53">
        <v>155</v>
      </c>
      <c r="AC2" s="53">
        <v>19</v>
      </c>
      <c r="AD2" s="53">
        <v>20</v>
      </c>
      <c r="AE2" s="53">
        <v>0</v>
      </c>
      <c r="AF2" s="53">
        <v>0</v>
      </c>
      <c r="AG2" s="53">
        <v>1</v>
      </c>
      <c r="AH2" s="53">
        <v>10</v>
      </c>
      <c r="AI2" s="53">
        <v>43</v>
      </c>
      <c r="AJ2" s="53">
        <v>34</v>
      </c>
      <c r="AK2" s="53">
        <v>1080</v>
      </c>
      <c r="AL2" s="53">
        <v>2</v>
      </c>
      <c r="AM2" s="53">
        <v>281</v>
      </c>
      <c r="AN2" s="53">
        <v>0</v>
      </c>
      <c r="AO2" s="53">
        <v>0</v>
      </c>
      <c r="AP2" s="53">
        <v>1</v>
      </c>
      <c r="AQ2" s="53">
        <v>700</v>
      </c>
      <c r="AR2" s="53">
        <v>0</v>
      </c>
      <c r="AS2" s="53">
        <v>0</v>
      </c>
      <c r="AT2" s="53">
        <v>44</v>
      </c>
      <c r="AU2" s="53">
        <v>457787</v>
      </c>
      <c r="AV2" s="53">
        <v>2</v>
      </c>
      <c r="AW2" s="53">
        <v>1715</v>
      </c>
      <c r="AX2" s="53">
        <v>0</v>
      </c>
      <c r="AY2" s="53">
        <v>0</v>
      </c>
      <c r="AZ2" s="53">
        <v>0</v>
      </c>
      <c r="BA2" s="53">
        <v>0</v>
      </c>
      <c r="BB2" s="53">
        <v>0</v>
      </c>
      <c r="BC2" s="53">
        <v>8428</v>
      </c>
      <c r="BD2" s="53">
        <v>202170</v>
      </c>
      <c r="BF2" s="53">
        <f aca="true" t="shared" si="1" ref="BF2:BF34">4279*((Y2+Z2)+(AA2+AB2))+87088*((AC2+AD2)+(AE2+AF2))</f>
        <v>5185054</v>
      </c>
      <c r="BG2" s="53">
        <f aca="true" t="shared" si="2" ref="BG2:BG34">(6628*AG2)+(13891*AH2)+(24337*AJ2)+(102864*(AL2+AN2))+(598*(AQ2+AS2))</f>
        <v>1597324</v>
      </c>
      <c r="BH2" s="53">
        <f aca="true" t="shared" si="3" ref="BH2:BH34">13523*AT2</f>
        <v>595012</v>
      </c>
      <c r="BI2" s="53">
        <f aca="true" t="shared" si="4" ref="BI2:BI34">19.74*AW2</f>
        <v>33854.1</v>
      </c>
      <c r="BJ2" s="53">
        <f aca="true" t="shared" si="5" ref="BJ2:BJ34">2540*BA2</f>
        <v>0</v>
      </c>
      <c r="BK2" s="53">
        <f>SUMIF(Renseanlæg!$A:$A,SPILDEVAND!A2,Renseanlæg!$I:$I)</f>
        <v>0</v>
      </c>
      <c r="BL2" s="53">
        <f aca="true" t="shared" si="6" ref="BL2:BL34">(3965.4*AX2)+(4747.7*(AY2+AZ2))</f>
        <v>0</v>
      </c>
      <c r="BM2" s="53">
        <f aca="true" t="shared" si="7" ref="BM2:BM34">120.8*BC2</f>
        <v>1018102.4</v>
      </c>
      <c r="BN2" s="53">
        <v>42.24270679176699</v>
      </c>
      <c r="BO2" s="53">
        <f aca="true" t="shared" si="8" ref="BO2:BO34">BC2/(SUM(Y2:AF2)*1000)</f>
        <v>0.018442013129102843</v>
      </c>
      <c r="BP2" s="53">
        <f aca="true" t="shared" si="9" ref="BP2:BP34">SUM(BE2:BM2)</f>
        <v>8429346.5</v>
      </c>
      <c r="BQ2" s="53">
        <f aca="true" t="shared" si="10" ref="BQ2:BQ34">(0.527+0.016*BN2)*BP2</f>
        <v>10139520.207831316</v>
      </c>
      <c r="BR2" s="53">
        <f aca="true" t="shared" si="11" ref="BR2:BR34">(0.719+19.567*BO2)*BP2</f>
        <v>9102470.876504889</v>
      </c>
      <c r="BS2" s="53">
        <v>12269806</v>
      </c>
      <c r="BT2" s="53"/>
      <c r="BU2" s="53">
        <f>(BF2/(SUM($BF2:$BM2)))*100</f>
        <v>61.51193333907913</v>
      </c>
      <c r="BV2" s="53">
        <f aca="true" t="shared" si="12" ref="BV2:CA2">(BG2/(SUM($BF2:$BM2)))*100</f>
        <v>18.94955913842194</v>
      </c>
      <c r="BW2" s="53">
        <f t="shared" si="12"/>
        <v>7.058815294874876</v>
      </c>
      <c r="BX2" s="53">
        <f t="shared" si="12"/>
        <v>0.40162188136411286</v>
      </c>
      <c r="BY2" s="53">
        <f t="shared" si="12"/>
        <v>0</v>
      </c>
      <c r="BZ2" s="53">
        <f t="shared" si="12"/>
        <v>0</v>
      </c>
      <c r="CA2" s="53">
        <f t="shared" si="12"/>
        <v>0</v>
      </c>
      <c r="CB2" s="53">
        <f>(BM2/(SUM($BF2:$BM2)))*100</f>
        <v>12.078070346259938</v>
      </c>
      <c r="CD2" s="53">
        <f>BU2+BW2+CB2</f>
        <v>80.64881898021393</v>
      </c>
      <c r="CF2" s="53">
        <f aca="true" t="shared" si="13" ref="CF2:CM2">BU$108-BU2</f>
        <v>-39.88729755673769</v>
      </c>
      <c r="CG2" s="53">
        <f t="shared" si="13"/>
        <v>1.2013936556877134</v>
      </c>
      <c r="CH2" s="53">
        <f t="shared" si="13"/>
        <v>-5.027634497079985</v>
      </c>
      <c r="CI2" s="53">
        <f t="shared" si="13"/>
        <v>1.0891745090069458</v>
      </c>
      <c r="CJ2" s="53">
        <f t="shared" si="13"/>
        <v>0.05674468202527108</v>
      </c>
      <c r="CK2" s="53">
        <f t="shared" si="13"/>
        <v>34.20166474852884</v>
      </c>
      <c r="CL2" s="53">
        <f t="shared" si="13"/>
        <v>13.378819580148498</v>
      </c>
      <c r="CM2" s="53">
        <f t="shared" si="13"/>
        <v>-5.012865121579595</v>
      </c>
      <c r="CO2" s="53">
        <f>$CD$108-CD2</f>
        <v>-49.92779717539726</v>
      </c>
      <c r="CP2" s="53">
        <f>IF(CO2&lt;$CD$111,(CO2-$CD$111)*0.3819*0.8,0)</f>
        <v>-8.887536370400184</v>
      </c>
      <c r="CQ2" s="53">
        <f>SUM(BU2:BX2)+CB2</f>
        <v>99.99999999999999</v>
      </c>
    </row>
    <row r="3" spans="1:95" ht="15">
      <c r="A3" s="54" t="s">
        <v>128</v>
      </c>
      <c r="B3" s="70">
        <v>2</v>
      </c>
      <c r="C3" s="16">
        <v>10295690.621361494</v>
      </c>
      <c r="D3" s="51">
        <v>0.5348328</v>
      </c>
      <c r="E3" s="16">
        <f aca="true" t="shared" si="14" ref="E3:E67">C3*D3</f>
        <v>5506473.042956508</v>
      </c>
      <c r="F3" s="51">
        <v>0.7328161</v>
      </c>
      <c r="G3" s="16">
        <f>F3*C3</f>
        <v>7544847.847952707</v>
      </c>
      <c r="H3" s="51">
        <v>0.3985588</v>
      </c>
      <c r="I3" s="52">
        <f>IF(CO3&lt;$CD$111,CO3-$CD$111,0)/100</f>
        <v>-0.22246728861638265</v>
      </c>
      <c r="J3" s="52">
        <f>CP3/100</f>
        <v>-0.06796820601807724</v>
      </c>
      <c r="K3" s="52">
        <f t="shared" si="0"/>
        <v>0.33059059398192275</v>
      </c>
      <c r="L3" s="16">
        <f aca="true" t="shared" si="15" ref="L3:L67">IF(J3&lt;0,(H3+J3)*C3,H3*C3)</f>
        <v>3403658.477970008</v>
      </c>
      <c r="M3" s="16">
        <f aca="true" t="shared" si="16" ref="M3:M67">IF(D3&gt;0,C3-E3,"Over front")</f>
        <v>4789217.578404986</v>
      </c>
      <c r="N3" s="52">
        <f aca="true" t="shared" si="17" ref="N3:N67">IF(J3&lt;0,(H3+J3)/4,H3/4)</f>
        <v>0.08264764849548069</v>
      </c>
      <c r="O3" s="51">
        <f aca="true" t="shared" si="18" ref="O3:O67">IF(N3&gt;0.05,0.05,IF(N3&gt;0.01,N3,0))</f>
        <v>0.05</v>
      </c>
      <c r="P3" s="16">
        <f aca="true" t="shared" si="19" ref="P3:P67">C3*O3</f>
        <v>514784.53106807475</v>
      </c>
      <c r="Q3" s="51"/>
      <c r="R3" s="16">
        <f aca="true" t="shared" si="20" ref="R3:R67">BP3</f>
        <v>7028805.6</v>
      </c>
      <c r="S3" s="16">
        <f aca="true" t="shared" si="21" ref="S3:S67">BQ3</f>
        <v>8182242.77765459</v>
      </c>
      <c r="T3" s="16">
        <f aca="true" t="shared" si="22" ref="T3:T67">BR3</f>
        <v>7893689.332254902</v>
      </c>
      <c r="U3" s="16">
        <f aca="true" t="shared" si="23" ref="U3:U67">R3+(0.2*C3)</f>
        <v>9087943.7242723</v>
      </c>
      <c r="V3" s="16">
        <f aca="true" t="shared" si="24" ref="V3:V67">S3+(0.2*C3)</f>
        <v>10241380.90192689</v>
      </c>
      <c r="W3" s="16">
        <f aca="true" t="shared" si="25" ref="W3:W67">T3+(0.2*C3)</f>
        <v>9952827.456527201</v>
      </c>
      <c r="X3" s="54"/>
      <c r="Y3" s="53">
        <v>7</v>
      </c>
      <c r="Z3" s="53">
        <v>7</v>
      </c>
      <c r="AA3" s="53">
        <v>266</v>
      </c>
      <c r="AB3" s="53">
        <v>108</v>
      </c>
      <c r="AC3" s="53">
        <v>0</v>
      </c>
      <c r="AD3" s="53">
        <v>0</v>
      </c>
      <c r="AE3" s="53">
        <v>0</v>
      </c>
      <c r="AF3" s="53">
        <v>0</v>
      </c>
      <c r="AG3" s="53">
        <v>0</v>
      </c>
      <c r="AH3" s="53">
        <v>0</v>
      </c>
      <c r="AI3" s="53">
        <v>0</v>
      </c>
      <c r="AJ3" s="53">
        <v>35</v>
      </c>
      <c r="AK3" s="53">
        <v>1750</v>
      </c>
      <c r="AL3" s="53">
        <v>2</v>
      </c>
      <c r="AM3" s="53">
        <v>400</v>
      </c>
      <c r="AN3" s="53">
        <v>0</v>
      </c>
      <c r="AO3" s="53">
        <v>0</v>
      </c>
      <c r="AP3" s="53">
        <v>0</v>
      </c>
      <c r="AQ3" s="53">
        <v>0</v>
      </c>
      <c r="AR3" s="53">
        <v>0</v>
      </c>
      <c r="AS3" s="53">
        <v>0</v>
      </c>
      <c r="AT3" s="53">
        <v>26</v>
      </c>
      <c r="AU3" s="53">
        <v>246660</v>
      </c>
      <c r="AV3" s="53">
        <v>0</v>
      </c>
      <c r="AW3" s="53">
        <v>0</v>
      </c>
      <c r="AX3" s="53">
        <v>0</v>
      </c>
      <c r="AY3" s="53">
        <v>0</v>
      </c>
      <c r="AZ3" s="53">
        <v>0</v>
      </c>
      <c r="BA3" s="53">
        <v>0</v>
      </c>
      <c r="BB3" s="53">
        <v>0</v>
      </c>
      <c r="BC3" s="53">
        <v>8012</v>
      </c>
      <c r="BD3" s="53">
        <v>49484</v>
      </c>
      <c r="BE3" s="56">
        <f>2900000+91583</f>
        <v>2991583</v>
      </c>
      <c r="BF3" s="53">
        <f t="shared" si="1"/>
        <v>1660252</v>
      </c>
      <c r="BG3" s="53">
        <f t="shared" si="2"/>
        <v>1057523</v>
      </c>
      <c r="BH3" s="53">
        <f t="shared" si="3"/>
        <v>351598</v>
      </c>
      <c r="BI3" s="53">
        <f t="shared" si="4"/>
        <v>0</v>
      </c>
      <c r="BJ3" s="53">
        <f t="shared" si="5"/>
        <v>0</v>
      </c>
      <c r="BK3" s="53">
        <f>SUMIF(Renseanlæg!$A:$A,SPILDEVAND!A3,Renseanlæg!$I:$I)</f>
        <v>0</v>
      </c>
      <c r="BL3" s="53">
        <f t="shared" si="6"/>
        <v>0</v>
      </c>
      <c r="BM3" s="53">
        <f t="shared" si="7"/>
        <v>967849.6</v>
      </c>
      <c r="BN3" s="53">
        <v>39.81884050875044</v>
      </c>
      <c r="BO3" s="53">
        <f t="shared" si="8"/>
        <v>0.020649484536082473</v>
      </c>
      <c r="BP3" s="53">
        <f t="shared" si="9"/>
        <v>7028805.6</v>
      </c>
      <c r="BQ3" s="53">
        <f t="shared" si="10"/>
        <v>8182242.77765459</v>
      </c>
      <c r="BR3" s="53">
        <f t="shared" si="11"/>
        <v>7893689.332254902</v>
      </c>
      <c r="BS3" s="53">
        <v>10375755</v>
      </c>
      <c r="BT3" s="56"/>
      <c r="BU3" s="53">
        <f aca="true" t="shared" si="26" ref="BU3:BU67">(BF3/(SUM($BF3:$BM3)))*100</f>
        <v>41.12361800411996</v>
      </c>
      <c r="BV3" s="53">
        <f aca="true" t="shared" si="27" ref="BV3:BV67">(BG3/(SUM($BF3:$BM3)))*100</f>
        <v>26.194319827695406</v>
      </c>
      <c r="BW3" s="53">
        <f aca="true" t="shared" si="28" ref="BW3:BW67">(BH3/(SUM($BF3:$BM3)))*100</f>
        <v>8.708907950728305</v>
      </c>
      <c r="BX3" s="53">
        <f aca="true" t="shared" si="29" ref="BX3:BX67">(BI3/(SUM($BF3:$BM3)))*100</f>
        <v>0</v>
      </c>
      <c r="BY3" s="53">
        <f aca="true" t="shared" si="30" ref="BY3:BY67">(BJ3/(SUM($BF3:$BM3)))*100</f>
        <v>0</v>
      </c>
      <c r="BZ3" s="53">
        <f aca="true" t="shared" si="31" ref="BZ3:BZ67">(BK3/(SUM($BF3:$BM3)))*100</f>
        <v>0</v>
      </c>
      <c r="CA3" s="53">
        <f aca="true" t="shared" si="32" ref="CA3:CA67">(BL3/(SUM($BF3:$BM3)))*100</f>
        <v>0</v>
      </c>
      <c r="CB3" s="53">
        <f aca="true" t="shared" si="33" ref="CB3:CB67">(BM3/(SUM($BF3:$BM3)))*100</f>
        <v>23.973154217456326</v>
      </c>
      <c r="CD3" s="53">
        <f aca="true" t="shared" si="34" ref="CD3:CD67">BU3+BW3+CB3</f>
        <v>73.80568017230459</v>
      </c>
      <c r="CF3" s="53">
        <f aca="true" t="shared" si="35" ref="CF3:CF67">BU$108-BU3</f>
        <v>-19.498982221778526</v>
      </c>
      <c r="CG3" s="53">
        <f aca="true" t="shared" si="36" ref="CG3:CG67">BV$108-BV3</f>
        <v>-6.043367033585753</v>
      </c>
      <c r="CH3" s="53">
        <f aca="true" t="shared" si="37" ref="CH3:CH67">BW$108-BW3</f>
        <v>-6.677727152933414</v>
      </c>
      <c r="CI3" s="53">
        <f aca="true" t="shared" si="38" ref="CI3:CI67">BX$108-BX3</f>
        <v>1.4907963903710586</v>
      </c>
      <c r="CJ3" s="53">
        <f aca="true" t="shared" si="39" ref="CJ3:CJ67">BY$108-BY3</f>
        <v>0.05674468202527108</v>
      </c>
      <c r="CK3" s="53">
        <f aca="true" t="shared" si="40" ref="CK3:CK67">BZ$108-BZ3</f>
        <v>34.20166474852884</v>
      </c>
      <c r="CL3" s="53">
        <f aca="true" t="shared" si="41" ref="CL3:CL67">CA$108-CA3</f>
        <v>13.378819580148498</v>
      </c>
      <c r="CM3" s="53">
        <f aca="true" t="shared" si="42" ref="CM3:CM67">CB$108-CB3</f>
        <v>-16.90794899277598</v>
      </c>
      <c r="CO3" s="53">
        <f>$CD$108-CD3</f>
        <v>-43.08465836748792</v>
      </c>
      <c r="CP3" s="53">
        <f>IF(CO3&lt;$CD$111,(CO3-$CD$111)*0.3819*0.8,0)</f>
        <v>-6.796820601807723</v>
      </c>
      <c r="CQ3" s="53">
        <f aca="true" t="shared" si="43" ref="CQ3:CQ67">SUM(BU3:BX3)+CB3</f>
        <v>100</v>
      </c>
    </row>
    <row r="4" spans="1:95" ht="15">
      <c r="A4" s="54" t="s">
        <v>91</v>
      </c>
      <c r="B4" s="70">
        <v>2</v>
      </c>
      <c r="C4" s="16">
        <v>17057520.139275</v>
      </c>
      <c r="D4" s="51">
        <v>0.41362604377583867</v>
      </c>
      <c r="E4" s="16">
        <f t="shared" si="14"/>
        <v>7055434.57183501</v>
      </c>
      <c r="F4" s="51"/>
      <c r="G4" s="16"/>
      <c r="H4" s="51">
        <v>0.28748306296939696</v>
      </c>
      <c r="I4" s="52">
        <f aca="true" t="shared" si="44" ref="I4:I68">IF(CO4&lt;$CD$111,CO4-$CD$111,0)/100</f>
        <v>0</v>
      </c>
      <c r="J4" s="52">
        <f aca="true" t="shared" si="45" ref="J4:J68">CP4/100</f>
        <v>0</v>
      </c>
      <c r="K4" s="52">
        <f t="shared" si="0"/>
        <v>0</v>
      </c>
      <c r="L4" s="16">
        <f t="shared" si="15"/>
        <v>4903748.136300951</v>
      </c>
      <c r="M4" s="16">
        <f t="shared" si="16"/>
        <v>10002085.567439988</v>
      </c>
      <c r="N4" s="52">
        <f t="shared" si="17"/>
        <v>0.07187076574234924</v>
      </c>
      <c r="O4" s="51">
        <f t="shared" si="18"/>
        <v>0.05</v>
      </c>
      <c r="P4" s="16">
        <f t="shared" si="19"/>
        <v>852876.00696375</v>
      </c>
      <c r="Q4" s="51"/>
      <c r="R4" s="16">
        <f t="shared" si="20"/>
        <v>14425753.050047059</v>
      </c>
      <c r="S4" s="16">
        <f t="shared" si="21"/>
        <v>15456427.808463765</v>
      </c>
      <c r="T4" s="16">
        <f t="shared" si="22"/>
        <v>17030231.09287262</v>
      </c>
      <c r="U4" s="16">
        <f t="shared" si="23"/>
        <v>17837257.07790206</v>
      </c>
      <c r="V4" s="16">
        <f t="shared" si="24"/>
        <v>18867931.836318765</v>
      </c>
      <c r="W4" s="16">
        <f t="shared" si="25"/>
        <v>20441735.12072762</v>
      </c>
      <c r="X4" s="54"/>
      <c r="Y4" s="53">
        <v>29</v>
      </c>
      <c r="Z4" s="53">
        <v>25</v>
      </c>
      <c r="AA4" s="53">
        <v>174</v>
      </c>
      <c r="AB4" s="53">
        <v>85</v>
      </c>
      <c r="AC4" s="53">
        <v>0</v>
      </c>
      <c r="AD4" s="53">
        <v>0</v>
      </c>
      <c r="AE4" s="53">
        <v>0</v>
      </c>
      <c r="AF4" s="53">
        <v>0</v>
      </c>
      <c r="AG4" s="53">
        <v>142</v>
      </c>
      <c r="AH4" s="53">
        <v>14</v>
      </c>
      <c r="AI4" s="53">
        <v>113</v>
      </c>
      <c r="AJ4" s="53">
        <v>47</v>
      </c>
      <c r="AK4" s="53">
        <v>1342</v>
      </c>
      <c r="AL4" s="53">
        <v>3</v>
      </c>
      <c r="AM4" s="53">
        <v>593</v>
      </c>
      <c r="AN4" s="53">
        <v>0</v>
      </c>
      <c r="AO4" s="53">
        <v>0</v>
      </c>
      <c r="AP4" s="53">
        <v>0</v>
      </c>
      <c r="AQ4" s="53">
        <v>0</v>
      </c>
      <c r="AR4" s="53">
        <v>0</v>
      </c>
      <c r="AS4" s="53">
        <v>0</v>
      </c>
      <c r="AT4" s="53">
        <v>20</v>
      </c>
      <c r="AU4" s="53">
        <v>72663</v>
      </c>
      <c r="AV4" s="53">
        <v>11</v>
      </c>
      <c r="AW4" s="53">
        <v>15029</v>
      </c>
      <c r="AX4" s="53">
        <v>607</v>
      </c>
      <c r="AY4" s="53">
        <v>0</v>
      </c>
      <c r="AZ4" s="53">
        <v>0</v>
      </c>
      <c r="BA4" s="53">
        <v>0</v>
      </c>
      <c r="BB4" s="53">
        <v>0</v>
      </c>
      <c r="BC4" s="53">
        <v>7383</v>
      </c>
      <c r="BD4" s="53">
        <v>1534456</v>
      </c>
      <c r="BF4" s="53">
        <f t="shared" si="1"/>
        <v>1339327</v>
      </c>
      <c r="BG4" s="53">
        <f t="shared" si="2"/>
        <v>2588081</v>
      </c>
      <c r="BH4" s="53">
        <f t="shared" si="3"/>
        <v>270460</v>
      </c>
      <c r="BI4" s="53">
        <f t="shared" si="4"/>
        <v>296672.45999999996</v>
      </c>
      <c r="BJ4" s="53">
        <f t="shared" si="5"/>
        <v>0</v>
      </c>
      <c r="BK4" s="53">
        <f>SUMIF(Renseanlæg!$A:$A,SPILDEVAND!A4,Renseanlæg!$I:$I)</f>
        <v>6632348.3900470575</v>
      </c>
      <c r="BL4" s="53">
        <f t="shared" si="6"/>
        <v>2406997.8000000003</v>
      </c>
      <c r="BM4" s="53">
        <f t="shared" si="7"/>
        <v>891866.4</v>
      </c>
      <c r="BN4" s="53">
        <v>34.027928749373615</v>
      </c>
      <c r="BO4" s="53">
        <f t="shared" si="8"/>
        <v>0.023587859424920126</v>
      </c>
      <c r="BP4" s="53">
        <f t="shared" si="9"/>
        <v>14425753.050047059</v>
      </c>
      <c r="BQ4" s="53">
        <f t="shared" si="10"/>
        <v>15456427.808463765</v>
      </c>
      <c r="BR4" s="53">
        <f t="shared" si="11"/>
        <v>17030231.09287262</v>
      </c>
      <c r="BS4" s="53">
        <v>16506569</v>
      </c>
      <c r="BT4" s="53"/>
      <c r="BU4" s="53">
        <f t="shared" si="26"/>
        <v>9.284277883819945</v>
      </c>
      <c r="BV4" s="53">
        <f t="shared" si="27"/>
        <v>17.940699463114388</v>
      </c>
      <c r="BW4" s="53">
        <f t="shared" si="28"/>
        <v>1.8748414662423305</v>
      </c>
      <c r="BX4" s="53">
        <f t="shared" si="29"/>
        <v>2.0565474743034797</v>
      </c>
      <c r="BY4" s="53">
        <f t="shared" si="30"/>
        <v>0</v>
      </c>
      <c r="BZ4" s="53">
        <f t="shared" si="31"/>
        <v>45.975751609205744</v>
      </c>
      <c r="CA4" s="53">
        <f t="shared" si="32"/>
        <v>16.68542218662303</v>
      </c>
      <c r="CB4" s="53">
        <f t="shared" si="33"/>
        <v>6.182459916691077</v>
      </c>
      <c r="CD4" s="53">
        <f t="shared" si="34"/>
        <v>17.341579266753353</v>
      </c>
      <c r="CF4" s="53">
        <f t="shared" si="35"/>
        <v>12.340357898521491</v>
      </c>
      <c r="CG4" s="53">
        <f t="shared" si="36"/>
        <v>2.2102533309952648</v>
      </c>
      <c r="CH4" s="53">
        <f t="shared" si="37"/>
        <v>0.15633933155256008</v>
      </c>
      <c r="CI4" s="53">
        <f t="shared" si="38"/>
        <v>-0.5657510839324211</v>
      </c>
      <c r="CJ4" s="53">
        <f t="shared" si="39"/>
        <v>0.05674468202527108</v>
      </c>
      <c r="CK4" s="53">
        <f t="shared" si="40"/>
        <v>-11.774086860676903</v>
      </c>
      <c r="CL4" s="53">
        <f t="shared" si="41"/>
        <v>-3.306602606474531</v>
      </c>
      <c r="CM4" s="53">
        <f t="shared" si="42"/>
        <v>0.882745307989266</v>
      </c>
      <c r="CO4" s="53">
        <f aca="true" t="shared" si="46" ref="CO4:CO67">$CD$108-CD4</f>
        <v>13.379442538063316</v>
      </c>
      <c r="CP4" s="53">
        <f aca="true" t="shared" si="47" ref="CP4:CP67">IF(CO4&lt;$CD$111,(CO4-$CD$111)*0.3819*0.8,0)</f>
        <v>0</v>
      </c>
      <c r="CQ4" s="53">
        <f t="shared" si="43"/>
        <v>37.33882620417122</v>
      </c>
    </row>
    <row r="5" spans="1:95" ht="15">
      <c r="A5" s="54" t="s">
        <v>8</v>
      </c>
      <c r="B5" s="70">
        <v>2</v>
      </c>
      <c r="C5" s="16">
        <v>32433029.042678323</v>
      </c>
      <c r="D5" s="51">
        <v>0.46891781832685964</v>
      </c>
      <c r="E5" s="16">
        <f t="shared" si="14"/>
        <v>15208425.220424397</v>
      </c>
      <c r="F5" s="51">
        <v>0.473314</v>
      </c>
      <c r="G5" s="16">
        <f>F5*C5</f>
        <v>15351006.708306247</v>
      </c>
      <c r="H5" s="51">
        <v>0.3326438339939475</v>
      </c>
      <c r="I5" s="52">
        <f t="shared" si="44"/>
        <v>0</v>
      </c>
      <c r="J5" s="52">
        <f t="shared" si="45"/>
        <v>0</v>
      </c>
      <c r="K5" s="52">
        <f t="shared" si="0"/>
        <v>0</v>
      </c>
      <c r="L5" s="16">
        <f t="shared" si="15"/>
        <v>10788647.128793566</v>
      </c>
      <c r="M5" s="16">
        <f t="shared" si="16"/>
        <v>17224603.822253928</v>
      </c>
      <c r="N5" s="52">
        <f t="shared" si="17"/>
        <v>0.08316095849848687</v>
      </c>
      <c r="O5" s="51">
        <f t="shared" si="18"/>
        <v>0.05</v>
      </c>
      <c r="P5" s="16">
        <f t="shared" si="19"/>
        <v>1621651.4521339163</v>
      </c>
      <c r="Q5" s="51"/>
      <c r="R5" s="16">
        <f t="shared" si="20"/>
        <v>25279368.527602136</v>
      </c>
      <c r="S5" s="16">
        <f t="shared" si="21"/>
        <v>24784555.75096216</v>
      </c>
      <c r="T5" s="16">
        <f t="shared" si="22"/>
        <v>26192235.085146688</v>
      </c>
      <c r="U5" s="16">
        <f t="shared" si="23"/>
        <v>31765974.3361378</v>
      </c>
      <c r="V5" s="16">
        <f t="shared" si="24"/>
        <v>31271161.559497826</v>
      </c>
      <c r="W5" s="16">
        <f t="shared" si="25"/>
        <v>32678840.893682353</v>
      </c>
      <c r="X5" s="54"/>
      <c r="Y5" s="53">
        <f>250936/1000</f>
        <v>250.936</v>
      </c>
      <c r="Z5" s="53">
        <f>289959/1000</f>
        <v>289.959</v>
      </c>
      <c r="AA5" s="53">
        <f>137977/1000</f>
        <v>137.977</v>
      </c>
      <c r="AB5" s="53">
        <f>271026/1000</f>
        <v>271.026</v>
      </c>
      <c r="AC5" s="53">
        <f>4769/1000</f>
        <v>4.769</v>
      </c>
      <c r="AD5" s="53">
        <f>3780/1000</f>
        <v>3.78</v>
      </c>
      <c r="AE5" s="53">
        <v>0</v>
      </c>
      <c r="AF5" s="53">
        <v>0</v>
      </c>
      <c r="AG5" s="53">
        <v>0</v>
      </c>
      <c r="AH5" s="53">
        <v>76</v>
      </c>
      <c r="AI5" s="53">
        <v>499</v>
      </c>
      <c r="AJ5" s="53">
        <v>116</v>
      </c>
      <c r="AK5" s="53">
        <v>3393</v>
      </c>
      <c r="AL5" s="53">
        <v>4</v>
      </c>
      <c r="AM5" s="53">
        <v>1231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30</v>
      </c>
      <c r="AU5" s="53">
        <v>30219</v>
      </c>
      <c r="AV5" s="53">
        <v>58</v>
      </c>
      <c r="AW5" s="53">
        <v>53304</v>
      </c>
      <c r="AX5" s="53">
        <f>483+243</f>
        <v>726</v>
      </c>
      <c r="AY5" s="53">
        <v>0</v>
      </c>
      <c r="AZ5" s="53">
        <v>0</v>
      </c>
      <c r="BA5" s="53">
        <v>0</v>
      </c>
      <c r="BB5" s="53">
        <v>0</v>
      </c>
      <c r="BC5" s="53">
        <v>15533</v>
      </c>
      <c r="BD5" s="53">
        <v>3994794</v>
      </c>
      <c r="BE5" s="53">
        <v>209257</v>
      </c>
      <c r="BF5" s="53">
        <f t="shared" si="1"/>
        <v>4809128.854</v>
      </c>
      <c r="BG5" s="53">
        <f t="shared" si="2"/>
        <v>4290264</v>
      </c>
      <c r="BH5" s="53">
        <f t="shared" si="3"/>
        <v>405690</v>
      </c>
      <c r="BI5" s="53">
        <f t="shared" si="4"/>
        <v>1052220.96</v>
      </c>
      <c r="BJ5" s="53">
        <f t="shared" si="5"/>
        <v>0</v>
      </c>
      <c r="BK5" s="53">
        <f>SUMIF(Renseanlæg!$A:$A,SPILDEVAND!A5,Renseanlæg!$I:$I)</f>
        <v>9757540.913602142</v>
      </c>
      <c r="BL5" s="53">
        <f t="shared" si="6"/>
        <v>2878880.4</v>
      </c>
      <c r="BM5" s="53">
        <f t="shared" si="7"/>
        <v>1876386.4</v>
      </c>
      <c r="BN5" s="53">
        <v>28.339138803052727</v>
      </c>
      <c r="BO5" s="53">
        <f t="shared" si="8"/>
        <v>0.01620642560308499</v>
      </c>
      <c r="BP5" s="53">
        <f t="shared" si="9"/>
        <v>25279368.527602136</v>
      </c>
      <c r="BQ5" s="53">
        <f t="shared" si="10"/>
        <v>24784555.75096216</v>
      </c>
      <c r="BR5" s="53">
        <f t="shared" si="11"/>
        <v>26192235.085146688</v>
      </c>
      <c r="BS5" s="53">
        <v>33189634</v>
      </c>
      <c r="BT5" s="53"/>
      <c r="BU5" s="53">
        <f t="shared" si="26"/>
        <v>19.182718228856544</v>
      </c>
      <c r="BV5" s="53">
        <f t="shared" si="27"/>
        <v>17.113063080219764</v>
      </c>
      <c r="BW5" s="53">
        <f t="shared" si="28"/>
        <v>1.6182217600162498</v>
      </c>
      <c r="BX5" s="53">
        <f t="shared" si="29"/>
        <v>4.197113199283167</v>
      </c>
      <c r="BY5" s="53">
        <f t="shared" si="30"/>
        <v>0</v>
      </c>
      <c r="BZ5" s="53">
        <f t="shared" si="31"/>
        <v>38.92101119238784</v>
      </c>
      <c r="CA5" s="53">
        <f t="shared" si="32"/>
        <v>11.483317083892345</v>
      </c>
      <c r="CB5" s="53">
        <f t="shared" si="33"/>
        <v>7.4845554553441165</v>
      </c>
      <c r="CD5" s="53">
        <f t="shared" si="34"/>
        <v>28.285495444216913</v>
      </c>
      <c r="CF5" s="53">
        <f t="shared" si="35"/>
        <v>2.441917553484892</v>
      </c>
      <c r="CG5" s="53">
        <f t="shared" si="36"/>
        <v>3.0378897138898893</v>
      </c>
      <c r="CH5" s="53">
        <f t="shared" si="37"/>
        <v>0.41295903777864074</v>
      </c>
      <c r="CI5" s="53">
        <f t="shared" si="38"/>
        <v>-2.706316808912108</v>
      </c>
      <c r="CJ5" s="53">
        <f t="shared" si="39"/>
        <v>0.05674468202527108</v>
      </c>
      <c r="CK5" s="53">
        <f t="shared" si="40"/>
        <v>-4.719346443858996</v>
      </c>
      <c r="CL5" s="53">
        <f t="shared" si="41"/>
        <v>1.895502496256153</v>
      </c>
      <c r="CM5" s="53">
        <f t="shared" si="42"/>
        <v>-0.4193502306637731</v>
      </c>
      <c r="CO5" s="53">
        <f t="shared" si="46"/>
        <v>2.4355263605997557</v>
      </c>
      <c r="CP5" s="53">
        <f t="shared" si="47"/>
        <v>0</v>
      </c>
      <c r="CQ5" s="53">
        <f t="shared" si="43"/>
        <v>49.59567172371983</v>
      </c>
    </row>
    <row r="6" spans="1:95" ht="15">
      <c r="A6" s="54" t="s">
        <v>129</v>
      </c>
      <c r="B6" s="70">
        <v>4</v>
      </c>
      <c r="C6" s="16">
        <v>45956397.109589994</v>
      </c>
      <c r="D6" s="51">
        <v>0.2262242778365301</v>
      </c>
      <c r="E6" s="16">
        <f t="shared" si="14"/>
        <v>10396452.748085795</v>
      </c>
      <c r="F6" s="51"/>
      <c r="G6" s="16"/>
      <c r="H6" s="51">
        <v>0.08995028262737848</v>
      </c>
      <c r="I6" s="52">
        <f t="shared" si="44"/>
        <v>0</v>
      </c>
      <c r="J6" s="52">
        <f t="shared" si="45"/>
        <v>0</v>
      </c>
      <c r="K6" s="52">
        <f t="shared" si="0"/>
        <v>0</v>
      </c>
      <c r="L6" s="16">
        <f t="shared" si="15"/>
        <v>4133790.9085436594</v>
      </c>
      <c r="M6" s="16">
        <f t="shared" si="16"/>
        <v>35559944.3615042</v>
      </c>
      <c r="N6" s="52">
        <f t="shared" si="17"/>
        <v>0.02248757065684462</v>
      </c>
      <c r="O6" s="51">
        <f t="shared" si="18"/>
        <v>0.02248757065684462</v>
      </c>
      <c r="P6" s="16">
        <f t="shared" si="19"/>
        <v>1033447.7271359148</v>
      </c>
      <c r="Q6" s="51"/>
      <c r="R6" s="16">
        <f t="shared" si="20"/>
        <v>52188890.0683468</v>
      </c>
      <c r="S6" s="16">
        <f t="shared" si="21"/>
        <v>54105304.62874294</v>
      </c>
      <c r="T6" s="16">
        <f t="shared" si="22"/>
        <v>59155212.63962803</v>
      </c>
      <c r="U6" s="16">
        <f t="shared" si="23"/>
        <v>61380169.490264796</v>
      </c>
      <c r="V6" s="16">
        <f t="shared" si="24"/>
        <v>63296584.05066094</v>
      </c>
      <c r="W6" s="16">
        <f t="shared" si="25"/>
        <v>68346492.06154603</v>
      </c>
      <c r="X6" s="54"/>
      <c r="Y6" s="53">
        <v>455</v>
      </c>
      <c r="Z6" s="53">
        <v>0</v>
      </c>
      <c r="AA6" s="53">
        <v>716</v>
      </c>
      <c r="AB6" s="53">
        <v>0</v>
      </c>
      <c r="AC6" s="53">
        <v>0</v>
      </c>
      <c r="AD6" s="53">
        <v>0</v>
      </c>
      <c r="AE6" s="53">
        <v>0</v>
      </c>
      <c r="AF6" s="53">
        <v>0</v>
      </c>
      <c r="AG6" s="53">
        <v>131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247</v>
      </c>
      <c r="AO6" s="53">
        <v>0</v>
      </c>
      <c r="AP6" s="53">
        <v>4</v>
      </c>
      <c r="AQ6" s="53">
        <v>0</v>
      </c>
      <c r="AR6" s="53">
        <v>1</v>
      </c>
      <c r="AS6" s="53">
        <v>0</v>
      </c>
      <c r="AT6" s="53">
        <v>106</v>
      </c>
      <c r="AU6" s="53">
        <v>148498</v>
      </c>
      <c r="AV6" s="53">
        <v>10</v>
      </c>
      <c r="AW6" s="53">
        <v>3216</v>
      </c>
      <c r="AX6" s="53">
        <v>0</v>
      </c>
      <c r="AY6" s="53">
        <v>0</v>
      </c>
      <c r="AZ6" s="53">
        <v>0</v>
      </c>
      <c r="BA6" s="53">
        <v>0</v>
      </c>
      <c r="BB6" s="53">
        <v>0</v>
      </c>
      <c r="BC6" s="53">
        <v>24805</v>
      </c>
      <c r="BD6" s="53">
        <v>3838724</v>
      </c>
      <c r="BF6" s="53">
        <f t="shared" si="1"/>
        <v>5010709</v>
      </c>
      <c r="BG6" s="53">
        <f t="shared" si="2"/>
        <v>26275676</v>
      </c>
      <c r="BH6" s="53">
        <f t="shared" si="3"/>
        <v>1433438</v>
      </c>
      <c r="BI6" s="53">
        <f t="shared" si="4"/>
        <v>63483.84</v>
      </c>
      <c r="BJ6" s="53">
        <f t="shared" si="5"/>
        <v>0</v>
      </c>
      <c r="BK6" s="53">
        <f>SUMIF(Renseanlæg!$A:$A,SPILDEVAND!A6,Renseanlæg!$I:$I)</f>
        <v>16409139.2283468</v>
      </c>
      <c r="BL6" s="53">
        <f t="shared" si="6"/>
        <v>0</v>
      </c>
      <c r="BM6" s="53">
        <f t="shared" si="7"/>
        <v>2996444</v>
      </c>
      <c r="BN6" s="53">
        <v>31.857546127018598</v>
      </c>
      <c r="BO6" s="53">
        <f t="shared" si="8"/>
        <v>0.02118274978650726</v>
      </c>
      <c r="BP6" s="53">
        <f t="shared" si="9"/>
        <v>52188890.0683468</v>
      </c>
      <c r="BQ6" s="53">
        <f t="shared" si="10"/>
        <v>54105304.62874294</v>
      </c>
      <c r="BR6" s="53">
        <f t="shared" si="11"/>
        <v>59155212.63962803</v>
      </c>
      <c r="BS6" s="53">
        <v>46677007</v>
      </c>
      <c r="BT6" s="53"/>
      <c r="BU6" s="53">
        <f t="shared" si="26"/>
        <v>9.601102827513582</v>
      </c>
      <c r="BV6" s="53">
        <f t="shared" si="27"/>
        <v>50.34725966693152</v>
      </c>
      <c r="BW6" s="53">
        <f t="shared" si="28"/>
        <v>2.746634385446334</v>
      </c>
      <c r="BX6" s="53">
        <f t="shared" si="29"/>
        <v>0.12164244136417018</v>
      </c>
      <c r="BY6" s="53">
        <f t="shared" si="30"/>
        <v>0</v>
      </c>
      <c r="BZ6" s="53">
        <f t="shared" si="31"/>
        <v>31.441824508736094</v>
      </c>
      <c r="CA6" s="53">
        <f t="shared" si="32"/>
        <v>0</v>
      </c>
      <c r="CB6" s="53">
        <f t="shared" si="33"/>
        <v>5.741536170008298</v>
      </c>
      <c r="CD6" s="53">
        <f t="shared" si="34"/>
        <v>18.089273382968216</v>
      </c>
      <c r="CF6" s="53">
        <f t="shared" si="35"/>
        <v>12.023532954827854</v>
      </c>
      <c r="CG6" s="53">
        <f t="shared" si="36"/>
        <v>-30.196306872821868</v>
      </c>
      <c r="CH6" s="53">
        <f t="shared" si="37"/>
        <v>-0.7154535876514436</v>
      </c>
      <c r="CI6" s="53">
        <f t="shared" si="38"/>
        <v>1.3691539490068885</v>
      </c>
      <c r="CJ6" s="53">
        <f t="shared" si="39"/>
        <v>0.05674468202527108</v>
      </c>
      <c r="CK6" s="53">
        <f t="shared" si="40"/>
        <v>2.759840239792748</v>
      </c>
      <c r="CL6" s="53">
        <f t="shared" si="41"/>
        <v>13.378819580148498</v>
      </c>
      <c r="CM6" s="53">
        <f t="shared" si="42"/>
        <v>1.3236690546720453</v>
      </c>
      <c r="CO6" s="53">
        <f t="shared" si="46"/>
        <v>12.631748421848453</v>
      </c>
      <c r="CP6" s="53">
        <f t="shared" si="47"/>
        <v>0</v>
      </c>
      <c r="CQ6" s="53">
        <f t="shared" si="43"/>
        <v>68.55817549126391</v>
      </c>
    </row>
    <row r="7" spans="1:95" ht="15">
      <c r="A7" s="54" t="s">
        <v>93</v>
      </c>
      <c r="B7" s="70">
        <v>2</v>
      </c>
      <c r="C7" s="16">
        <v>27129850.771853212</v>
      </c>
      <c r="D7" s="51">
        <v>0.14301627</v>
      </c>
      <c r="E7" s="16">
        <f t="shared" si="14"/>
        <v>3880010.0630470673</v>
      </c>
      <c r="F7" s="51"/>
      <c r="G7" s="16"/>
      <c r="H7" s="51">
        <v>0.006742275</v>
      </c>
      <c r="I7" s="52">
        <f t="shared" si="44"/>
        <v>0</v>
      </c>
      <c r="J7" s="52">
        <f t="shared" si="45"/>
        <v>0</v>
      </c>
      <c r="K7" s="52">
        <f t="shared" si="0"/>
        <v>0</v>
      </c>
      <c r="L7" s="16">
        <f t="shared" si="15"/>
        <v>182916.91461279662</v>
      </c>
      <c r="M7" s="16">
        <f t="shared" si="16"/>
        <v>23249840.708806146</v>
      </c>
      <c r="N7" s="52">
        <f t="shared" si="17"/>
        <v>0.00168556875</v>
      </c>
      <c r="O7" s="51">
        <f t="shared" si="18"/>
        <v>0</v>
      </c>
      <c r="P7" s="16">
        <f t="shared" si="19"/>
        <v>0</v>
      </c>
      <c r="Q7" s="51"/>
      <c r="R7" s="16">
        <f t="shared" si="20"/>
        <v>34122195.69777486</v>
      </c>
      <c r="S7" s="16">
        <f t="shared" si="21"/>
        <v>31341800.207416948</v>
      </c>
      <c r="T7" s="16">
        <f t="shared" si="22"/>
        <v>34487072.55097383</v>
      </c>
      <c r="U7" s="16">
        <f t="shared" si="23"/>
        <v>39548165.8521455</v>
      </c>
      <c r="V7" s="16">
        <f t="shared" si="24"/>
        <v>36767770.36178759</v>
      </c>
      <c r="W7" s="16">
        <f t="shared" si="25"/>
        <v>39913042.705344476</v>
      </c>
      <c r="X7" s="54"/>
      <c r="Y7" s="53">
        <v>478</v>
      </c>
      <c r="Z7" s="53">
        <v>120</v>
      </c>
      <c r="AA7" s="53">
        <v>299</v>
      </c>
      <c r="AB7" s="53">
        <v>183</v>
      </c>
      <c r="AC7" s="53">
        <v>0</v>
      </c>
      <c r="AD7" s="53">
        <v>0</v>
      </c>
      <c r="AE7" s="53">
        <v>0</v>
      </c>
      <c r="AF7" s="53">
        <v>0</v>
      </c>
      <c r="AG7" s="53">
        <v>643</v>
      </c>
      <c r="AH7" s="53">
        <v>26</v>
      </c>
      <c r="AI7" s="53">
        <v>216</v>
      </c>
      <c r="AJ7" s="53">
        <v>144</v>
      </c>
      <c r="AK7" s="53">
        <v>3925</v>
      </c>
      <c r="AL7" s="53">
        <v>1</v>
      </c>
      <c r="AM7" s="53">
        <v>240</v>
      </c>
      <c r="AN7" s="53">
        <v>0</v>
      </c>
      <c r="AO7" s="53">
        <v>0</v>
      </c>
      <c r="AP7" s="53">
        <v>0</v>
      </c>
      <c r="AQ7" s="53">
        <v>0</v>
      </c>
      <c r="AR7" s="53">
        <v>0</v>
      </c>
      <c r="AS7" s="53">
        <v>0</v>
      </c>
      <c r="AT7" s="53">
        <v>102</v>
      </c>
      <c r="AU7" s="53">
        <v>206499</v>
      </c>
      <c r="AV7" s="53">
        <v>20</v>
      </c>
      <c r="AW7" s="53">
        <v>12201</v>
      </c>
      <c r="AX7" s="53">
        <v>747</v>
      </c>
      <c r="AY7" s="53">
        <v>0</v>
      </c>
      <c r="AZ7" s="53">
        <v>0</v>
      </c>
      <c r="BA7" s="53">
        <v>115</v>
      </c>
      <c r="BB7" s="53">
        <v>750</v>
      </c>
      <c r="BC7" s="53">
        <v>16100</v>
      </c>
      <c r="BD7" s="53">
        <v>3550110</v>
      </c>
      <c r="BF7" s="53">
        <f t="shared" si="1"/>
        <v>4621320</v>
      </c>
      <c r="BG7" s="53">
        <f t="shared" si="2"/>
        <v>8230362</v>
      </c>
      <c r="BH7" s="53">
        <f t="shared" si="3"/>
        <v>1379346</v>
      </c>
      <c r="BI7" s="53">
        <f t="shared" si="4"/>
        <v>240847.74</v>
      </c>
      <c r="BJ7" s="53">
        <f t="shared" si="5"/>
        <v>292100</v>
      </c>
      <c r="BK7" s="53">
        <f>SUMIF(Renseanlæg!$A:$A,SPILDEVAND!A7,Renseanlæg!$I:$I)</f>
        <v>14451186.157774853</v>
      </c>
      <c r="BL7" s="53">
        <f t="shared" si="6"/>
        <v>2962153.8000000003</v>
      </c>
      <c r="BM7" s="53">
        <f t="shared" si="7"/>
        <v>1944880</v>
      </c>
      <c r="BN7" s="53">
        <v>24.469782061022187</v>
      </c>
      <c r="BO7" s="53">
        <f t="shared" si="8"/>
        <v>0.014907407407407407</v>
      </c>
      <c r="BP7" s="53">
        <f t="shared" si="9"/>
        <v>34122195.69777486</v>
      </c>
      <c r="BQ7" s="53">
        <f t="shared" si="10"/>
        <v>31341800.207416948</v>
      </c>
      <c r="BR7" s="53">
        <f t="shared" si="11"/>
        <v>34487072.55097383</v>
      </c>
      <c r="BS7" s="53">
        <v>23448549</v>
      </c>
      <c r="BT7" s="53"/>
      <c r="BU7" s="53">
        <f t="shared" si="26"/>
        <v>13.543442634617328</v>
      </c>
      <c r="BV7" s="53">
        <f t="shared" si="27"/>
        <v>24.120259062158507</v>
      </c>
      <c r="BW7" s="53">
        <f t="shared" si="28"/>
        <v>4.042371751856369</v>
      </c>
      <c r="BX7" s="53">
        <f t="shared" si="29"/>
        <v>0.7058389270527099</v>
      </c>
      <c r="BY7" s="53">
        <f t="shared" si="30"/>
        <v>0.8560410431590372</v>
      </c>
      <c r="BZ7" s="53">
        <f t="shared" si="31"/>
        <v>42.35127858057865</v>
      </c>
      <c r="CA7" s="53">
        <f t="shared" si="32"/>
        <v>8.681017558882253</v>
      </c>
      <c r="CB7" s="53">
        <f t="shared" si="33"/>
        <v>5.699750441695133</v>
      </c>
      <c r="CD7" s="53">
        <f t="shared" si="34"/>
        <v>23.28556482816883</v>
      </c>
      <c r="CF7" s="53">
        <f t="shared" si="35"/>
        <v>8.081193147724107</v>
      </c>
      <c r="CG7" s="53">
        <f t="shared" si="36"/>
        <v>-3.969306268048854</v>
      </c>
      <c r="CH7" s="53">
        <f t="shared" si="37"/>
        <v>-2.0111909540614787</v>
      </c>
      <c r="CI7" s="53">
        <f t="shared" si="38"/>
        <v>0.7849574633183487</v>
      </c>
      <c r="CJ7" s="53">
        <f t="shared" si="39"/>
        <v>-0.7992963611337661</v>
      </c>
      <c r="CK7" s="53">
        <f t="shared" si="40"/>
        <v>-8.149613832049809</v>
      </c>
      <c r="CL7" s="53">
        <f t="shared" si="41"/>
        <v>4.697802021266245</v>
      </c>
      <c r="CM7" s="53">
        <f t="shared" si="42"/>
        <v>1.3654547829852106</v>
      </c>
      <c r="CO7" s="53">
        <f t="shared" si="46"/>
        <v>7.4354569766478384</v>
      </c>
      <c r="CP7" s="53">
        <f t="shared" si="47"/>
        <v>0</v>
      </c>
      <c r="CQ7" s="53">
        <f t="shared" si="43"/>
        <v>48.111662817380044</v>
      </c>
    </row>
    <row r="8" spans="1:95" ht="15">
      <c r="A8" s="54" t="s">
        <v>125</v>
      </c>
      <c r="B8" s="70">
        <v>4</v>
      </c>
      <c r="C8" s="16">
        <v>18829109.901690003</v>
      </c>
      <c r="D8" s="51">
        <v>0.18870971596639463</v>
      </c>
      <c r="E8" s="16">
        <f t="shared" si="14"/>
        <v>3553235.981447949</v>
      </c>
      <c r="F8" s="51"/>
      <c r="G8" s="16"/>
      <c r="H8" s="51">
        <v>0.05243571482666498</v>
      </c>
      <c r="I8" s="52">
        <f t="shared" si="44"/>
        <v>0</v>
      </c>
      <c r="J8" s="52">
        <f t="shared" si="45"/>
        <v>0</v>
      </c>
      <c r="K8" s="52">
        <f>IF(J8&lt;0,H8+J8,0)</f>
        <v>0</v>
      </c>
      <c r="L8" s="16">
        <f t="shared" si="15"/>
        <v>987317.8372449508</v>
      </c>
      <c r="M8" s="16">
        <f t="shared" si="16"/>
        <v>15275873.920242053</v>
      </c>
      <c r="N8" s="52">
        <f t="shared" si="17"/>
        <v>0.013108928706666245</v>
      </c>
      <c r="O8" s="51">
        <f t="shared" si="18"/>
        <v>0.013108928706666245</v>
      </c>
      <c r="P8" s="16">
        <f t="shared" si="19"/>
        <v>246829.4593112377</v>
      </c>
      <c r="Q8" s="51"/>
      <c r="R8" s="16">
        <f t="shared" si="20"/>
        <v>22419351.910135683</v>
      </c>
      <c r="S8" s="16">
        <f t="shared" si="21"/>
        <v>27237932.30928489</v>
      </c>
      <c r="T8" s="16">
        <f t="shared" si="22"/>
        <v>26009741.82236528</v>
      </c>
      <c r="U8" s="16">
        <f t="shared" si="23"/>
        <v>26185173.890473682</v>
      </c>
      <c r="V8" s="16">
        <f t="shared" si="24"/>
        <v>31003754.289622888</v>
      </c>
      <c r="W8" s="16">
        <f t="shared" si="25"/>
        <v>29775563.80270328</v>
      </c>
      <c r="X8" s="54"/>
      <c r="Y8" s="53">
        <v>12</v>
      </c>
      <c r="Z8" s="53">
        <v>16</v>
      </c>
      <c r="AA8" s="53">
        <v>238</v>
      </c>
      <c r="AB8" s="53">
        <v>141</v>
      </c>
      <c r="AC8" s="53">
        <v>0</v>
      </c>
      <c r="AD8" s="53">
        <v>0</v>
      </c>
      <c r="AE8" s="53">
        <v>0</v>
      </c>
      <c r="AF8" s="53">
        <v>0</v>
      </c>
      <c r="AG8" s="53">
        <v>1</v>
      </c>
      <c r="AH8" s="53">
        <v>0</v>
      </c>
      <c r="AI8" s="53">
        <v>0</v>
      </c>
      <c r="AJ8" s="53">
        <v>62</v>
      </c>
      <c r="AK8" s="53">
        <v>1440</v>
      </c>
      <c r="AL8" s="53">
        <v>2</v>
      </c>
      <c r="AM8" s="53">
        <v>440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14</v>
      </c>
      <c r="AU8" s="53">
        <v>14450</v>
      </c>
      <c r="AV8" s="53">
        <v>6</v>
      </c>
      <c r="AW8" s="53">
        <v>12515</v>
      </c>
      <c r="AX8" s="53">
        <v>1203</v>
      </c>
      <c r="AY8" s="53">
        <v>0</v>
      </c>
      <c r="AZ8" s="53">
        <v>0</v>
      </c>
      <c r="BA8" s="53">
        <v>0</v>
      </c>
      <c r="BB8" s="53">
        <v>0</v>
      </c>
      <c r="BC8" s="53">
        <v>9176</v>
      </c>
      <c r="BD8" s="53">
        <v>3481962</v>
      </c>
      <c r="BF8" s="53">
        <f t="shared" si="1"/>
        <v>1741553</v>
      </c>
      <c r="BG8" s="53">
        <f t="shared" si="2"/>
        <v>1721250</v>
      </c>
      <c r="BH8" s="53">
        <f t="shared" si="3"/>
        <v>189322</v>
      </c>
      <c r="BI8" s="53">
        <f t="shared" si="4"/>
        <v>247046.09999999998</v>
      </c>
      <c r="BJ8" s="53">
        <f t="shared" si="5"/>
        <v>0</v>
      </c>
      <c r="BK8" s="53">
        <f>SUMIF(Renseanlæg!$A:$A,SPILDEVAND!A8,Renseanlæg!$I:$I)</f>
        <v>12641343.810135681</v>
      </c>
      <c r="BL8" s="53">
        <f t="shared" si="6"/>
        <v>4770376.2</v>
      </c>
      <c r="BM8" s="53">
        <f t="shared" si="7"/>
        <v>1108460.8</v>
      </c>
      <c r="BN8" s="53">
        <v>42.99559459408021</v>
      </c>
      <c r="BO8" s="53">
        <f t="shared" si="8"/>
        <v>0.022545454545454546</v>
      </c>
      <c r="BP8" s="53">
        <f t="shared" si="9"/>
        <v>22419351.910135683</v>
      </c>
      <c r="BQ8" s="53">
        <f t="shared" si="10"/>
        <v>27237932.30928489</v>
      </c>
      <c r="BR8" s="53">
        <f t="shared" si="11"/>
        <v>26009741.82236528</v>
      </c>
      <c r="BS8" s="53">
        <v>14932428</v>
      </c>
      <c r="BT8" s="53"/>
      <c r="BU8" s="53">
        <f t="shared" si="26"/>
        <v>7.768079144217599</v>
      </c>
      <c r="BV8" s="53">
        <f t="shared" si="27"/>
        <v>7.6775189885031025</v>
      </c>
      <c r="BW8" s="53">
        <f t="shared" si="28"/>
        <v>0.8444579520356627</v>
      </c>
      <c r="BX8" s="53">
        <f t="shared" si="29"/>
        <v>1.1019323885464842</v>
      </c>
      <c r="BY8" s="53">
        <f t="shared" si="30"/>
        <v>0</v>
      </c>
      <c r="BZ8" s="53">
        <f t="shared" si="31"/>
        <v>56.38585745389272</v>
      </c>
      <c r="CA8" s="53">
        <f t="shared" si="32"/>
        <v>21.27793978666857</v>
      </c>
      <c r="CB8" s="53">
        <f t="shared" si="33"/>
        <v>4.944214286135855</v>
      </c>
      <c r="CD8" s="53">
        <f t="shared" si="34"/>
        <v>13.556751382389116</v>
      </c>
      <c r="CF8" s="53">
        <f t="shared" si="35"/>
        <v>13.856556638123838</v>
      </c>
      <c r="CG8" s="53">
        <f t="shared" si="36"/>
        <v>12.47343380560655</v>
      </c>
      <c r="CH8" s="53">
        <f t="shared" si="37"/>
        <v>1.186722845759228</v>
      </c>
      <c r="CI8" s="53">
        <f t="shared" si="38"/>
        <v>0.38886400182457437</v>
      </c>
      <c r="CJ8" s="53">
        <f t="shared" si="39"/>
        <v>0.05674468202527108</v>
      </c>
      <c r="CK8" s="53">
        <f t="shared" si="40"/>
        <v>-22.184192705363877</v>
      </c>
      <c r="CL8" s="53">
        <f t="shared" si="41"/>
        <v>-7.89912020652007</v>
      </c>
      <c r="CM8" s="53">
        <f t="shared" si="42"/>
        <v>2.1209909385444883</v>
      </c>
      <c r="CO8" s="53">
        <f t="shared" si="46"/>
        <v>17.164270422427553</v>
      </c>
      <c r="CP8" s="53">
        <f t="shared" si="47"/>
        <v>0</v>
      </c>
      <c r="CQ8" s="53">
        <f t="shared" si="43"/>
        <v>22.3362027594387</v>
      </c>
    </row>
    <row r="9" spans="1:95" ht="15">
      <c r="A9" s="54" t="s">
        <v>79</v>
      </c>
      <c r="B9" s="70">
        <v>2</v>
      </c>
      <c r="C9" s="16">
        <v>30907071.169326834</v>
      </c>
      <c r="D9" s="51">
        <v>0.2985188217982677</v>
      </c>
      <c r="E9" s="16">
        <f t="shared" si="14"/>
        <v>9226342.470702656</v>
      </c>
      <c r="F9" s="51"/>
      <c r="G9" s="16"/>
      <c r="H9" s="51">
        <v>0.17106309884610726</v>
      </c>
      <c r="I9" s="52">
        <f t="shared" si="44"/>
        <v>0</v>
      </c>
      <c r="J9" s="52">
        <f t="shared" si="45"/>
        <v>0</v>
      </c>
      <c r="K9" s="52">
        <f aca="true" t="shared" si="48" ref="K9:K73">IF(J9&lt;0,H9+J9,0)</f>
        <v>0</v>
      </c>
      <c r="L9" s="16">
        <f t="shared" si="15"/>
        <v>5287059.370482229</v>
      </c>
      <c r="M9" s="16">
        <f t="shared" si="16"/>
        <v>21680728.69862418</v>
      </c>
      <c r="N9" s="52">
        <f t="shared" si="17"/>
        <v>0.042765774711526816</v>
      </c>
      <c r="O9" s="51">
        <f t="shared" si="18"/>
        <v>0.042765774711526816</v>
      </c>
      <c r="P9" s="16">
        <f t="shared" si="19"/>
        <v>1321764.8426205572</v>
      </c>
      <c r="Q9" s="51"/>
      <c r="R9" s="16">
        <f t="shared" si="20"/>
        <v>31419318.533680264</v>
      </c>
      <c r="S9" s="16">
        <f t="shared" si="21"/>
        <v>39103986.518180944</v>
      </c>
      <c r="T9" s="16">
        <f t="shared" si="22"/>
        <v>35157441.827575564</v>
      </c>
      <c r="U9" s="16">
        <f t="shared" si="23"/>
        <v>37600732.76754563</v>
      </c>
      <c r="V9" s="16">
        <f t="shared" si="24"/>
        <v>45285400.75204631</v>
      </c>
      <c r="W9" s="16">
        <f t="shared" si="25"/>
        <v>41338856.06144093</v>
      </c>
      <c r="X9" s="54"/>
      <c r="Y9" s="53">
        <v>180</v>
      </c>
      <c r="Z9" s="53">
        <v>50</v>
      </c>
      <c r="AA9" s="53">
        <v>300</v>
      </c>
      <c r="AB9" s="53">
        <v>288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82</v>
      </c>
      <c r="AI9" s="53">
        <v>310</v>
      </c>
      <c r="AJ9" s="53">
        <v>85</v>
      </c>
      <c r="AK9" s="53">
        <v>4250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3</v>
      </c>
      <c r="AU9" s="53">
        <v>1000</v>
      </c>
      <c r="AV9" s="53">
        <v>16</v>
      </c>
      <c r="AW9" s="53">
        <v>45000</v>
      </c>
      <c r="AX9" s="53">
        <v>1600</v>
      </c>
      <c r="AY9" s="53">
        <v>0</v>
      </c>
      <c r="AZ9" s="53">
        <v>0</v>
      </c>
      <c r="BA9" s="53">
        <v>0</v>
      </c>
      <c r="BB9" s="53">
        <v>0</v>
      </c>
      <c r="BC9" s="53">
        <v>16721</v>
      </c>
      <c r="BD9" s="53">
        <v>3872184</v>
      </c>
      <c r="BF9" s="53">
        <f t="shared" si="1"/>
        <v>3500222</v>
      </c>
      <c r="BG9" s="53">
        <f t="shared" si="2"/>
        <v>3207707</v>
      </c>
      <c r="BH9" s="53">
        <f t="shared" si="3"/>
        <v>40569</v>
      </c>
      <c r="BI9" s="53">
        <f t="shared" si="4"/>
        <v>888299.9999999999</v>
      </c>
      <c r="BJ9" s="53">
        <f t="shared" si="5"/>
        <v>0</v>
      </c>
      <c r="BK9" s="53">
        <f>SUMIF(Renseanlæg!$A:$A,SPILDEVAND!A9,Renseanlæg!$I:$I)</f>
        <v>15417983.733680261</v>
      </c>
      <c r="BL9" s="53">
        <f t="shared" si="6"/>
        <v>6344640</v>
      </c>
      <c r="BM9" s="53">
        <f t="shared" si="7"/>
        <v>2019896.8</v>
      </c>
      <c r="BN9" s="53">
        <v>44.849010702529675</v>
      </c>
      <c r="BO9" s="53">
        <f t="shared" si="8"/>
        <v>0.020441320293398534</v>
      </c>
      <c r="BP9" s="53">
        <f t="shared" si="9"/>
        <v>31419318.533680264</v>
      </c>
      <c r="BQ9" s="53">
        <f t="shared" si="10"/>
        <v>39103986.518180944</v>
      </c>
      <c r="BR9" s="53">
        <f t="shared" si="11"/>
        <v>35157441.827575564</v>
      </c>
      <c r="BS9" s="53">
        <v>32135079</v>
      </c>
      <c r="BT9" s="53"/>
      <c r="BU9" s="53">
        <f t="shared" si="26"/>
        <v>11.140349833647413</v>
      </c>
      <c r="BV9" s="53">
        <f t="shared" si="27"/>
        <v>10.20934619113863</v>
      </c>
      <c r="BW9" s="53">
        <f t="shared" si="28"/>
        <v>0.12912119642732428</v>
      </c>
      <c r="BX9" s="53">
        <f t="shared" si="29"/>
        <v>2.8272414598928286</v>
      </c>
      <c r="BY9" s="53">
        <f t="shared" si="30"/>
        <v>0</v>
      </c>
      <c r="BZ9" s="53">
        <f t="shared" si="31"/>
        <v>49.071668174956734</v>
      </c>
      <c r="CA9" s="53">
        <f t="shared" si="32"/>
        <v>20.19343606449897</v>
      </c>
      <c r="CB9" s="53">
        <f t="shared" si="33"/>
        <v>6.428837079438088</v>
      </c>
      <c r="CD9" s="53">
        <f t="shared" si="34"/>
        <v>17.698308109512823</v>
      </c>
      <c r="CF9" s="53">
        <f t="shared" si="35"/>
        <v>10.484285948694023</v>
      </c>
      <c r="CG9" s="53">
        <f t="shared" si="36"/>
        <v>9.941606602971023</v>
      </c>
      <c r="CH9" s="53">
        <f t="shared" si="37"/>
        <v>1.9020596013675664</v>
      </c>
      <c r="CI9" s="53">
        <f t="shared" si="38"/>
        <v>-1.33644506952177</v>
      </c>
      <c r="CJ9" s="53">
        <f t="shared" si="39"/>
        <v>0.05674468202527108</v>
      </c>
      <c r="CK9" s="53">
        <f t="shared" si="40"/>
        <v>-14.870003426427893</v>
      </c>
      <c r="CL9" s="53">
        <f t="shared" si="41"/>
        <v>-6.8146164843504735</v>
      </c>
      <c r="CM9" s="53">
        <f t="shared" si="42"/>
        <v>0.6363681452422556</v>
      </c>
      <c r="CO9" s="53">
        <f t="shared" si="46"/>
        <v>13.022713695303846</v>
      </c>
      <c r="CP9" s="53">
        <f t="shared" si="47"/>
        <v>0</v>
      </c>
      <c r="CQ9" s="53">
        <f t="shared" si="43"/>
        <v>30.734895760544283</v>
      </c>
    </row>
    <row r="10" spans="1:95" ht="15">
      <c r="A10" s="54" t="s">
        <v>121</v>
      </c>
      <c r="B10" s="70">
        <v>10</v>
      </c>
      <c r="C10" s="16">
        <v>3801560</v>
      </c>
      <c r="D10" s="51">
        <v>0</v>
      </c>
      <c r="E10" s="16">
        <f t="shared" si="14"/>
        <v>0</v>
      </c>
      <c r="F10" s="51"/>
      <c r="G10" s="16"/>
      <c r="H10" s="51">
        <v>0</v>
      </c>
      <c r="I10" s="52">
        <f t="shared" si="44"/>
        <v>-0.27661453155520027</v>
      </c>
      <c r="J10" s="52">
        <f t="shared" si="45"/>
        <v>-0.08451127168074478</v>
      </c>
      <c r="K10" s="52">
        <f t="shared" si="48"/>
        <v>-0.08451127168074478</v>
      </c>
      <c r="L10" s="16">
        <f t="shared" si="15"/>
        <v>-321274.66997065215</v>
      </c>
      <c r="M10" s="16">
        <v>4693026</v>
      </c>
      <c r="N10" s="52">
        <f t="shared" si="17"/>
        <v>-0.021127817920186195</v>
      </c>
      <c r="O10" s="51">
        <f t="shared" si="18"/>
        <v>0</v>
      </c>
      <c r="P10" s="16">
        <f t="shared" si="19"/>
        <v>0</v>
      </c>
      <c r="Q10" s="51"/>
      <c r="R10" s="16">
        <f t="shared" si="20"/>
        <v>6673111.6</v>
      </c>
      <c r="S10" s="16">
        <f t="shared" si="21"/>
        <v>8548874.307035519</v>
      </c>
      <c r="T10" s="16">
        <f t="shared" si="22"/>
        <v>7224917.726247956</v>
      </c>
      <c r="U10" s="16">
        <f t="shared" si="23"/>
        <v>7433423.6</v>
      </c>
      <c r="V10" s="16">
        <f t="shared" si="24"/>
        <v>9309186.307035519</v>
      </c>
      <c r="W10" s="16">
        <f t="shared" si="25"/>
        <v>7985229.726247956</v>
      </c>
      <c r="X10" s="54"/>
      <c r="Y10" s="53">
        <v>9</v>
      </c>
      <c r="Z10" s="53">
        <v>17</v>
      </c>
      <c r="AA10" s="53">
        <v>105</v>
      </c>
      <c r="AB10" s="53">
        <v>154</v>
      </c>
      <c r="AC10" s="53">
        <v>23</v>
      </c>
      <c r="AD10" s="53">
        <v>14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36</v>
      </c>
      <c r="AK10" s="53">
        <v>1800</v>
      </c>
      <c r="AL10" s="53">
        <v>2</v>
      </c>
      <c r="AM10" s="53">
        <v>400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9</v>
      </c>
      <c r="AU10" s="53">
        <v>94128</v>
      </c>
      <c r="AV10" s="53">
        <v>6</v>
      </c>
      <c r="AW10" s="53">
        <v>15440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5985</v>
      </c>
      <c r="BD10" s="53">
        <v>33005</v>
      </c>
      <c r="BF10" s="53">
        <f t="shared" si="1"/>
        <v>4441771</v>
      </c>
      <c r="BG10" s="53">
        <f t="shared" si="2"/>
        <v>1081860</v>
      </c>
      <c r="BH10" s="53">
        <f t="shared" si="3"/>
        <v>121707</v>
      </c>
      <c r="BI10" s="53">
        <f t="shared" si="4"/>
        <v>304785.6</v>
      </c>
      <c r="BJ10" s="53">
        <f t="shared" si="5"/>
        <v>0</v>
      </c>
      <c r="BK10" s="53">
        <f>SUMIF(Renseanlæg!$A:$A,SPILDEVAND!A10,Renseanlæg!$I:$I)</f>
        <v>0</v>
      </c>
      <c r="BL10" s="53">
        <f t="shared" si="6"/>
        <v>0</v>
      </c>
      <c r="BM10" s="53">
        <f t="shared" si="7"/>
        <v>722988</v>
      </c>
      <c r="BN10" s="53">
        <v>47.13079140842182</v>
      </c>
      <c r="BO10" s="53">
        <f t="shared" si="8"/>
        <v>0.01858695652173913</v>
      </c>
      <c r="BP10" s="53">
        <f t="shared" si="9"/>
        <v>6673111.6</v>
      </c>
      <c r="BQ10" s="53">
        <f t="shared" si="10"/>
        <v>8548874.307035519</v>
      </c>
      <c r="BR10" s="53">
        <f t="shared" si="11"/>
        <v>7224917.726247956</v>
      </c>
      <c r="BS10" s="53">
        <v>1581211</v>
      </c>
      <c r="BT10" s="53"/>
      <c r="BU10" s="53">
        <f t="shared" si="26"/>
        <v>66.56221664268286</v>
      </c>
      <c r="BV10" s="53">
        <f t="shared" si="27"/>
        <v>16.212226991678065</v>
      </c>
      <c r="BW10" s="53">
        <f t="shared" si="28"/>
        <v>1.8238418191597456</v>
      </c>
      <c r="BX10" s="53">
        <f t="shared" si="29"/>
        <v>4.567368542135576</v>
      </c>
      <c r="BY10" s="53">
        <f t="shared" si="30"/>
        <v>0</v>
      </c>
      <c r="BZ10" s="53">
        <f t="shared" si="31"/>
        <v>0</v>
      </c>
      <c r="CA10" s="53">
        <f t="shared" si="32"/>
        <v>0</v>
      </c>
      <c r="CB10" s="53">
        <f t="shared" si="33"/>
        <v>10.834346004343761</v>
      </c>
      <c r="CD10" s="53">
        <f t="shared" si="34"/>
        <v>79.22040446618635</v>
      </c>
      <c r="CF10" s="53">
        <f t="shared" si="35"/>
        <v>-44.93758086034142</v>
      </c>
      <c r="CG10" s="53">
        <f t="shared" si="36"/>
        <v>3.9387258024315877</v>
      </c>
      <c r="CH10" s="53">
        <f t="shared" si="37"/>
        <v>0.20733897863514494</v>
      </c>
      <c r="CI10" s="53">
        <f t="shared" si="38"/>
        <v>-3.076572151764517</v>
      </c>
      <c r="CJ10" s="53">
        <f t="shared" si="39"/>
        <v>0.05674468202527108</v>
      </c>
      <c r="CK10" s="53">
        <f t="shared" si="40"/>
        <v>34.20166474852884</v>
      </c>
      <c r="CL10" s="53">
        <f t="shared" si="41"/>
        <v>13.378819580148498</v>
      </c>
      <c r="CM10" s="53">
        <f t="shared" si="42"/>
        <v>-3.7691407796634175</v>
      </c>
      <c r="CO10" s="53">
        <f t="shared" si="46"/>
        <v>-48.49938266136968</v>
      </c>
      <c r="CP10" s="53">
        <f t="shared" si="47"/>
        <v>-8.451127168074478</v>
      </c>
      <c r="CQ10" s="53">
        <f t="shared" si="43"/>
        <v>100</v>
      </c>
    </row>
    <row r="11" spans="1:95" ht="15">
      <c r="A11" s="54" t="s">
        <v>77</v>
      </c>
      <c r="B11" s="70">
        <v>6</v>
      </c>
      <c r="C11" s="16">
        <v>17477567</v>
      </c>
      <c r="D11" s="51">
        <v>0.2938875959414031</v>
      </c>
      <c r="E11" s="16">
        <f t="shared" si="14"/>
        <v>5136440.148534801</v>
      </c>
      <c r="F11" s="51"/>
      <c r="G11" s="16"/>
      <c r="H11" s="51">
        <v>0.15761357141043142</v>
      </c>
      <c r="I11" s="52">
        <f t="shared" si="44"/>
        <v>0</v>
      </c>
      <c r="J11" s="52">
        <f t="shared" si="45"/>
        <v>0</v>
      </c>
      <c r="K11" s="52">
        <f t="shared" si="48"/>
        <v>0</v>
      </c>
      <c r="L11" s="16">
        <f t="shared" si="15"/>
        <v>2754701.7544350997</v>
      </c>
      <c r="M11" s="16">
        <f t="shared" si="16"/>
        <v>12341126.8514652</v>
      </c>
      <c r="N11" s="52">
        <f t="shared" si="17"/>
        <v>0.039403392852607855</v>
      </c>
      <c r="O11" s="51">
        <f t="shared" si="18"/>
        <v>0.039403392852607855</v>
      </c>
      <c r="P11" s="16">
        <f t="shared" si="19"/>
        <v>688675.4386087749</v>
      </c>
      <c r="Q11" s="51"/>
      <c r="R11" s="16">
        <f t="shared" si="20"/>
        <v>18112225.21452027</v>
      </c>
      <c r="S11" s="16">
        <f t="shared" si="21"/>
        <v>11610104.706047496</v>
      </c>
      <c r="T11" s="16">
        <f t="shared" si="22"/>
        <v>20239776.66654782</v>
      </c>
      <c r="U11" s="16">
        <f t="shared" si="23"/>
        <v>21607738.614520267</v>
      </c>
      <c r="V11" s="16">
        <f t="shared" si="24"/>
        <v>15105618.106047496</v>
      </c>
      <c r="W11" s="16">
        <f t="shared" si="25"/>
        <v>23735290.06654782</v>
      </c>
      <c r="X11" s="54"/>
      <c r="Y11" s="53">
        <v>105</v>
      </c>
      <c r="Z11" s="53">
        <v>44</v>
      </c>
      <c r="AA11" s="53">
        <v>204</v>
      </c>
      <c r="AB11" s="53">
        <v>199</v>
      </c>
      <c r="AC11" s="53">
        <v>0</v>
      </c>
      <c r="AD11" s="53">
        <v>0</v>
      </c>
      <c r="AE11" s="53">
        <v>0</v>
      </c>
      <c r="AF11" s="53">
        <v>0</v>
      </c>
      <c r="AG11" s="53">
        <v>15</v>
      </c>
      <c r="AH11" s="53">
        <v>5</v>
      </c>
      <c r="AI11" s="53">
        <v>20</v>
      </c>
      <c r="AJ11" s="53">
        <v>77</v>
      </c>
      <c r="AK11" s="53">
        <v>3932</v>
      </c>
      <c r="AL11" s="53">
        <v>11</v>
      </c>
      <c r="AM11" s="53">
        <v>2322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13</v>
      </c>
      <c r="AU11" s="53">
        <v>25000</v>
      </c>
      <c r="AV11" s="53">
        <v>25</v>
      </c>
      <c r="AW11" s="53">
        <v>22400</v>
      </c>
      <c r="AX11" s="53">
        <v>0</v>
      </c>
      <c r="AY11" s="53">
        <v>0</v>
      </c>
      <c r="AZ11" s="53">
        <v>656</v>
      </c>
      <c r="BA11" s="53">
        <v>0</v>
      </c>
      <c r="BB11" s="53">
        <v>0</v>
      </c>
      <c r="BC11" s="53">
        <v>11241</v>
      </c>
      <c r="BD11" s="53">
        <v>1980000</v>
      </c>
      <c r="BF11" s="53">
        <f t="shared" si="1"/>
        <v>2362008</v>
      </c>
      <c r="BG11" s="53">
        <f t="shared" si="2"/>
        <v>3174328</v>
      </c>
      <c r="BH11" s="53">
        <f t="shared" si="3"/>
        <v>175799</v>
      </c>
      <c r="BI11" s="53">
        <f t="shared" si="4"/>
        <v>442175.99999999994</v>
      </c>
      <c r="BJ11" s="53">
        <f t="shared" si="5"/>
        <v>0</v>
      </c>
      <c r="BK11" s="53">
        <f>SUMIF(Renseanlæg!$A:$A,SPILDEVAND!A11,Renseanlæg!$I:$I)</f>
        <v>7485510.21452027</v>
      </c>
      <c r="BL11" s="53">
        <f t="shared" si="6"/>
        <v>3114491.1999999997</v>
      </c>
      <c r="BM11" s="53">
        <f t="shared" si="7"/>
        <v>1357912.8</v>
      </c>
      <c r="BN11" s="53">
        <v>7.125580904396101</v>
      </c>
      <c r="BO11" s="53">
        <f t="shared" si="8"/>
        <v>0.02036413043478261</v>
      </c>
      <c r="BP11" s="53">
        <f t="shared" si="9"/>
        <v>18112225.21452027</v>
      </c>
      <c r="BQ11" s="53">
        <f t="shared" si="10"/>
        <v>11610104.706047496</v>
      </c>
      <c r="BR11" s="53">
        <f t="shared" si="11"/>
        <v>20239776.66654782</v>
      </c>
      <c r="BS11" s="53">
        <v>15851083</v>
      </c>
      <c r="BT11" s="53"/>
      <c r="BU11" s="53">
        <f t="shared" si="26"/>
        <v>13.040959749696674</v>
      </c>
      <c r="BV11" s="53">
        <f t="shared" si="27"/>
        <v>17.525886313820756</v>
      </c>
      <c r="BW11" s="53">
        <f t="shared" si="28"/>
        <v>0.9706096181879678</v>
      </c>
      <c r="BX11" s="53">
        <f t="shared" si="29"/>
        <v>2.4413123995692967</v>
      </c>
      <c r="BY11" s="53">
        <f t="shared" si="30"/>
        <v>0</v>
      </c>
      <c r="BZ11" s="53">
        <f t="shared" si="31"/>
        <v>41.32849567550243</v>
      </c>
      <c r="CA11" s="53">
        <f t="shared" si="32"/>
        <v>17.19551939704882</v>
      </c>
      <c r="CB11" s="53">
        <f t="shared" si="33"/>
        <v>7.497216846174064</v>
      </c>
      <c r="CD11" s="53">
        <f t="shared" si="34"/>
        <v>21.508786214058706</v>
      </c>
      <c r="CF11" s="53">
        <f t="shared" si="35"/>
        <v>8.583676032644762</v>
      </c>
      <c r="CG11" s="53">
        <f t="shared" si="36"/>
        <v>2.625066480288897</v>
      </c>
      <c r="CH11" s="53">
        <f t="shared" si="37"/>
        <v>1.0605711796069228</v>
      </c>
      <c r="CI11" s="53">
        <f t="shared" si="38"/>
        <v>-0.9505160091982381</v>
      </c>
      <c r="CJ11" s="53">
        <f t="shared" si="39"/>
        <v>0.05674468202527108</v>
      </c>
      <c r="CK11" s="53">
        <f t="shared" si="40"/>
        <v>-7.126830926973589</v>
      </c>
      <c r="CL11" s="53">
        <f t="shared" si="41"/>
        <v>-3.8166998169003215</v>
      </c>
      <c r="CM11" s="53">
        <f t="shared" si="42"/>
        <v>-0.43201162149372063</v>
      </c>
      <c r="CO11" s="53">
        <f t="shared" si="46"/>
        <v>9.212235590757963</v>
      </c>
      <c r="CP11" s="53">
        <f t="shared" si="47"/>
        <v>0</v>
      </c>
      <c r="CQ11" s="53">
        <f t="shared" si="43"/>
        <v>41.475984927448756</v>
      </c>
    </row>
    <row r="12" spans="1:95" ht="15">
      <c r="A12" s="54" t="s">
        <v>68</v>
      </c>
      <c r="B12" s="70">
        <v>2</v>
      </c>
      <c r="C12" s="16">
        <v>7188482.669742708</v>
      </c>
      <c r="D12" s="51">
        <v>0.12871704</v>
      </c>
      <c r="E12" s="16">
        <f t="shared" si="14"/>
        <v>925280.211340579</v>
      </c>
      <c r="F12" s="51"/>
      <c r="G12" s="16"/>
      <c r="H12" s="51">
        <v>0.011254294</v>
      </c>
      <c r="I12" s="52">
        <f t="shared" si="44"/>
        <v>0</v>
      </c>
      <c r="J12" s="52">
        <f t="shared" si="45"/>
        <v>0</v>
      </c>
      <c r="K12" s="52">
        <f t="shared" si="48"/>
        <v>0</v>
      </c>
      <c r="L12" s="16">
        <f t="shared" si="15"/>
        <v>80901.29737918935</v>
      </c>
      <c r="M12" s="16">
        <f t="shared" si="16"/>
        <v>6263202.458402129</v>
      </c>
      <c r="N12" s="52">
        <f t="shared" si="17"/>
        <v>0.0028135735</v>
      </c>
      <c r="O12" s="51">
        <f t="shared" si="18"/>
        <v>0</v>
      </c>
      <c r="P12" s="16">
        <f t="shared" si="19"/>
        <v>0</v>
      </c>
      <c r="Q12" s="51"/>
      <c r="R12" s="16">
        <f t="shared" si="20"/>
        <v>8753418.726215601</v>
      </c>
      <c r="S12" s="16">
        <f t="shared" si="21"/>
        <v>10578916.544976227</v>
      </c>
      <c r="T12" s="16">
        <f t="shared" si="22"/>
        <v>10664155.377390396</v>
      </c>
      <c r="U12" s="16">
        <f t="shared" si="23"/>
        <v>10191115.260164142</v>
      </c>
      <c r="V12" s="16">
        <f t="shared" si="24"/>
        <v>12016613.078924768</v>
      </c>
      <c r="W12" s="16">
        <f t="shared" si="25"/>
        <v>12101851.911338937</v>
      </c>
      <c r="X12" s="54"/>
      <c r="Y12" s="53">
        <v>21</v>
      </c>
      <c r="Z12" s="53">
        <v>12</v>
      </c>
      <c r="AA12" s="53">
        <v>93</v>
      </c>
      <c r="AB12" s="53">
        <v>54</v>
      </c>
      <c r="AC12" s="53">
        <v>0</v>
      </c>
      <c r="AD12" s="53">
        <v>0</v>
      </c>
      <c r="AE12" s="53">
        <v>0</v>
      </c>
      <c r="AF12" s="53">
        <v>0</v>
      </c>
      <c r="AG12" s="53">
        <v>5</v>
      </c>
      <c r="AH12" s="53">
        <v>0</v>
      </c>
      <c r="AI12" s="53">
        <v>0</v>
      </c>
      <c r="AJ12" s="53">
        <v>92</v>
      </c>
      <c r="AK12" s="53">
        <v>3350</v>
      </c>
      <c r="AL12" s="53">
        <v>6</v>
      </c>
      <c r="AM12" s="53">
        <v>702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8</v>
      </c>
      <c r="AU12" s="53">
        <v>5385</v>
      </c>
      <c r="AV12" s="53">
        <v>2</v>
      </c>
      <c r="AW12" s="53">
        <v>950</v>
      </c>
      <c r="AX12" s="53">
        <v>280</v>
      </c>
      <c r="AY12" s="53">
        <v>0</v>
      </c>
      <c r="AZ12" s="53">
        <v>0</v>
      </c>
      <c r="BA12" s="53">
        <v>0</v>
      </c>
      <c r="BB12" s="53">
        <v>0</v>
      </c>
      <c r="BC12" s="53">
        <v>4593</v>
      </c>
      <c r="BD12" s="53">
        <v>1143054</v>
      </c>
      <c r="BF12" s="53">
        <f t="shared" si="1"/>
        <v>770220</v>
      </c>
      <c r="BG12" s="53">
        <f t="shared" si="2"/>
        <v>2889328</v>
      </c>
      <c r="BH12" s="53">
        <f t="shared" si="3"/>
        <v>108184</v>
      </c>
      <c r="BI12" s="53">
        <f t="shared" si="4"/>
        <v>18753</v>
      </c>
      <c r="BJ12" s="53">
        <f t="shared" si="5"/>
        <v>0</v>
      </c>
      <c r="BK12" s="53">
        <f>SUMIF(Renseanlæg!$A:$A,SPILDEVAND!A12,Renseanlæg!$I:$I)</f>
        <v>3301787.3262156</v>
      </c>
      <c r="BL12" s="53">
        <f t="shared" si="6"/>
        <v>1110312</v>
      </c>
      <c r="BM12" s="53">
        <f t="shared" si="7"/>
        <v>554834.4</v>
      </c>
      <c r="BN12" s="53">
        <v>42.59667753007065</v>
      </c>
      <c r="BO12" s="53">
        <f t="shared" si="8"/>
        <v>0.025516666666666667</v>
      </c>
      <c r="BP12" s="53">
        <f t="shared" si="9"/>
        <v>8753418.726215601</v>
      </c>
      <c r="BQ12" s="53">
        <f t="shared" si="10"/>
        <v>10578916.544976227</v>
      </c>
      <c r="BR12" s="53">
        <f t="shared" si="11"/>
        <v>10664155.377390396</v>
      </c>
      <c r="BS12" s="53">
        <v>7109783</v>
      </c>
      <c r="BT12" s="53"/>
      <c r="BU12" s="53">
        <f t="shared" si="26"/>
        <v>8.799076384787458</v>
      </c>
      <c r="BV12" s="53">
        <f t="shared" si="27"/>
        <v>33.00799482317412</v>
      </c>
      <c r="BW12" s="53">
        <f t="shared" si="28"/>
        <v>1.2359056887796296</v>
      </c>
      <c r="BX12" s="53">
        <f t="shared" si="29"/>
        <v>0.21423629540120898</v>
      </c>
      <c r="BY12" s="53">
        <f t="shared" si="30"/>
        <v>0</v>
      </c>
      <c r="BZ12" s="53">
        <f t="shared" si="31"/>
        <v>37.71997466917791</v>
      </c>
      <c r="CA12" s="53">
        <f t="shared" si="32"/>
        <v>12.68432408785299</v>
      </c>
      <c r="CB12" s="53">
        <f t="shared" si="33"/>
        <v>6.338488050826671</v>
      </c>
      <c r="CD12" s="53">
        <f t="shared" si="34"/>
        <v>16.37347012439376</v>
      </c>
      <c r="CF12" s="53">
        <f t="shared" si="35"/>
        <v>12.825559397553977</v>
      </c>
      <c r="CG12" s="53">
        <f t="shared" si="36"/>
        <v>-12.85704202906447</v>
      </c>
      <c r="CH12" s="53">
        <f t="shared" si="37"/>
        <v>0.795275109015261</v>
      </c>
      <c r="CI12" s="53">
        <f t="shared" si="38"/>
        <v>1.2765600949698497</v>
      </c>
      <c r="CJ12" s="53">
        <f t="shared" si="39"/>
        <v>0.05674468202527108</v>
      </c>
      <c r="CK12" s="53">
        <f t="shared" si="40"/>
        <v>-3.5183099206490667</v>
      </c>
      <c r="CL12" s="53">
        <f t="shared" si="41"/>
        <v>0.6944954922955073</v>
      </c>
      <c r="CM12" s="53">
        <f t="shared" si="42"/>
        <v>0.7267171738536726</v>
      </c>
      <c r="CO12" s="53">
        <f t="shared" si="46"/>
        <v>14.34755168042291</v>
      </c>
      <c r="CP12" s="53">
        <f t="shared" si="47"/>
        <v>0</v>
      </c>
      <c r="CQ12" s="53">
        <f t="shared" si="43"/>
        <v>49.59570124296909</v>
      </c>
    </row>
    <row r="13" spans="1:95" ht="15">
      <c r="A13" s="54" t="s">
        <v>94</v>
      </c>
      <c r="B13" s="70">
        <v>2</v>
      </c>
      <c r="C13" s="16">
        <v>23138185.608520087</v>
      </c>
      <c r="D13" s="51">
        <v>0.35651357268612915</v>
      </c>
      <c r="E13" s="16">
        <f t="shared" si="14"/>
        <v>8249077.216768273</v>
      </c>
      <c r="F13" s="51">
        <v>0.3653044</v>
      </c>
      <c r="G13" s="16">
        <f>F13*C13</f>
        <v>8452481.010809064</v>
      </c>
      <c r="H13" s="51">
        <v>0.23905086705992085</v>
      </c>
      <c r="I13" s="52">
        <f t="shared" si="44"/>
        <v>0</v>
      </c>
      <c r="J13" s="52">
        <f t="shared" si="45"/>
        <v>0</v>
      </c>
      <c r="K13" s="52">
        <f t="shared" si="48"/>
        <v>0</v>
      </c>
      <c r="L13" s="16">
        <f t="shared" si="15"/>
        <v>5531203.331910109</v>
      </c>
      <c r="M13" s="16">
        <f t="shared" si="16"/>
        <v>14889108.391751815</v>
      </c>
      <c r="N13" s="52">
        <f t="shared" si="17"/>
        <v>0.05976271676498021</v>
      </c>
      <c r="O13" s="51">
        <f t="shared" si="18"/>
        <v>0.05</v>
      </c>
      <c r="P13" s="16">
        <f t="shared" si="19"/>
        <v>1156909.2804260044</v>
      </c>
      <c r="Q13" s="51"/>
      <c r="R13" s="16">
        <f t="shared" si="20"/>
        <v>20832592.706718832</v>
      </c>
      <c r="S13" s="16">
        <f t="shared" si="21"/>
        <v>21173121.901483182</v>
      </c>
      <c r="T13" s="16">
        <f t="shared" si="22"/>
        <v>25351208.686215352</v>
      </c>
      <c r="U13" s="16">
        <f t="shared" si="23"/>
        <v>25460229.82842285</v>
      </c>
      <c r="V13" s="16">
        <f t="shared" si="24"/>
        <v>25800759.023187198</v>
      </c>
      <c r="W13" s="16">
        <f t="shared" si="25"/>
        <v>29978845.80791937</v>
      </c>
      <c r="X13" s="54"/>
      <c r="Y13" s="53">
        <v>92</v>
      </c>
      <c r="Z13" s="53">
        <v>55</v>
      </c>
      <c r="AA13" s="53">
        <v>267</v>
      </c>
      <c r="AB13" s="53">
        <v>128</v>
      </c>
      <c r="AC13" s="53">
        <v>7</v>
      </c>
      <c r="AD13" s="53">
        <v>34</v>
      </c>
      <c r="AE13" s="53">
        <v>0</v>
      </c>
      <c r="AF13" s="53">
        <v>0</v>
      </c>
      <c r="AG13" s="53">
        <v>30</v>
      </c>
      <c r="AH13" s="53">
        <v>70</v>
      </c>
      <c r="AI13" s="53">
        <v>509</v>
      </c>
      <c r="AJ13" s="53">
        <v>81</v>
      </c>
      <c r="AK13" s="53">
        <v>2025</v>
      </c>
      <c r="AL13" s="53">
        <v>5</v>
      </c>
      <c r="AM13" s="53">
        <v>1128</v>
      </c>
      <c r="AN13" s="53">
        <v>2</v>
      </c>
      <c r="AO13" s="53">
        <v>650</v>
      </c>
      <c r="AP13" s="53">
        <v>0</v>
      </c>
      <c r="AQ13" s="53">
        <v>0</v>
      </c>
      <c r="AR13" s="53">
        <v>0</v>
      </c>
      <c r="AS13" s="53">
        <v>0</v>
      </c>
      <c r="AT13" s="53">
        <v>73</v>
      </c>
      <c r="AU13" s="53">
        <v>229535</v>
      </c>
      <c r="AV13" s="53">
        <v>17</v>
      </c>
      <c r="AW13" s="53">
        <v>26928</v>
      </c>
      <c r="AX13" s="53">
        <v>320</v>
      </c>
      <c r="AY13" s="53">
        <v>0</v>
      </c>
      <c r="AZ13" s="53">
        <v>0</v>
      </c>
      <c r="BA13" s="53">
        <v>3</v>
      </c>
      <c r="BB13" s="53">
        <v>25</v>
      </c>
      <c r="BC13" s="53">
        <v>14835</v>
      </c>
      <c r="BD13" s="53">
        <v>2201178</v>
      </c>
      <c r="BE13" s="53">
        <v>284600</v>
      </c>
      <c r="BF13" s="53">
        <f t="shared" si="1"/>
        <v>5889826</v>
      </c>
      <c r="BG13" s="53">
        <f t="shared" si="2"/>
        <v>3862555</v>
      </c>
      <c r="BH13" s="53">
        <f t="shared" si="3"/>
        <v>987179</v>
      </c>
      <c r="BI13" s="53">
        <f t="shared" si="4"/>
        <v>531558.72</v>
      </c>
      <c r="BJ13" s="53">
        <f t="shared" si="5"/>
        <v>7620</v>
      </c>
      <c r="BK13" s="53">
        <f>SUMIF(Renseanlæg!$A:$A,SPILDEVAND!A13,Renseanlæg!$I:$I)</f>
        <v>6208257.98671883</v>
      </c>
      <c r="BL13" s="53">
        <f t="shared" si="6"/>
        <v>1268928</v>
      </c>
      <c r="BM13" s="53">
        <f t="shared" si="7"/>
        <v>1792068</v>
      </c>
      <c r="BN13" s="53">
        <v>30.584123903101982</v>
      </c>
      <c r="BO13" s="53">
        <f t="shared" si="8"/>
        <v>0.025445969125214407</v>
      </c>
      <c r="BP13" s="53">
        <f t="shared" si="9"/>
        <v>20832592.706718832</v>
      </c>
      <c r="BQ13" s="53">
        <f t="shared" si="10"/>
        <v>21173121.901483182</v>
      </c>
      <c r="BR13" s="53">
        <f t="shared" si="11"/>
        <v>25351208.686215352</v>
      </c>
      <c r="BS13" s="53">
        <v>23979690</v>
      </c>
      <c r="BT13" s="53"/>
      <c r="BU13" s="53">
        <f t="shared" si="26"/>
        <v>28.663753603894023</v>
      </c>
      <c r="BV13" s="53">
        <f t="shared" si="27"/>
        <v>18.797724211460384</v>
      </c>
      <c r="BW13" s="53">
        <f t="shared" si="28"/>
        <v>4.804260027195794</v>
      </c>
      <c r="BX13" s="53">
        <f t="shared" si="29"/>
        <v>2.5869131237631287</v>
      </c>
      <c r="BY13" s="53">
        <f t="shared" si="30"/>
        <v>0.037083914272114736</v>
      </c>
      <c r="BZ13" s="53">
        <f t="shared" si="31"/>
        <v>30.213452356778568</v>
      </c>
      <c r="CA13" s="53">
        <f t="shared" si="32"/>
        <v>6.175435324079529</v>
      </c>
      <c r="CB13" s="53">
        <f t="shared" si="33"/>
        <v>8.721377438556445</v>
      </c>
      <c r="CD13" s="53">
        <f t="shared" si="34"/>
        <v>42.18939106964626</v>
      </c>
      <c r="CF13" s="53">
        <f t="shared" si="35"/>
        <v>-7.039117821552587</v>
      </c>
      <c r="CG13" s="53">
        <f t="shared" si="36"/>
        <v>1.353228582649269</v>
      </c>
      <c r="CH13" s="53">
        <f t="shared" si="37"/>
        <v>-2.7730792294009037</v>
      </c>
      <c r="CI13" s="53">
        <f t="shared" si="38"/>
        <v>-1.09611673339207</v>
      </c>
      <c r="CJ13" s="53">
        <f t="shared" si="39"/>
        <v>0.019660767753156345</v>
      </c>
      <c r="CK13" s="53">
        <f t="shared" si="40"/>
        <v>3.988212391750274</v>
      </c>
      <c r="CL13" s="53">
        <f t="shared" si="41"/>
        <v>7.203384256068969</v>
      </c>
      <c r="CM13" s="53">
        <f t="shared" si="42"/>
        <v>-1.6561722138761015</v>
      </c>
      <c r="CO13" s="53">
        <f t="shared" si="46"/>
        <v>-11.468369264829594</v>
      </c>
      <c r="CP13" s="53">
        <f t="shared" si="47"/>
        <v>0</v>
      </c>
      <c r="CQ13" s="53">
        <f t="shared" si="43"/>
        <v>63.57402840486978</v>
      </c>
    </row>
    <row r="14" spans="1:95" ht="15">
      <c r="A14" s="54" t="s">
        <v>60</v>
      </c>
      <c r="B14" s="70">
        <v>2</v>
      </c>
      <c r="C14" s="16">
        <v>56667825.56494693</v>
      </c>
      <c r="D14" s="51">
        <v>0.27205121108006414</v>
      </c>
      <c r="E14" s="16">
        <f t="shared" si="14"/>
        <v>15416550.57421763</v>
      </c>
      <c r="F14" s="51"/>
      <c r="G14" s="16"/>
      <c r="H14" s="51">
        <v>0.1357772123451204</v>
      </c>
      <c r="I14" s="52">
        <f t="shared" si="44"/>
        <v>0</v>
      </c>
      <c r="J14" s="52">
        <f t="shared" si="45"/>
        <v>0</v>
      </c>
      <c r="K14" s="52">
        <f t="shared" si="48"/>
        <v>0</v>
      </c>
      <c r="L14" s="16">
        <f t="shared" si="15"/>
        <v>7694199.384868042</v>
      </c>
      <c r="M14" s="16">
        <f t="shared" si="16"/>
        <v>41251274.990729295</v>
      </c>
      <c r="N14" s="52">
        <f t="shared" si="17"/>
        <v>0.0339443030862801</v>
      </c>
      <c r="O14" s="51">
        <f t="shared" si="18"/>
        <v>0.0339443030862801</v>
      </c>
      <c r="P14" s="16">
        <f t="shared" si="19"/>
        <v>1923549.8462170104</v>
      </c>
      <c r="Q14" s="51"/>
      <c r="R14" s="16">
        <f t="shared" si="20"/>
        <v>60541665.87177508</v>
      </c>
      <c r="S14" s="16">
        <f t="shared" si="21"/>
        <v>64269992.99479311</v>
      </c>
      <c r="T14" s="16">
        <f t="shared" si="22"/>
        <v>60180725.69913793</v>
      </c>
      <c r="U14" s="16">
        <f t="shared" si="23"/>
        <v>71875230.98476447</v>
      </c>
      <c r="V14" s="16">
        <f t="shared" si="24"/>
        <v>75603558.1077825</v>
      </c>
      <c r="W14" s="16">
        <f t="shared" si="25"/>
        <v>71514290.81212732</v>
      </c>
      <c r="X14" s="54"/>
      <c r="Y14" s="53">
        <v>544</v>
      </c>
      <c r="Z14" s="53">
        <v>201</v>
      </c>
      <c r="AA14" s="53">
        <v>733</v>
      </c>
      <c r="AB14" s="53">
        <v>472</v>
      </c>
      <c r="AC14" s="53">
        <v>17</v>
      </c>
      <c r="AD14" s="53">
        <v>25</v>
      </c>
      <c r="AE14" s="53">
        <v>0</v>
      </c>
      <c r="AF14" s="53">
        <v>0</v>
      </c>
      <c r="AG14" s="53">
        <v>0</v>
      </c>
      <c r="AH14" s="53">
        <v>27</v>
      </c>
      <c r="AI14" s="53">
        <v>175</v>
      </c>
      <c r="AJ14" s="53">
        <v>201</v>
      </c>
      <c r="AK14" s="53">
        <v>13561</v>
      </c>
      <c r="AL14" s="53">
        <v>9</v>
      </c>
      <c r="AM14" s="53">
        <v>1877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138</v>
      </c>
      <c r="AU14" s="53">
        <v>673095</v>
      </c>
      <c r="AV14" s="53">
        <v>118</v>
      </c>
      <c r="AW14" s="53">
        <v>87359</v>
      </c>
      <c r="AX14" s="53">
        <v>217</v>
      </c>
      <c r="AY14" s="53">
        <v>0</v>
      </c>
      <c r="AZ14" s="53">
        <v>1633</v>
      </c>
      <c r="BA14" s="53">
        <v>0</v>
      </c>
      <c r="BB14" s="53">
        <v>0</v>
      </c>
      <c r="BC14" s="53">
        <v>28000</v>
      </c>
      <c r="BD14" s="53">
        <v>6135989</v>
      </c>
      <c r="BF14" s="53">
        <f t="shared" si="1"/>
        <v>12001746</v>
      </c>
      <c r="BG14" s="53">
        <f t="shared" si="2"/>
        <v>6192570</v>
      </c>
      <c r="BH14" s="53">
        <f t="shared" si="3"/>
        <v>1866174</v>
      </c>
      <c r="BI14" s="53">
        <f t="shared" si="4"/>
        <v>1724466.66</v>
      </c>
      <c r="BJ14" s="53">
        <f t="shared" si="5"/>
        <v>0</v>
      </c>
      <c r="BK14" s="53">
        <f>SUMIF(Renseanlæg!$A:$A,SPILDEVAND!A14,Renseanlæg!$I:$I)</f>
        <v>26760823.31177508</v>
      </c>
      <c r="BL14" s="53">
        <f t="shared" si="6"/>
        <v>8613485.9</v>
      </c>
      <c r="BM14" s="53">
        <f t="shared" si="7"/>
        <v>3382400</v>
      </c>
      <c r="BN14" s="53">
        <v>33.41142688090472</v>
      </c>
      <c r="BO14" s="53">
        <f t="shared" si="8"/>
        <v>0.014056224899598393</v>
      </c>
      <c r="BP14" s="53">
        <f t="shared" si="9"/>
        <v>60541665.87177508</v>
      </c>
      <c r="BQ14" s="53">
        <f t="shared" si="10"/>
        <v>64269992.99479311</v>
      </c>
      <c r="BR14" s="53">
        <f t="shared" si="11"/>
        <v>60180725.69913793</v>
      </c>
      <c r="BS14" s="53">
        <v>50732736</v>
      </c>
      <c r="BT14" s="53"/>
      <c r="BU14" s="53">
        <f t="shared" si="26"/>
        <v>19.823944100612024</v>
      </c>
      <c r="BV14" s="53">
        <f t="shared" si="27"/>
        <v>10.228608530719365</v>
      </c>
      <c r="BW14" s="53">
        <f t="shared" si="28"/>
        <v>3.0824622565762967</v>
      </c>
      <c r="BX14" s="53">
        <f t="shared" si="29"/>
        <v>2.848396447584303</v>
      </c>
      <c r="BY14" s="53">
        <f t="shared" si="30"/>
        <v>0</v>
      </c>
      <c r="BZ14" s="53">
        <f t="shared" si="31"/>
        <v>44.20232401343808</v>
      </c>
      <c r="CA14" s="53">
        <f t="shared" si="32"/>
        <v>14.22736850063398</v>
      </c>
      <c r="CB14" s="53">
        <f t="shared" si="33"/>
        <v>5.586896150435954</v>
      </c>
      <c r="CD14" s="53">
        <f t="shared" si="34"/>
        <v>28.493302507624275</v>
      </c>
      <c r="CF14" s="53">
        <f t="shared" si="35"/>
        <v>1.8006916817294112</v>
      </c>
      <c r="CG14" s="53">
        <f t="shared" si="36"/>
        <v>9.922344263390288</v>
      </c>
      <c r="CH14" s="53">
        <f t="shared" si="37"/>
        <v>-1.051281458781406</v>
      </c>
      <c r="CI14" s="53">
        <f t="shared" si="38"/>
        <v>-1.3576000572132445</v>
      </c>
      <c r="CJ14" s="53">
        <f t="shared" si="39"/>
        <v>0.05674468202527108</v>
      </c>
      <c r="CK14" s="53">
        <f t="shared" si="40"/>
        <v>-10.000659264909238</v>
      </c>
      <c r="CL14" s="53">
        <f t="shared" si="41"/>
        <v>-0.8485489204854826</v>
      </c>
      <c r="CM14" s="53">
        <f t="shared" si="42"/>
        <v>1.4783090742443896</v>
      </c>
      <c r="CO14" s="53">
        <f t="shared" si="46"/>
        <v>2.227719297192394</v>
      </c>
      <c r="CP14" s="53">
        <f t="shared" si="47"/>
        <v>0</v>
      </c>
      <c r="CQ14" s="53">
        <f t="shared" si="43"/>
        <v>41.57030748592795</v>
      </c>
    </row>
    <row r="15" spans="1:95" ht="15">
      <c r="A15" s="54" t="s">
        <v>109</v>
      </c>
      <c r="B15" s="70">
        <v>2</v>
      </c>
      <c r="C15" s="16">
        <v>65953864.39966676</v>
      </c>
      <c r="D15" s="51">
        <v>0.16270239170531553</v>
      </c>
      <c r="E15" s="16">
        <f t="shared" si="14"/>
        <v>10730851.480033847</v>
      </c>
      <c r="F15" s="51"/>
      <c r="G15" s="16"/>
      <c r="H15" s="51">
        <v>0.04523967922155048</v>
      </c>
      <c r="I15" s="52">
        <f t="shared" si="44"/>
        <v>0</v>
      </c>
      <c r="J15" s="52">
        <f t="shared" si="45"/>
        <v>0</v>
      </c>
      <c r="K15" s="52">
        <f t="shared" si="48"/>
        <v>0</v>
      </c>
      <c r="L15" s="16">
        <f t="shared" si="15"/>
        <v>2983731.6688625617</v>
      </c>
      <c r="M15" s="16">
        <f t="shared" si="16"/>
        <v>55223012.91963291</v>
      </c>
      <c r="N15" s="52">
        <f t="shared" si="17"/>
        <v>0.01130991980538762</v>
      </c>
      <c r="O15" s="51">
        <f t="shared" si="18"/>
        <v>0.01130991980538762</v>
      </c>
      <c r="P15" s="16">
        <f t="shared" si="19"/>
        <v>745932.9172156404</v>
      </c>
      <c r="Q15" s="51"/>
      <c r="R15" s="16">
        <f t="shared" si="20"/>
        <v>71941610.11193618</v>
      </c>
      <c r="S15" s="16">
        <f t="shared" si="21"/>
        <v>82312984.43048261</v>
      </c>
      <c r="T15" s="16">
        <f t="shared" si="22"/>
        <v>94026457.4342541</v>
      </c>
      <c r="U15" s="16">
        <f t="shared" si="23"/>
        <v>85132382.99186954</v>
      </c>
      <c r="V15" s="16">
        <f t="shared" si="24"/>
        <v>95503757.31041597</v>
      </c>
      <c r="W15" s="16">
        <f t="shared" si="25"/>
        <v>107217230.31418745</v>
      </c>
      <c r="X15" s="54"/>
      <c r="Y15" s="53">
        <v>188</v>
      </c>
      <c r="Z15" s="53">
        <v>98</v>
      </c>
      <c r="AA15" s="53">
        <v>565</v>
      </c>
      <c r="AB15" s="53">
        <v>528</v>
      </c>
      <c r="AC15" s="53">
        <v>35</v>
      </c>
      <c r="AD15" s="53">
        <v>34</v>
      </c>
      <c r="AE15" s="53">
        <v>0</v>
      </c>
      <c r="AF15" s="53">
        <v>0</v>
      </c>
      <c r="AG15" s="53">
        <v>6</v>
      </c>
      <c r="AH15" s="53">
        <v>64</v>
      </c>
      <c r="AI15" s="53">
        <v>435</v>
      </c>
      <c r="AJ15" s="53">
        <v>84</v>
      </c>
      <c r="AK15" s="53">
        <v>2409</v>
      </c>
      <c r="AL15" s="53">
        <v>5</v>
      </c>
      <c r="AM15" s="53">
        <v>909</v>
      </c>
      <c r="AN15" s="53">
        <v>1</v>
      </c>
      <c r="AO15" s="53">
        <v>333</v>
      </c>
      <c r="AP15" s="53">
        <v>0</v>
      </c>
      <c r="AQ15" s="53">
        <v>0</v>
      </c>
      <c r="AR15" s="53">
        <v>0</v>
      </c>
      <c r="AS15" s="53">
        <v>0</v>
      </c>
      <c r="AT15" s="53">
        <v>62</v>
      </c>
      <c r="AU15" s="53">
        <v>351130</v>
      </c>
      <c r="AV15" s="53">
        <v>16</v>
      </c>
      <c r="AW15" s="53">
        <v>57769</v>
      </c>
      <c r="AX15" s="53">
        <v>3019</v>
      </c>
      <c r="AY15" s="53">
        <v>0</v>
      </c>
      <c r="AZ15" s="53">
        <v>192</v>
      </c>
      <c r="BA15" s="53">
        <v>4</v>
      </c>
      <c r="BB15" s="53">
        <v>20</v>
      </c>
      <c r="BC15" s="53">
        <v>43512</v>
      </c>
      <c r="BD15" s="53">
        <v>8600000</v>
      </c>
      <c r="BF15" s="53">
        <f t="shared" si="1"/>
        <v>11909813</v>
      </c>
      <c r="BG15" s="53">
        <f t="shared" si="2"/>
        <v>3590284</v>
      </c>
      <c r="BH15" s="53">
        <f t="shared" si="3"/>
        <v>838426</v>
      </c>
      <c r="BI15" s="53">
        <f t="shared" si="4"/>
        <v>1140360.0599999998</v>
      </c>
      <c r="BJ15" s="53">
        <f t="shared" si="5"/>
        <v>10160</v>
      </c>
      <c r="BK15" s="53">
        <f>SUMIF(Renseanlæg!$A:$A,SPILDEVAND!A15,Renseanlæg!$I:$I)</f>
        <v>36313216.451936185</v>
      </c>
      <c r="BL15" s="53">
        <f t="shared" si="6"/>
        <v>12883101</v>
      </c>
      <c r="BM15" s="53">
        <f t="shared" si="7"/>
        <v>5256249.6</v>
      </c>
      <c r="BN15" s="53">
        <v>38.57273613317218</v>
      </c>
      <c r="BO15" s="53">
        <f t="shared" si="8"/>
        <v>0.030049723756906076</v>
      </c>
      <c r="BP15" s="53">
        <f t="shared" si="9"/>
        <v>71941610.11193618</v>
      </c>
      <c r="BQ15" s="53">
        <f t="shared" si="10"/>
        <v>82312984.43048261</v>
      </c>
      <c r="BR15" s="53">
        <f t="shared" si="11"/>
        <v>94026457.4342541</v>
      </c>
      <c r="BS15" s="53">
        <v>64760285</v>
      </c>
      <c r="BT15" s="53"/>
      <c r="BU15" s="53">
        <f t="shared" si="26"/>
        <v>16.554832427949766</v>
      </c>
      <c r="BV15" s="53">
        <f t="shared" si="27"/>
        <v>4.990552747448613</v>
      </c>
      <c r="BW15" s="53">
        <f t="shared" si="28"/>
        <v>1.1654256815985449</v>
      </c>
      <c r="BX15" s="53">
        <f t="shared" si="29"/>
        <v>1.5851189016004483</v>
      </c>
      <c r="BY15" s="53">
        <f t="shared" si="30"/>
        <v>0.014122564096343881</v>
      </c>
      <c r="BZ15" s="53">
        <f t="shared" si="31"/>
        <v>50.47595737075571</v>
      </c>
      <c r="CA15" s="53">
        <f t="shared" si="32"/>
        <v>17.907718467733464</v>
      </c>
      <c r="CB15" s="53">
        <f t="shared" si="33"/>
        <v>7.306271838817116</v>
      </c>
      <c r="CD15" s="53">
        <f t="shared" si="34"/>
        <v>25.02652994836543</v>
      </c>
      <c r="CF15" s="53">
        <f t="shared" si="35"/>
        <v>5.06980335439167</v>
      </c>
      <c r="CG15" s="53">
        <f t="shared" si="36"/>
        <v>15.160400046661039</v>
      </c>
      <c r="CH15" s="53">
        <f t="shared" si="37"/>
        <v>0.8657551161963457</v>
      </c>
      <c r="CI15" s="53">
        <f t="shared" si="38"/>
        <v>-0.09432251122938973</v>
      </c>
      <c r="CJ15" s="53">
        <f t="shared" si="39"/>
        <v>0.0426221179289272</v>
      </c>
      <c r="CK15" s="53">
        <f t="shared" si="40"/>
        <v>-16.274292622226866</v>
      </c>
      <c r="CL15" s="53">
        <f t="shared" si="41"/>
        <v>-4.528898887584965</v>
      </c>
      <c r="CM15" s="53">
        <f t="shared" si="42"/>
        <v>-0.24106661413677255</v>
      </c>
      <c r="CO15" s="53">
        <f t="shared" si="46"/>
        <v>5.69449185645124</v>
      </c>
      <c r="CP15" s="53">
        <f t="shared" si="47"/>
        <v>0</v>
      </c>
      <c r="CQ15" s="53">
        <f t="shared" si="43"/>
        <v>31.602201597414492</v>
      </c>
    </row>
    <row r="16" spans="1:95" ht="15">
      <c r="A16" s="54" t="s">
        <v>17</v>
      </c>
      <c r="B16" s="70">
        <v>4</v>
      </c>
      <c r="C16" s="16">
        <v>2204318.2311378634</v>
      </c>
      <c r="D16" s="51">
        <v>0.447820528341641</v>
      </c>
      <c r="E16" s="16">
        <f t="shared" si="14"/>
        <v>987138.9549012695</v>
      </c>
      <c r="F16" s="51"/>
      <c r="G16" s="16"/>
      <c r="H16" s="51">
        <v>0.33035771106375433</v>
      </c>
      <c r="I16" s="52">
        <f t="shared" si="44"/>
        <v>0</v>
      </c>
      <c r="J16" s="52">
        <f t="shared" si="45"/>
        <v>0</v>
      </c>
      <c r="K16" s="52">
        <f t="shared" si="48"/>
        <v>0</v>
      </c>
      <c r="L16" s="16">
        <f t="shared" si="15"/>
        <v>728213.5252948083</v>
      </c>
      <c r="M16" s="16">
        <f t="shared" si="16"/>
        <v>1217179.2762365937</v>
      </c>
      <c r="N16" s="52">
        <f t="shared" si="17"/>
        <v>0.08258942776593858</v>
      </c>
      <c r="O16" s="51">
        <f t="shared" si="18"/>
        <v>0.05</v>
      </c>
      <c r="P16" s="16">
        <f t="shared" si="19"/>
        <v>110215.91155689317</v>
      </c>
      <c r="Q16" s="51"/>
      <c r="R16" s="16">
        <f t="shared" si="20"/>
        <v>1631493.6</v>
      </c>
      <c r="S16" s="16">
        <f t="shared" si="21"/>
        <v>1225113.8368727837</v>
      </c>
      <c r="T16" s="16">
        <f t="shared" si="22"/>
        <v>2072451.9877798955</v>
      </c>
      <c r="U16" s="16">
        <f t="shared" si="23"/>
        <v>2072357.2462275727</v>
      </c>
      <c r="V16" s="16">
        <f t="shared" si="24"/>
        <v>1665977.4831003565</v>
      </c>
      <c r="W16" s="16">
        <f t="shared" si="25"/>
        <v>2513315.6340074684</v>
      </c>
      <c r="X16" s="54"/>
      <c r="Y16" s="53">
        <v>22</v>
      </c>
      <c r="Z16" s="53">
        <v>8</v>
      </c>
      <c r="AA16" s="53">
        <v>59</v>
      </c>
      <c r="AB16" s="53">
        <v>3</v>
      </c>
      <c r="AC16" s="53">
        <v>0</v>
      </c>
      <c r="AD16" s="53">
        <v>0</v>
      </c>
      <c r="AE16" s="53">
        <v>0</v>
      </c>
      <c r="AF16" s="53">
        <v>0</v>
      </c>
      <c r="AG16" s="53">
        <v>8</v>
      </c>
      <c r="AH16" s="53">
        <v>61</v>
      </c>
      <c r="AI16" s="53">
        <v>183</v>
      </c>
      <c r="AJ16" s="53">
        <v>1</v>
      </c>
      <c r="AK16" s="53">
        <v>15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2592</v>
      </c>
      <c r="BD16" s="53">
        <v>101614</v>
      </c>
      <c r="BF16" s="53">
        <f t="shared" si="1"/>
        <v>393668</v>
      </c>
      <c r="BG16" s="53">
        <f t="shared" si="2"/>
        <v>924712</v>
      </c>
      <c r="BH16" s="53">
        <f t="shared" si="3"/>
        <v>0</v>
      </c>
      <c r="BI16" s="53">
        <f t="shared" si="4"/>
        <v>0</v>
      </c>
      <c r="BJ16" s="53">
        <f t="shared" si="5"/>
        <v>0</v>
      </c>
      <c r="BK16" s="53">
        <f>SUMIF(Renseanlæg!$A:$A,SPILDEVAND!A16,Renseanlæg!$I:$I)</f>
        <v>0</v>
      </c>
      <c r="BL16" s="53">
        <f t="shared" si="6"/>
        <v>0</v>
      </c>
      <c r="BM16" s="53">
        <f t="shared" si="7"/>
        <v>313113.6</v>
      </c>
      <c r="BN16" s="53">
        <v>13.994718921697872</v>
      </c>
      <c r="BO16" s="53">
        <f t="shared" si="8"/>
        <v>0.02817391304347826</v>
      </c>
      <c r="BP16" s="53">
        <f t="shared" si="9"/>
        <v>1631493.6</v>
      </c>
      <c r="BQ16" s="53">
        <f t="shared" si="10"/>
        <v>1225113.8368727837</v>
      </c>
      <c r="BR16" s="53">
        <f>(0.719+19.567*BO16)*BP16</f>
        <v>2072451.9877798955</v>
      </c>
      <c r="BS16" s="53">
        <v>2233907</v>
      </c>
      <c r="BT16" s="53"/>
      <c r="BU16" s="53">
        <f t="shared" si="26"/>
        <v>24.129300905624145</v>
      </c>
      <c r="BV16" s="53">
        <f t="shared" si="27"/>
        <v>56.67886162716176</v>
      </c>
      <c r="BW16" s="53">
        <f t="shared" si="28"/>
        <v>0</v>
      </c>
      <c r="BX16" s="53">
        <f t="shared" si="29"/>
        <v>0</v>
      </c>
      <c r="BY16" s="53">
        <f t="shared" si="30"/>
        <v>0</v>
      </c>
      <c r="BZ16" s="53">
        <f t="shared" si="31"/>
        <v>0</v>
      </c>
      <c r="CA16" s="53">
        <f t="shared" si="32"/>
        <v>0</v>
      </c>
      <c r="CB16" s="53">
        <f t="shared" si="33"/>
        <v>19.19183746721409</v>
      </c>
      <c r="CD16" s="53">
        <f t="shared" si="34"/>
        <v>43.321138372838234</v>
      </c>
      <c r="CF16" s="53">
        <f t="shared" si="35"/>
        <v>-2.5046651232827095</v>
      </c>
      <c r="CG16" s="53">
        <f t="shared" si="36"/>
        <v>-36.52790883305211</v>
      </c>
      <c r="CH16" s="53">
        <f t="shared" si="37"/>
        <v>2.0311807977948906</v>
      </c>
      <c r="CI16" s="53">
        <f t="shared" si="38"/>
        <v>1.4907963903710586</v>
      </c>
      <c r="CJ16" s="53">
        <f t="shared" si="39"/>
        <v>0.05674468202527108</v>
      </c>
      <c r="CK16" s="53">
        <f t="shared" si="40"/>
        <v>34.20166474852884</v>
      </c>
      <c r="CL16" s="53">
        <f t="shared" si="41"/>
        <v>13.378819580148498</v>
      </c>
      <c r="CM16" s="53">
        <f t="shared" si="42"/>
        <v>-12.126632242533745</v>
      </c>
      <c r="CO16" s="53">
        <f t="shared" si="46"/>
        <v>-12.600116568021566</v>
      </c>
      <c r="CP16" s="53">
        <f t="shared" si="47"/>
        <v>0</v>
      </c>
      <c r="CQ16" s="53">
        <f t="shared" si="43"/>
        <v>99.99999999999999</v>
      </c>
    </row>
    <row r="17" spans="1:95" ht="15">
      <c r="A17" s="54" t="s">
        <v>122</v>
      </c>
      <c r="B17" s="70">
        <v>4</v>
      </c>
      <c r="C17" s="16">
        <v>25985056.45</v>
      </c>
      <c r="D17" s="51">
        <v>0.17248309023112074</v>
      </c>
      <c r="E17" s="16">
        <f t="shared" si="14"/>
        <v>4481982.836326116</v>
      </c>
      <c r="F17" s="51"/>
      <c r="G17" s="16"/>
      <c r="H17" s="51">
        <v>0.03620909433571318</v>
      </c>
      <c r="I17" s="52">
        <f t="shared" si="44"/>
        <v>0</v>
      </c>
      <c r="J17" s="52">
        <f t="shared" si="45"/>
        <v>0</v>
      </c>
      <c r="K17" s="52">
        <f t="shared" si="48"/>
        <v>0</v>
      </c>
      <c r="L17" s="16">
        <f t="shared" si="15"/>
        <v>940895.3603168821</v>
      </c>
      <c r="M17" s="16">
        <f t="shared" si="16"/>
        <v>21503073.613673884</v>
      </c>
      <c r="N17" s="52">
        <f t="shared" si="17"/>
        <v>0.009052273583928294</v>
      </c>
      <c r="O17" s="51">
        <f t="shared" si="18"/>
        <v>0</v>
      </c>
      <c r="P17" s="16">
        <f t="shared" si="19"/>
        <v>0</v>
      </c>
      <c r="Q17" s="51"/>
      <c r="R17" s="16">
        <f t="shared" si="20"/>
        <v>31558584.870061945</v>
      </c>
      <c r="S17" s="16">
        <f t="shared" si="21"/>
        <v>31450955.313076038</v>
      </c>
      <c r="T17" s="16">
        <f t="shared" si="22"/>
        <v>31523351.921827402</v>
      </c>
      <c r="U17" s="16">
        <f t="shared" si="23"/>
        <v>36755596.16006195</v>
      </c>
      <c r="V17" s="16">
        <f t="shared" si="24"/>
        <v>36647966.60307604</v>
      </c>
      <c r="W17" s="16">
        <f t="shared" si="25"/>
        <v>36720363.211827405</v>
      </c>
      <c r="X17" s="54"/>
      <c r="Y17" s="53">
        <v>425</v>
      </c>
      <c r="Z17" s="53">
        <v>47</v>
      </c>
      <c r="AA17" s="53">
        <v>159</v>
      </c>
      <c r="AB17" s="53">
        <v>432</v>
      </c>
      <c r="AC17" s="53">
        <v>0</v>
      </c>
      <c r="AD17" s="53">
        <v>0</v>
      </c>
      <c r="AE17" s="53">
        <v>0</v>
      </c>
      <c r="AF17" s="53">
        <v>0</v>
      </c>
      <c r="AG17" s="53">
        <v>45</v>
      </c>
      <c r="AH17" s="53">
        <v>91</v>
      </c>
      <c r="AI17" s="53">
        <v>728</v>
      </c>
      <c r="AJ17" s="53">
        <f>108+13</f>
        <v>121</v>
      </c>
      <c r="AK17" s="53">
        <v>4644</v>
      </c>
      <c r="AL17" s="53">
        <f>2+3</f>
        <v>5</v>
      </c>
      <c r="AM17" s="53">
        <v>300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113</v>
      </c>
      <c r="AU17" s="53">
        <v>386914</v>
      </c>
      <c r="AV17" s="53">
        <v>5</v>
      </c>
      <c r="AW17" s="53">
        <v>940</v>
      </c>
      <c r="AX17" s="53">
        <v>1225</v>
      </c>
      <c r="AY17" s="53">
        <v>0</v>
      </c>
      <c r="AZ17" s="53">
        <v>0</v>
      </c>
      <c r="BA17" s="53">
        <v>8</v>
      </c>
      <c r="BB17" s="53">
        <v>40</v>
      </c>
      <c r="BC17" s="53">
        <v>15205</v>
      </c>
      <c r="BD17" s="53">
        <v>2760529</v>
      </c>
      <c r="BF17" s="53">
        <f t="shared" si="1"/>
        <v>4548577</v>
      </c>
      <c r="BG17" s="53">
        <f>(6628*AG17)+(13891*AH17)+(24337*AJ17)+(102864*(AL17+AN17))+(598*(AQ17+AS17))</f>
        <v>5021438</v>
      </c>
      <c r="BH17" s="53">
        <f t="shared" si="3"/>
        <v>1528099</v>
      </c>
      <c r="BI17" s="53">
        <f t="shared" si="4"/>
        <v>18555.6</v>
      </c>
      <c r="BJ17" s="53">
        <f t="shared" si="5"/>
        <v>20320</v>
      </c>
      <c r="BK17" s="53">
        <f>SUMIF(Renseanlæg!$A:$A,SPILDEVAND!A17,Renseanlæg!$I:$I)</f>
        <v>13727216.270061946</v>
      </c>
      <c r="BL17" s="53">
        <f t="shared" si="6"/>
        <v>4857615</v>
      </c>
      <c r="BM17" s="53">
        <f t="shared" si="7"/>
        <v>1836764</v>
      </c>
      <c r="BN17" s="53">
        <v>29.34934572393483</v>
      </c>
      <c r="BO17" s="53">
        <f t="shared" si="8"/>
        <v>0.014303857008466604</v>
      </c>
      <c r="BP17" s="53">
        <f>SUM(BE17:BM17)</f>
        <v>31558584.870061945</v>
      </c>
      <c r="BQ17" s="53">
        <f t="shared" si="10"/>
        <v>31450955.313076038</v>
      </c>
      <c r="BR17" s="53">
        <f>(0.719+19.567*BO17)*BP17</f>
        <v>31523351.921827402</v>
      </c>
      <c r="BS17" s="53">
        <v>24869519</v>
      </c>
      <c r="BT17" s="53"/>
      <c r="BU17" s="53">
        <f t="shared" si="26"/>
        <v>14.413120926455129</v>
      </c>
      <c r="BV17" s="53">
        <f t="shared" si="27"/>
        <v>15.911480253867744</v>
      </c>
      <c r="BW17" s="53">
        <f t="shared" si="28"/>
        <v>4.842102414578264</v>
      </c>
      <c r="BX17" s="53">
        <f t="shared" si="29"/>
        <v>0.05879731323948803</v>
      </c>
      <c r="BY17" s="53">
        <f t="shared" si="30"/>
        <v>0.06438818496984182</v>
      </c>
      <c r="BZ17" s="53">
        <f t="shared" si="31"/>
        <v>43.497565960520205</v>
      </c>
      <c r="CA17" s="53">
        <f t="shared" si="32"/>
        <v>15.392372693517625</v>
      </c>
      <c r="CB17" s="53">
        <f t="shared" si="33"/>
        <v>5.8201722528517</v>
      </c>
      <c r="CD17" s="53">
        <f t="shared" si="34"/>
        <v>25.07539559388509</v>
      </c>
      <c r="CF17" s="53">
        <f t="shared" si="35"/>
        <v>7.211514855886307</v>
      </c>
      <c r="CG17" s="53">
        <f t="shared" si="36"/>
        <v>4.239472540241909</v>
      </c>
      <c r="CH17" s="53">
        <f t="shared" si="37"/>
        <v>-2.8109216167833733</v>
      </c>
      <c r="CI17" s="53">
        <f t="shared" si="38"/>
        <v>1.4319990771315705</v>
      </c>
      <c r="CJ17" s="53">
        <f t="shared" si="39"/>
        <v>-0.0076435029445707375</v>
      </c>
      <c r="CK17" s="53">
        <f t="shared" si="40"/>
        <v>-9.295901211991364</v>
      </c>
      <c r="CL17" s="53">
        <f t="shared" si="41"/>
        <v>-2.0135531133691273</v>
      </c>
      <c r="CM17" s="53">
        <f t="shared" si="42"/>
        <v>1.2450329718286435</v>
      </c>
      <c r="CO17" s="53">
        <f t="shared" si="46"/>
        <v>5.645626210931578</v>
      </c>
      <c r="CP17" s="53">
        <f t="shared" si="47"/>
        <v>0</v>
      </c>
      <c r="CQ17" s="53">
        <f t="shared" si="43"/>
        <v>41.04567316099232</v>
      </c>
    </row>
    <row r="18" spans="1:95" ht="15">
      <c r="A18" s="54" t="s">
        <v>78</v>
      </c>
      <c r="B18" s="70">
        <v>4</v>
      </c>
      <c r="C18" s="16">
        <v>32817424</v>
      </c>
      <c r="D18" s="51">
        <v>0.2660374694585448</v>
      </c>
      <c r="E18" s="16">
        <f t="shared" si="14"/>
        <v>8730664.435108114</v>
      </c>
      <c r="F18" s="51"/>
      <c r="G18" s="16"/>
      <c r="H18" s="51">
        <v>0.1485747551764841</v>
      </c>
      <c r="I18" s="52">
        <f t="shared" si="44"/>
        <v>0</v>
      </c>
      <c r="J18" s="52">
        <f t="shared" si="45"/>
        <v>0</v>
      </c>
      <c r="K18" s="52">
        <f t="shared" si="48"/>
        <v>0</v>
      </c>
      <c r="L18" s="16">
        <f t="shared" si="15"/>
        <v>4875840.736322874</v>
      </c>
      <c r="M18" s="16">
        <f t="shared" si="16"/>
        <v>24086759.564891886</v>
      </c>
      <c r="N18" s="52">
        <f t="shared" si="17"/>
        <v>0.03714368879412103</v>
      </c>
      <c r="O18" s="51">
        <f t="shared" si="18"/>
        <v>0.03714368879412103</v>
      </c>
      <c r="P18" s="16">
        <f t="shared" si="19"/>
        <v>1218960.1840807186</v>
      </c>
      <c r="Q18" s="57"/>
      <c r="R18" s="16">
        <f t="shared" si="20"/>
        <v>33840364.250120446</v>
      </c>
      <c r="S18" s="16">
        <f t="shared" si="21"/>
        <v>34929479.44615482</v>
      </c>
      <c r="T18" s="16">
        <f t="shared" si="22"/>
        <v>41011755.094934545</v>
      </c>
      <c r="U18" s="16">
        <f t="shared" si="23"/>
        <v>40403849.05012044</v>
      </c>
      <c r="V18" s="16">
        <f t="shared" si="24"/>
        <v>41492964.246154815</v>
      </c>
      <c r="W18" s="16">
        <f t="shared" si="25"/>
        <v>47575239.89493455</v>
      </c>
      <c r="X18" s="54"/>
      <c r="Y18" s="53">
        <v>150</v>
      </c>
      <c r="Z18" s="53">
        <v>54</v>
      </c>
      <c r="AA18" s="53">
        <v>221</v>
      </c>
      <c r="AB18" s="53">
        <v>149</v>
      </c>
      <c r="AC18" s="53">
        <v>0</v>
      </c>
      <c r="AD18" s="53">
        <v>1</v>
      </c>
      <c r="AE18" s="53">
        <v>0</v>
      </c>
      <c r="AF18" s="53">
        <v>0</v>
      </c>
      <c r="AG18" s="53">
        <v>84</v>
      </c>
      <c r="AH18" s="53">
        <v>0</v>
      </c>
      <c r="AI18" s="53">
        <v>0</v>
      </c>
      <c r="AJ18" s="53">
        <v>136</v>
      </c>
      <c r="AK18" s="53">
        <v>5200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34</v>
      </c>
      <c r="AU18" s="53">
        <v>46125</v>
      </c>
      <c r="AV18" s="53">
        <v>0</v>
      </c>
      <c r="AW18" s="53">
        <v>0</v>
      </c>
      <c r="AX18" s="53">
        <v>1242</v>
      </c>
      <c r="AY18" s="53">
        <v>0</v>
      </c>
      <c r="AZ18" s="53">
        <v>0</v>
      </c>
      <c r="BA18" s="53">
        <v>0</v>
      </c>
      <c r="BB18" s="53">
        <v>0</v>
      </c>
      <c r="BC18" s="53">
        <v>14485</v>
      </c>
      <c r="BD18" s="53">
        <v>4039885</v>
      </c>
      <c r="BF18" s="53">
        <f t="shared" si="1"/>
        <v>2543234</v>
      </c>
      <c r="BG18" s="53">
        <f t="shared" si="2"/>
        <v>3866584</v>
      </c>
      <c r="BH18" s="53">
        <f t="shared" si="3"/>
        <v>459782</v>
      </c>
      <c r="BI18" s="53">
        <f t="shared" si="4"/>
        <v>0</v>
      </c>
      <c r="BJ18" s="53">
        <f t="shared" si="5"/>
        <v>0</v>
      </c>
      <c r="BK18" s="53">
        <f>SUMIF(Renseanlæg!$A:$A,SPILDEVAND!A18,Renseanlæg!$I:$I)</f>
        <v>20295949.45012045</v>
      </c>
      <c r="BL18" s="53">
        <f t="shared" si="6"/>
        <v>4925026.8</v>
      </c>
      <c r="BM18" s="53">
        <f t="shared" si="7"/>
        <v>1749788</v>
      </c>
      <c r="BN18" s="53">
        <v>31.573994298614284</v>
      </c>
      <c r="BO18" s="53">
        <f t="shared" si="8"/>
        <v>0.02519130434782609</v>
      </c>
      <c r="BP18" s="53">
        <f t="shared" si="9"/>
        <v>33840364.250120446</v>
      </c>
      <c r="BQ18" s="53">
        <f t="shared" si="10"/>
        <v>34929479.44615482</v>
      </c>
      <c r="BR18" s="53">
        <f>(0.719+19.567*BO18)*BP18</f>
        <v>41011755.094934545</v>
      </c>
      <c r="BS18" s="53">
        <v>31695047</v>
      </c>
      <c r="BT18" s="53"/>
      <c r="BU18" s="53">
        <f t="shared" si="26"/>
        <v>7.515386008266586</v>
      </c>
      <c r="BV18" s="53">
        <f t="shared" si="27"/>
        <v>11.425952662392627</v>
      </c>
      <c r="BW18" s="53">
        <f t="shared" si="28"/>
        <v>1.358679228750806</v>
      </c>
      <c r="BX18" s="53">
        <f t="shared" si="29"/>
        <v>0</v>
      </c>
      <c r="BY18" s="53">
        <f t="shared" si="30"/>
        <v>0</v>
      </c>
      <c r="BZ18" s="53">
        <f t="shared" si="31"/>
        <v>59.97556438846018</v>
      </c>
      <c r="CA18" s="53">
        <f t="shared" si="32"/>
        <v>14.553705047611803</v>
      </c>
      <c r="CB18" s="53">
        <f t="shared" si="33"/>
        <v>5.1707126645180015</v>
      </c>
      <c r="CD18" s="53">
        <f t="shared" si="34"/>
        <v>14.044777901535394</v>
      </c>
      <c r="CF18" s="53">
        <f t="shared" si="35"/>
        <v>14.10924977407485</v>
      </c>
      <c r="CG18" s="53">
        <f t="shared" si="36"/>
        <v>8.725000131717026</v>
      </c>
      <c r="CH18" s="53">
        <f t="shared" si="37"/>
        <v>0.6725015690440845</v>
      </c>
      <c r="CI18" s="53">
        <f t="shared" si="38"/>
        <v>1.4907963903710586</v>
      </c>
      <c r="CJ18" s="53">
        <f t="shared" si="39"/>
        <v>0.05674468202527108</v>
      </c>
      <c r="CK18" s="53">
        <f t="shared" si="40"/>
        <v>-25.773899639931336</v>
      </c>
      <c r="CL18" s="53">
        <f t="shared" si="41"/>
        <v>-1.1748854674633051</v>
      </c>
      <c r="CM18" s="53">
        <f t="shared" si="42"/>
        <v>1.894492560162342</v>
      </c>
      <c r="CO18" s="53">
        <f t="shared" si="46"/>
        <v>16.676243903281275</v>
      </c>
      <c r="CP18" s="53">
        <f t="shared" si="47"/>
        <v>0</v>
      </c>
      <c r="CQ18" s="53">
        <f t="shared" si="43"/>
        <v>25.470730563928022</v>
      </c>
    </row>
    <row r="19" spans="1:95" ht="15">
      <c r="A19" s="54" t="s">
        <v>62</v>
      </c>
      <c r="B19" s="70">
        <v>4</v>
      </c>
      <c r="C19" s="16">
        <v>42112428.105162375</v>
      </c>
      <c r="D19" s="51">
        <v>0.32956620181500584</v>
      </c>
      <c r="E19" s="16">
        <f t="shared" si="14"/>
        <v>13878832.979825867</v>
      </c>
      <c r="F19" s="51"/>
      <c r="G19" s="16"/>
      <c r="H19" s="51">
        <v>0.19329219420336252</v>
      </c>
      <c r="I19" s="52">
        <f t="shared" si="44"/>
        <v>0</v>
      </c>
      <c r="J19" s="52">
        <f t="shared" si="45"/>
        <v>0</v>
      </c>
      <c r="K19" s="52">
        <f t="shared" si="48"/>
        <v>0</v>
      </c>
      <c r="L19" s="16">
        <f t="shared" si="15"/>
        <v>8140003.631678187</v>
      </c>
      <c r="M19" s="16">
        <f t="shared" si="16"/>
        <v>28233595.125336505</v>
      </c>
      <c r="N19" s="52">
        <f t="shared" si="17"/>
        <v>0.04832304855084063</v>
      </c>
      <c r="O19" s="51">
        <f t="shared" si="18"/>
        <v>0.04832304855084063</v>
      </c>
      <c r="P19" s="16">
        <f t="shared" si="19"/>
        <v>2035000.9079195468</v>
      </c>
      <c r="Q19" s="51"/>
      <c r="R19" s="16">
        <f t="shared" si="20"/>
        <v>41436509.94652152</v>
      </c>
      <c r="S19" s="16">
        <f t="shared" si="21"/>
        <v>43932047.125192806</v>
      </c>
      <c r="T19" s="16">
        <f t="shared" si="22"/>
        <v>42784380.084629245</v>
      </c>
      <c r="U19" s="16">
        <f t="shared" si="23"/>
        <v>49858995.567554</v>
      </c>
      <c r="V19" s="16">
        <f t="shared" si="24"/>
        <v>52354532.74622528</v>
      </c>
      <c r="W19" s="16">
        <f t="shared" si="25"/>
        <v>51206865.70566172</v>
      </c>
      <c r="X19" s="54"/>
      <c r="Y19" s="53">
        <v>226</v>
      </c>
      <c r="Z19" s="53">
        <v>272</v>
      </c>
      <c r="AA19" s="53">
        <v>293</v>
      </c>
      <c r="AB19" s="53">
        <v>409</v>
      </c>
      <c r="AC19" s="53">
        <v>0</v>
      </c>
      <c r="AD19" s="53">
        <v>0</v>
      </c>
      <c r="AE19" s="53">
        <v>0</v>
      </c>
      <c r="AF19" s="53">
        <v>0</v>
      </c>
      <c r="AG19" s="53">
        <v>143</v>
      </c>
      <c r="AH19" s="53">
        <v>411</v>
      </c>
      <c r="AI19" s="53">
        <v>1537</v>
      </c>
      <c r="AJ19" s="53">
        <v>146</v>
      </c>
      <c r="AK19" s="53">
        <v>2975</v>
      </c>
      <c r="AL19" s="53">
        <v>6</v>
      </c>
      <c r="AM19" s="53">
        <v>660</v>
      </c>
      <c r="AN19" s="53">
        <v>2</v>
      </c>
      <c r="AO19" s="53">
        <v>950</v>
      </c>
      <c r="AP19" s="53">
        <v>0</v>
      </c>
      <c r="AQ19" s="53">
        <v>0</v>
      </c>
      <c r="AR19" s="53">
        <v>0</v>
      </c>
      <c r="AS19" s="53">
        <v>0</v>
      </c>
      <c r="AT19" s="53">
        <v>81</v>
      </c>
      <c r="AU19" s="53">
        <v>649000</v>
      </c>
      <c r="AV19" s="53">
        <v>25</v>
      </c>
      <c r="AW19" s="53">
        <v>9500</v>
      </c>
      <c r="AX19" s="53">
        <v>263</v>
      </c>
      <c r="AY19" s="53">
        <v>0</v>
      </c>
      <c r="AZ19" s="53">
        <v>757</v>
      </c>
      <c r="BA19" s="53">
        <v>55</v>
      </c>
      <c r="BB19" s="53">
        <v>275</v>
      </c>
      <c r="BC19" s="53">
        <v>19228</v>
      </c>
      <c r="BD19" s="53">
        <v>6482700</v>
      </c>
      <c r="BF19" s="53">
        <f t="shared" si="1"/>
        <v>5134800</v>
      </c>
      <c r="BG19" s="53">
        <f t="shared" si="2"/>
        <v>11033119</v>
      </c>
      <c r="BH19" s="53">
        <f t="shared" si="3"/>
        <v>1095363</v>
      </c>
      <c r="BI19" s="53">
        <f t="shared" si="4"/>
        <v>187529.99999999997</v>
      </c>
      <c r="BJ19" s="53">
        <f t="shared" si="5"/>
        <v>139700</v>
      </c>
      <c r="BK19" s="53">
        <f>SUMIF(Renseanlæg!$A:$A,SPILDEVAND!A19,Renseanlæg!$I:$I)</f>
        <v>16886346.44652152</v>
      </c>
      <c r="BL19" s="53">
        <f t="shared" si="6"/>
        <v>4636909.1</v>
      </c>
      <c r="BM19" s="53">
        <f t="shared" si="7"/>
        <v>2322742.4</v>
      </c>
      <c r="BN19" s="53">
        <v>33.32659774540022</v>
      </c>
      <c r="BO19" s="53">
        <f t="shared" si="8"/>
        <v>0.016023333333333334</v>
      </c>
      <c r="BP19" s="53">
        <f t="shared" si="9"/>
        <v>41436509.94652152</v>
      </c>
      <c r="BQ19" s="53">
        <f t="shared" si="10"/>
        <v>43932047.125192806</v>
      </c>
      <c r="BR19" s="53">
        <f>(0.719+19.567*BO19)*BP19</f>
        <v>42784380.084629245</v>
      </c>
      <c r="BS19" s="53">
        <v>35533120</v>
      </c>
      <c r="BT19" s="53"/>
      <c r="BU19" s="53">
        <f t="shared" si="26"/>
        <v>12.391970285690174</v>
      </c>
      <c r="BV19" s="53">
        <f t="shared" si="27"/>
        <v>26.62656438546461</v>
      </c>
      <c r="BW19" s="53">
        <f t="shared" si="28"/>
        <v>2.6434731144434926</v>
      </c>
      <c r="BX19" s="53">
        <f t="shared" si="29"/>
        <v>0.4525718991344313</v>
      </c>
      <c r="BY19" s="53">
        <f t="shared" si="30"/>
        <v>0.33714229354812597</v>
      </c>
      <c r="BZ19" s="53">
        <f t="shared" si="31"/>
        <v>40.752337656610685</v>
      </c>
      <c r="CA19" s="53">
        <f t="shared" si="32"/>
        <v>11.190394910151586</v>
      </c>
      <c r="CB19" s="53">
        <f t="shared" si="33"/>
        <v>5.605545454956898</v>
      </c>
      <c r="CD19" s="53">
        <f t="shared" si="34"/>
        <v>20.640988855090566</v>
      </c>
      <c r="CF19" s="53">
        <f t="shared" si="35"/>
        <v>9.232665496651261</v>
      </c>
      <c r="CG19" s="53">
        <f t="shared" si="36"/>
        <v>-6.475611591354959</v>
      </c>
      <c r="CH19" s="53">
        <f t="shared" si="37"/>
        <v>-0.6122923166486021</v>
      </c>
      <c r="CI19" s="53">
        <f t="shared" si="38"/>
        <v>1.0382244912366274</v>
      </c>
      <c r="CJ19" s="53">
        <f t="shared" si="39"/>
        <v>-0.2803976115228549</v>
      </c>
      <c r="CK19" s="53">
        <f t="shared" si="40"/>
        <v>-6.550672908081843</v>
      </c>
      <c r="CL19" s="53">
        <f t="shared" si="41"/>
        <v>2.1884246699969125</v>
      </c>
      <c r="CM19" s="53">
        <f t="shared" si="42"/>
        <v>1.4596597697234452</v>
      </c>
      <c r="CO19" s="53">
        <f t="shared" si="46"/>
        <v>10.080032949726103</v>
      </c>
      <c r="CP19" s="53">
        <f t="shared" si="47"/>
        <v>0</v>
      </c>
      <c r="CQ19" s="53">
        <f t="shared" si="43"/>
        <v>47.72012513968961</v>
      </c>
    </row>
    <row r="20" spans="1:95" ht="15">
      <c r="A20" s="54" t="s">
        <v>112</v>
      </c>
      <c r="B20" s="70">
        <v>4</v>
      </c>
      <c r="C20" s="16">
        <v>25637718.618560597</v>
      </c>
      <c r="D20" s="51">
        <v>0.6705033</v>
      </c>
      <c r="E20" s="16">
        <f t="shared" si="14"/>
        <v>17190174.93821632</v>
      </c>
      <c r="F20" s="51">
        <v>0.6889181</v>
      </c>
      <c r="G20" s="16">
        <f>F20*C20</f>
        <v>17662288.39903339</v>
      </c>
      <c r="H20" s="51">
        <v>0.5430639</v>
      </c>
      <c r="I20" s="52">
        <f t="shared" si="44"/>
        <v>0</v>
      </c>
      <c r="J20" s="52">
        <f t="shared" si="45"/>
        <v>0</v>
      </c>
      <c r="K20" s="52">
        <f t="shared" si="48"/>
        <v>0</v>
      </c>
      <c r="L20" s="16">
        <f t="shared" si="15"/>
        <v>13922919.46009813</v>
      </c>
      <c r="M20" s="16">
        <f t="shared" si="16"/>
        <v>8447543.680344276</v>
      </c>
      <c r="N20" s="52">
        <f t="shared" si="17"/>
        <v>0.135765975</v>
      </c>
      <c r="O20" s="51">
        <f t="shared" si="18"/>
        <v>0.05</v>
      </c>
      <c r="P20" s="16">
        <f t="shared" si="19"/>
        <v>1281885.93092803</v>
      </c>
      <c r="Q20" s="51"/>
      <c r="R20" s="16">
        <f t="shared" si="20"/>
        <v>12065462.58600036</v>
      </c>
      <c r="S20" s="16">
        <f t="shared" si="21"/>
        <v>12585953.625620415</v>
      </c>
      <c r="T20" s="16">
        <f t="shared" si="22"/>
        <v>14383363.98822148</v>
      </c>
      <c r="U20" s="16">
        <f t="shared" si="23"/>
        <v>17193006.30971248</v>
      </c>
      <c r="V20" s="16">
        <f t="shared" si="24"/>
        <v>17713497.349332534</v>
      </c>
      <c r="W20" s="16">
        <f t="shared" si="25"/>
        <v>19510907.711933598</v>
      </c>
      <c r="X20" s="54"/>
      <c r="Y20" s="53">
        <v>67</v>
      </c>
      <c r="Z20" s="53">
        <v>33</v>
      </c>
      <c r="AA20" s="53">
        <v>214</v>
      </c>
      <c r="AB20" s="53">
        <v>105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109</v>
      </c>
      <c r="AI20" s="53">
        <v>702</v>
      </c>
      <c r="AJ20" s="53">
        <v>39</v>
      </c>
      <c r="AK20" s="53">
        <v>1402</v>
      </c>
      <c r="AL20" s="53">
        <v>1</v>
      </c>
      <c r="AM20" s="53">
        <v>240</v>
      </c>
      <c r="AN20" s="53">
        <v>2</v>
      </c>
      <c r="AO20" s="53">
        <v>1250</v>
      </c>
      <c r="AP20" s="53">
        <v>0</v>
      </c>
      <c r="AQ20" s="53">
        <v>0</v>
      </c>
      <c r="AR20" s="53">
        <v>0</v>
      </c>
      <c r="AS20" s="53">
        <v>0</v>
      </c>
      <c r="AT20" s="53">
        <v>2</v>
      </c>
      <c r="AU20" s="53">
        <v>1589</v>
      </c>
      <c r="AV20" s="53">
        <v>17</v>
      </c>
      <c r="AW20" s="53">
        <v>9786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10131</v>
      </c>
      <c r="BD20" s="53">
        <v>2257890</v>
      </c>
      <c r="BE20" s="53">
        <v>674312</v>
      </c>
      <c r="BF20" s="53">
        <f t="shared" si="1"/>
        <v>1792901</v>
      </c>
      <c r="BG20" s="53">
        <f t="shared" si="2"/>
        <v>2771854</v>
      </c>
      <c r="BH20" s="53">
        <f t="shared" si="3"/>
        <v>27046</v>
      </c>
      <c r="BI20" s="53">
        <f t="shared" si="4"/>
        <v>193175.63999999998</v>
      </c>
      <c r="BJ20" s="53">
        <f t="shared" si="5"/>
        <v>0</v>
      </c>
      <c r="BK20" s="53">
        <f>SUMIF(Renseanlæg!$A:$A,SPILDEVAND!A20,Renseanlæg!$I:$I)</f>
        <v>5382349.146000359</v>
      </c>
      <c r="BL20" s="53">
        <f t="shared" si="6"/>
        <v>0</v>
      </c>
      <c r="BM20" s="53">
        <f t="shared" si="7"/>
        <v>1223824.8</v>
      </c>
      <c r="BN20" s="53">
        <v>32.25868257438377</v>
      </c>
      <c r="BO20" s="53">
        <f t="shared" si="8"/>
        <v>0.024178997613365154</v>
      </c>
      <c r="BP20" s="53">
        <f t="shared" si="9"/>
        <v>12065462.58600036</v>
      </c>
      <c r="BQ20" s="53">
        <f t="shared" si="10"/>
        <v>12585953.625620415</v>
      </c>
      <c r="BR20" s="53">
        <f t="shared" si="11"/>
        <v>14383363.98822148</v>
      </c>
      <c r="BS20" s="53">
        <v>21397541</v>
      </c>
      <c r="BT20" s="53"/>
      <c r="BU20" s="53">
        <f t="shared" si="26"/>
        <v>15.73941970535849</v>
      </c>
      <c r="BV20" s="53">
        <f t="shared" si="27"/>
        <v>24.333397922125513</v>
      </c>
      <c r="BW20" s="53">
        <f t="shared" si="28"/>
        <v>0.2374299224280235</v>
      </c>
      <c r="BX20" s="53">
        <f t="shared" si="29"/>
        <v>1.6958395777632105</v>
      </c>
      <c r="BY20" s="53">
        <f t="shared" si="30"/>
        <v>0</v>
      </c>
      <c r="BZ20" s="53">
        <f t="shared" si="31"/>
        <v>47.25026770004451</v>
      </c>
      <c r="CA20" s="53">
        <f t="shared" si="32"/>
        <v>0</v>
      </c>
      <c r="CB20" s="53">
        <f t="shared" si="33"/>
        <v>10.74364517228024</v>
      </c>
      <c r="CD20" s="53">
        <f t="shared" si="34"/>
        <v>26.720494800066753</v>
      </c>
      <c r="CF20" s="53">
        <f t="shared" si="35"/>
        <v>5.885216076982946</v>
      </c>
      <c r="CG20" s="53">
        <f t="shared" si="36"/>
        <v>-4.1824451280158605</v>
      </c>
      <c r="CH20" s="53">
        <f t="shared" si="37"/>
        <v>1.7937508753668672</v>
      </c>
      <c r="CI20" s="53">
        <f t="shared" si="38"/>
        <v>-0.20504318739215188</v>
      </c>
      <c r="CJ20" s="53">
        <f t="shared" si="39"/>
        <v>0.05674468202527108</v>
      </c>
      <c r="CK20" s="53">
        <f t="shared" si="40"/>
        <v>-13.048602951515669</v>
      </c>
      <c r="CL20" s="53">
        <f t="shared" si="41"/>
        <v>13.378819580148498</v>
      </c>
      <c r="CM20" s="53">
        <f t="shared" si="42"/>
        <v>-3.6784399475998972</v>
      </c>
      <c r="CO20" s="53">
        <f t="shared" si="46"/>
        <v>4.000527004749916</v>
      </c>
      <c r="CP20" s="53">
        <f t="shared" si="47"/>
        <v>0</v>
      </c>
      <c r="CQ20" s="53">
        <f t="shared" si="43"/>
        <v>52.74973229995547</v>
      </c>
    </row>
    <row r="21" spans="1:95" ht="15">
      <c r="A21" s="54" t="s">
        <v>107</v>
      </c>
      <c r="B21" s="70">
        <v>2</v>
      </c>
      <c r="C21" s="16">
        <v>53687137.184999995</v>
      </c>
      <c r="D21" s="51">
        <v>0.3542090508607557</v>
      </c>
      <c r="E21" s="16">
        <f t="shared" si="14"/>
        <v>19016469.90573003</v>
      </c>
      <c r="F21" s="51"/>
      <c r="G21" s="16"/>
      <c r="H21" s="51">
        <v>0.21793505479762398</v>
      </c>
      <c r="I21" s="52">
        <f t="shared" si="44"/>
        <v>0</v>
      </c>
      <c r="J21" s="52">
        <f t="shared" si="45"/>
        <v>0</v>
      </c>
      <c r="K21" s="52">
        <f t="shared" si="48"/>
        <v>0</v>
      </c>
      <c r="L21" s="16">
        <f t="shared" si="15"/>
        <v>11700309.184340531</v>
      </c>
      <c r="M21" s="16">
        <f t="shared" si="16"/>
        <v>34670667.27926996</v>
      </c>
      <c r="N21" s="52">
        <f t="shared" si="17"/>
        <v>0.054483763699405996</v>
      </c>
      <c r="O21" s="51">
        <f t="shared" si="18"/>
        <v>0.05</v>
      </c>
      <c r="P21" s="16">
        <f t="shared" si="19"/>
        <v>2684356.8592499997</v>
      </c>
      <c r="Q21" s="51"/>
      <c r="R21" s="16">
        <f t="shared" si="20"/>
        <v>50883758.611941524</v>
      </c>
      <c r="S21" s="16">
        <f t="shared" si="21"/>
        <v>58207322.95649083</v>
      </c>
      <c r="T21" s="16">
        <f t="shared" si="22"/>
        <v>52266791.89195375</v>
      </c>
      <c r="U21" s="16">
        <f t="shared" si="23"/>
        <v>61621186.04894152</v>
      </c>
      <c r="V21" s="16">
        <f t="shared" si="24"/>
        <v>68944750.39349082</v>
      </c>
      <c r="W21" s="16">
        <f t="shared" si="25"/>
        <v>63004219.32895375</v>
      </c>
      <c r="X21" s="54"/>
      <c r="Y21" s="53">
        <v>152</v>
      </c>
      <c r="Z21" s="53">
        <v>51</v>
      </c>
      <c r="AA21" s="53">
        <v>448</v>
      </c>
      <c r="AB21" s="53">
        <v>265</v>
      </c>
      <c r="AC21" s="53">
        <v>38</v>
      </c>
      <c r="AD21" s="53">
        <v>30</v>
      </c>
      <c r="AE21" s="53">
        <v>0</v>
      </c>
      <c r="AF21" s="53">
        <v>0</v>
      </c>
      <c r="AG21" s="53">
        <v>0</v>
      </c>
      <c r="AH21" s="53">
        <v>345</v>
      </c>
      <c r="AI21" s="53">
        <v>398</v>
      </c>
      <c r="AJ21" s="53">
        <v>27</v>
      </c>
      <c r="AK21" s="53">
        <v>856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3</v>
      </c>
      <c r="AS21" s="53">
        <v>4278</v>
      </c>
      <c r="AT21" s="53">
        <v>49</v>
      </c>
      <c r="AU21" s="53">
        <v>388240</v>
      </c>
      <c r="AV21" s="53">
        <v>42</v>
      </c>
      <c r="AW21" s="53">
        <v>15103</v>
      </c>
      <c r="AX21" s="53">
        <v>1711.3</v>
      </c>
      <c r="AY21" s="53">
        <v>0</v>
      </c>
      <c r="AZ21" s="53">
        <v>0</v>
      </c>
      <c r="BA21" s="53">
        <v>7</v>
      </c>
      <c r="BB21" s="53">
        <v>35</v>
      </c>
      <c r="BC21" s="53">
        <v>15498</v>
      </c>
      <c r="BD21" s="53">
        <v>6545924</v>
      </c>
      <c r="BF21" s="53">
        <f t="shared" si="1"/>
        <v>9841548</v>
      </c>
      <c r="BG21" s="53">
        <f t="shared" si="2"/>
        <v>8007738</v>
      </c>
      <c r="BH21" s="53">
        <f t="shared" si="3"/>
        <v>662627</v>
      </c>
      <c r="BI21" s="53">
        <f t="shared" si="4"/>
        <v>298133.22</v>
      </c>
      <c r="BJ21" s="53">
        <f t="shared" si="5"/>
        <v>17780</v>
      </c>
      <c r="BK21" s="53">
        <f>SUMIF(Renseanlæg!$A:$A,SPILDEVAND!A21,Renseanlæg!$I:$I)</f>
        <v>23397784.971941523</v>
      </c>
      <c r="BL21" s="53">
        <f t="shared" si="6"/>
        <v>6785989.02</v>
      </c>
      <c r="BM21" s="53">
        <f t="shared" si="7"/>
        <v>1872158.4</v>
      </c>
      <c r="BN21" s="53">
        <v>38.557959141002044</v>
      </c>
      <c r="BO21" s="53">
        <f t="shared" si="8"/>
        <v>0.01575</v>
      </c>
      <c r="BP21" s="53">
        <f t="shared" si="9"/>
        <v>50883758.611941524</v>
      </c>
      <c r="BQ21" s="53">
        <f t="shared" si="10"/>
        <v>58207322.95649083</v>
      </c>
      <c r="BR21" s="53">
        <f t="shared" si="11"/>
        <v>52266791.89195375</v>
      </c>
      <c r="BS21" s="53">
        <v>40951277</v>
      </c>
      <c r="BT21" s="53"/>
      <c r="BU21" s="53">
        <f t="shared" si="26"/>
        <v>19.341236316788834</v>
      </c>
      <c r="BV21" s="53">
        <f t="shared" si="27"/>
        <v>15.737316225143644</v>
      </c>
      <c r="BW21" s="53">
        <f t="shared" si="28"/>
        <v>1.302236741301758</v>
      </c>
      <c r="BX21" s="53">
        <f t="shared" si="29"/>
        <v>0.585910373236527</v>
      </c>
      <c r="BY21" s="53">
        <f t="shared" si="30"/>
        <v>0.034942387286279096</v>
      </c>
      <c r="BZ21" s="53">
        <f t="shared" si="31"/>
        <v>45.982815755380294</v>
      </c>
      <c r="CA21" s="53">
        <f t="shared" si="32"/>
        <v>13.336257393547669</v>
      </c>
      <c r="CB21" s="53">
        <f t="shared" si="33"/>
        <v>3.679284807314995</v>
      </c>
      <c r="CD21" s="53">
        <f t="shared" si="34"/>
        <v>24.32275786540559</v>
      </c>
      <c r="CF21" s="53">
        <f t="shared" si="35"/>
        <v>2.283399465552602</v>
      </c>
      <c r="CG21" s="53">
        <f t="shared" si="36"/>
        <v>4.413636568966009</v>
      </c>
      <c r="CH21" s="53">
        <f t="shared" si="37"/>
        <v>0.7289440564931327</v>
      </c>
      <c r="CI21" s="53">
        <f t="shared" si="38"/>
        <v>0.9048860171345317</v>
      </c>
      <c r="CJ21" s="53">
        <f t="shared" si="39"/>
        <v>0.021802294738991986</v>
      </c>
      <c r="CK21" s="53">
        <f t="shared" si="40"/>
        <v>-11.781151006851452</v>
      </c>
      <c r="CL21" s="53">
        <f t="shared" si="41"/>
        <v>0.04256218660082922</v>
      </c>
      <c r="CM21" s="53">
        <f t="shared" si="42"/>
        <v>3.3859204173653485</v>
      </c>
      <c r="CO21" s="53">
        <f t="shared" si="46"/>
        <v>6.3982639394110805</v>
      </c>
      <c r="CP21" s="53">
        <f t="shared" si="47"/>
        <v>0</v>
      </c>
      <c r="CQ21" s="53">
        <f t="shared" si="43"/>
        <v>40.64598446378576</v>
      </c>
    </row>
    <row r="22" spans="1:95" ht="15">
      <c r="A22" s="54" t="s">
        <v>67</v>
      </c>
      <c r="B22" s="70">
        <v>4</v>
      </c>
      <c r="C22" s="16">
        <v>18373997.473155603</v>
      </c>
      <c r="D22" s="51">
        <v>0.15623122</v>
      </c>
      <c r="E22" s="16">
        <f t="shared" si="14"/>
        <v>2870592.041508017</v>
      </c>
      <c r="F22" s="51"/>
      <c r="G22" s="16"/>
      <c r="H22" s="51">
        <v>0.046438381</v>
      </c>
      <c r="I22" s="52">
        <f t="shared" si="44"/>
        <v>-0.33574648979041544</v>
      </c>
      <c r="J22" s="52">
        <f>CP22/100</f>
        <v>-0.10257726756076772</v>
      </c>
      <c r="K22" s="52">
        <f t="shared" si="48"/>
        <v>-0.05613888656076772</v>
      </c>
      <c r="L22" s="16">
        <f t="shared" si="15"/>
        <v>-1031495.7598133151</v>
      </c>
      <c r="M22" s="16">
        <f t="shared" si="16"/>
        <v>15503405.431647586</v>
      </c>
      <c r="N22" s="52">
        <f t="shared" si="17"/>
        <v>-0.01403472164019193</v>
      </c>
      <c r="O22" s="51">
        <f t="shared" si="18"/>
        <v>0</v>
      </c>
      <c r="P22" s="16">
        <f t="shared" si="19"/>
        <v>0</v>
      </c>
      <c r="Q22" s="51"/>
      <c r="R22" s="16">
        <f t="shared" si="20"/>
        <v>17428535.560000002</v>
      </c>
      <c r="S22" s="16">
        <f t="shared" si="21"/>
        <v>28241192.66203873</v>
      </c>
      <c r="T22" s="16">
        <f t="shared" si="22"/>
        <v>20907940.8040171</v>
      </c>
      <c r="U22" s="16">
        <f t="shared" si="23"/>
        <v>21103335.05463112</v>
      </c>
      <c r="V22" s="16">
        <f t="shared" si="24"/>
        <v>31915992.156669848</v>
      </c>
      <c r="W22" s="16">
        <f t="shared" si="25"/>
        <v>24582740.298648223</v>
      </c>
      <c r="X22" s="54"/>
      <c r="Y22" s="53">
        <v>0</v>
      </c>
      <c r="Z22" s="53">
        <v>1</v>
      </c>
      <c r="AA22" s="53">
        <v>11</v>
      </c>
      <c r="AB22" s="53">
        <v>31</v>
      </c>
      <c r="AC22" s="53">
        <v>24</v>
      </c>
      <c r="AD22" s="53">
        <v>53</v>
      </c>
      <c r="AE22" s="53">
        <v>27</v>
      </c>
      <c r="AF22" s="53">
        <v>57</v>
      </c>
      <c r="AG22" s="53">
        <v>0</v>
      </c>
      <c r="AH22" s="53">
        <v>0</v>
      </c>
      <c r="AI22" s="53">
        <v>0</v>
      </c>
      <c r="AJ22" s="53">
        <v>1</v>
      </c>
      <c r="AK22" s="53">
        <v>22</v>
      </c>
      <c r="AL22" s="53">
        <v>0</v>
      </c>
      <c r="AM22" s="53">
        <v>0</v>
      </c>
      <c r="AN22" s="53">
        <v>1</v>
      </c>
      <c r="AO22" s="53">
        <v>404</v>
      </c>
      <c r="AP22" s="53">
        <v>1</v>
      </c>
      <c r="AQ22" s="53">
        <v>421</v>
      </c>
      <c r="AR22" s="53">
        <v>1</v>
      </c>
      <c r="AS22" s="53">
        <v>3317</v>
      </c>
      <c r="AT22" s="53">
        <v>2</v>
      </c>
      <c r="AU22" s="53">
        <v>79</v>
      </c>
      <c r="AV22" s="53">
        <v>4</v>
      </c>
      <c r="AW22" s="53">
        <v>11574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5011</v>
      </c>
      <c r="BD22" s="53">
        <v>6105</v>
      </c>
      <c r="BF22" s="53">
        <f t="shared" si="1"/>
        <v>14205165</v>
      </c>
      <c r="BG22" s="53">
        <f t="shared" si="2"/>
        <v>2362525</v>
      </c>
      <c r="BH22" s="53">
        <f t="shared" si="3"/>
        <v>27046</v>
      </c>
      <c r="BI22" s="53">
        <f t="shared" si="4"/>
        <v>228470.75999999998</v>
      </c>
      <c r="BJ22" s="53">
        <f t="shared" si="5"/>
        <v>0</v>
      </c>
      <c r="BK22" s="53">
        <f>SUMIF(Renseanlæg!$A:$A,SPILDEVAND!A22,Renseanlæg!$I:$I)</f>
        <v>0</v>
      </c>
      <c r="BL22" s="53">
        <f t="shared" si="6"/>
        <v>0</v>
      </c>
      <c r="BM22" s="53">
        <f t="shared" si="7"/>
        <v>605328.7999999999</v>
      </c>
      <c r="BN22" s="53">
        <v>68.33747719478045</v>
      </c>
      <c r="BO22" s="53">
        <f t="shared" si="8"/>
        <v>0.02456372549019608</v>
      </c>
      <c r="BP22" s="53">
        <f t="shared" si="9"/>
        <v>17428535.560000002</v>
      </c>
      <c r="BQ22" s="53">
        <f t="shared" si="10"/>
        <v>28241192.66203873</v>
      </c>
      <c r="BR22" s="53">
        <f t="shared" si="11"/>
        <v>20907940.8040171</v>
      </c>
      <c r="BS22" s="53">
        <v>18081146</v>
      </c>
      <c r="BT22" s="53"/>
      <c r="BU22" s="53">
        <f t="shared" si="26"/>
        <v>81.5052128223675</v>
      </c>
      <c r="BV22" s="53">
        <f t="shared" si="27"/>
        <v>13.555499209137222</v>
      </c>
      <c r="BW22" s="53">
        <f t="shared" si="28"/>
        <v>0.15518228658334846</v>
      </c>
      <c r="BX22" s="53">
        <f t="shared" si="29"/>
        <v>1.3109005011549</v>
      </c>
      <c r="BY22" s="53">
        <f t="shared" si="30"/>
        <v>0</v>
      </c>
      <c r="BZ22" s="53">
        <f t="shared" si="31"/>
        <v>0</v>
      </c>
      <c r="CA22" s="53">
        <f t="shared" si="32"/>
        <v>0</v>
      </c>
      <c r="CB22" s="53">
        <f t="shared" si="33"/>
        <v>3.473205180757022</v>
      </c>
      <c r="CD22" s="53">
        <f t="shared" si="34"/>
        <v>85.13360028970787</v>
      </c>
      <c r="CF22" s="53">
        <f t="shared" si="35"/>
        <v>-59.88057704002606</v>
      </c>
      <c r="CG22" s="53">
        <f t="shared" si="36"/>
        <v>6.5954535849724305</v>
      </c>
      <c r="CH22" s="53">
        <f t="shared" si="37"/>
        <v>1.875998511211542</v>
      </c>
      <c r="CI22" s="53">
        <f t="shared" si="38"/>
        <v>0.17989588921615862</v>
      </c>
      <c r="CJ22" s="53">
        <f t="shared" si="39"/>
        <v>0.05674468202527108</v>
      </c>
      <c r="CK22" s="53">
        <f t="shared" si="40"/>
        <v>34.20166474852884</v>
      </c>
      <c r="CL22" s="53">
        <f t="shared" si="41"/>
        <v>13.378819580148498</v>
      </c>
      <c r="CM22" s="53">
        <f t="shared" si="42"/>
        <v>3.5920000439233215</v>
      </c>
      <c r="CO22" s="53">
        <f t="shared" si="46"/>
        <v>-54.4125784848912</v>
      </c>
      <c r="CP22" s="53">
        <f t="shared" si="47"/>
        <v>-10.257726756076773</v>
      </c>
      <c r="CQ22" s="53">
        <f t="shared" si="43"/>
        <v>100</v>
      </c>
    </row>
    <row r="23" spans="1:95" ht="15">
      <c r="A23" s="54" t="s">
        <v>127</v>
      </c>
      <c r="B23" s="70">
        <v>4</v>
      </c>
      <c r="C23" s="16">
        <v>62370339.446249984</v>
      </c>
      <c r="D23" s="51">
        <v>0.12299577</v>
      </c>
      <c r="E23" s="16">
        <f t="shared" si="14"/>
        <v>7671287.925352891</v>
      </c>
      <c r="F23" s="51"/>
      <c r="G23" s="16"/>
      <c r="H23" s="51">
        <v>0</v>
      </c>
      <c r="I23" s="52">
        <f t="shared" si="44"/>
        <v>0</v>
      </c>
      <c r="J23" s="52">
        <f t="shared" si="45"/>
        <v>0</v>
      </c>
      <c r="K23" s="52">
        <f t="shared" si="48"/>
        <v>0</v>
      </c>
      <c r="L23" s="16">
        <f t="shared" si="15"/>
        <v>0</v>
      </c>
      <c r="M23" s="16">
        <f t="shared" si="16"/>
        <v>54699051.52089709</v>
      </c>
      <c r="N23" s="52">
        <f t="shared" si="17"/>
        <v>0</v>
      </c>
      <c r="O23" s="51">
        <f t="shared" si="18"/>
        <v>0</v>
      </c>
      <c r="P23" s="16">
        <f t="shared" si="19"/>
        <v>0</v>
      </c>
      <c r="Q23" s="51"/>
      <c r="R23" s="16">
        <f t="shared" si="20"/>
        <v>80278044.16841868</v>
      </c>
      <c r="S23" s="16">
        <f t="shared" si="21"/>
        <v>83582225.02999681</v>
      </c>
      <c r="T23" s="16">
        <f t="shared" si="22"/>
        <v>88113351.65297943</v>
      </c>
      <c r="U23" s="16">
        <f t="shared" si="23"/>
        <v>92752112.05766867</v>
      </c>
      <c r="V23" s="16">
        <f t="shared" si="24"/>
        <v>96056292.91924681</v>
      </c>
      <c r="W23" s="16">
        <f t="shared" si="25"/>
        <v>100587419.54222943</v>
      </c>
      <c r="X23" s="54"/>
      <c r="Y23" s="53">
        <v>154</v>
      </c>
      <c r="Z23" s="53">
        <v>137</v>
      </c>
      <c r="AA23" s="53">
        <v>381</v>
      </c>
      <c r="AB23" s="53">
        <v>346</v>
      </c>
      <c r="AC23" s="53">
        <v>19</v>
      </c>
      <c r="AD23" s="53">
        <v>26</v>
      </c>
      <c r="AE23" s="53">
        <v>0</v>
      </c>
      <c r="AF23" s="53">
        <v>0</v>
      </c>
      <c r="AG23" s="53">
        <v>0</v>
      </c>
      <c r="AH23" s="53">
        <v>19</v>
      </c>
      <c r="AI23" s="53">
        <v>117</v>
      </c>
      <c r="AJ23" s="53">
        <v>109</v>
      </c>
      <c r="AK23" s="53">
        <v>3898</v>
      </c>
      <c r="AL23" s="53">
        <v>18</v>
      </c>
      <c r="AM23" s="53">
        <v>3121</v>
      </c>
      <c r="AN23" s="53">
        <v>12</v>
      </c>
      <c r="AO23" s="53">
        <v>4677</v>
      </c>
      <c r="AP23" s="53">
        <v>4</v>
      </c>
      <c r="AQ23" s="53">
        <v>3005</v>
      </c>
      <c r="AR23" s="53">
        <v>3</v>
      </c>
      <c r="AS23" s="53">
        <v>19825</v>
      </c>
      <c r="AT23" s="53">
        <v>22</v>
      </c>
      <c r="AU23" s="53">
        <v>117</v>
      </c>
      <c r="AV23" s="53">
        <v>6</v>
      </c>
      <c r="AW23" s="53">
        <v>3060</v>
      </c>
      <c r="AX23" s="53">
        <v>2905</v>
      </c>
      <c r="AY23" s="53">
        <v>111</v>
      </c>
      <c r="AZ23" s="53">
        <v>0</v>
      </c>
      <c r="BA23" s="53">
        <v>0</v>
      </c>
      <c r="BB23" s="53">
        <v>0</v>
      </c>
      <c r="BC23" s="53">
        <v>20568</v>
      </c>
      <c r="BD23" s="53">
        <v>8552675</v>
      </c>
      <c r="BF23" s="53">
        <f t="shared" si="1"/>
        <v>8274982</v>
      </c>
      <c r="BG23" s="53">
        <f t="shared" si="2"/>
        <v>19654922</v>
      </c>
      <c r="BH23" s="53">
        <f t="shared" si="3"/>
        <v>297506</v>
      </c>
      <c r="BI23" s="53">
        <f t="shared" si="4"/>
        <v>60404.399999999994</v>
      </c>
      <c r="BJ23" s="53">
        <f t="shared" si="5"/>
        <v>0</v>
      </c>
      <c r="BK23" s="53">
        <f>SUMIF(Renseanlæg!$A:$A,SPILDEVAND!A23,Renseanlæg!$I:$I)</f>
        <v>37459133.668418676</v>
      </c>
      <c r="BL23" s="53">
        <f t="shared" si="6"/>
        <v>12046481.7</v>
      </c>
      <c r="BM23" s="53">
        <f t="shared" si="7"/>
        <v>2484614.4</v>
      </c>
      <c r="BN23" s="53">
        <v>32.13495061196788</v>
      </c>
      <c r="BO23" s="53">
        <f t="shared" si="8"/>
        <v>0.01934901222953904</v>
      </c>
      <c r="BP23" s="53">
        <f t="shared" si="9"/>
        <v>80278044.16841868</v>
      </c>
      <c r="BQ23" s="53">
        <f t="shared" si="10"/>
        <v>83582225.02999681</v>
      </c>
      <c r="BR23" s="53">
        <f t="shared" si="11"/>
        <v>88113351.65297943</v>
      </c>
      <c r="BS23" s="53">
        <v>56429718</v>
      </c>
      <c r="BT23" s="53"/>
      <c r="BU23" s="53">
        <f t="shared" si="26"/>
        <v>10.307901850024608</v>
      </c>
      <c r="BV23" s="53">
        <f t="shared" si="27"/>
        <v>24.483558616307484</v>
      </c>
      <c r="BW23" s="53">
        <f t="shared" si="28"/>
        <v>0.37059447957632063</v>
      </c>
      <c r="BX23" s="53">
        <f t="shared" si="29"/>
        <v>0.07524398560741598</v>
      </c>
      <c r="BY23" s="53">
        <f t="shared" si="30"/>
        <v>0</v>
      </c>
      <c r="BZ23" s="53">
        <f t="shared" si="31"/>
        <v>46.661741770678404</v>
      </c>
      <c r="CA23" s="53">
        <f t="shared" si="32"/>
        <v>15.005948170245878</v>
      </c>
      <c r="CB23" s="53">
        <f t="shared" si="33"/>
        <v>3.0950111275598884</v>
      </c>
      <c r="CD23" s="53">
        <f t="shared" si="34"/>
        <v>13.773507457160818</v>
      </c>
      <c r="CF23" s="53">
        <f t="shared" si="35"/>
        <v>11.316733932316827</v>
      </c>
      <c r="CG23" s="53">
        <f t="shared" si="36"/>
        <v>-4.332605822197831</v>
      </c>
      <c r="CH23" s="53">
        <f t="shared" si="37"/>
        <v>1.66058631821857</v>
      </c>
      <c r="CI23" s="53">
        <f t="shared" si="38"/>
        <v>1.4155524047636425</v>
      </c>
      <c r="CJ23" s="53">
        <f t="shared" si="39"/>
        <v>0.05674468202527108</v>
      </c>
      <c r="CK23" s="53">
        <f t="shared" si="40"/>
        <v>-12.460077022149562</v>
      </c>
      <c r="CL23" s="53">
        <f t="shared" si="41"/>
        <v>-1.6271285900973798</v>
      </c>
      <c r="CM23" s="53">
        <f t="shared" si="42"/>
        <v>3.970194097120455</v>
      </c>
      <c r="CO23" s="53">
        <f t="shared" si="46"/>
        <v>16.94751434765585</v>
      </c>
      <c r="CP23" s="53">
        <f t="shared" si="47"/>
        <v>0</v>
      </c>
      <c r="CQ23" s="53">
        <f t="shared" si="43"/>
        <v>38.33231005907571</v>
      </c>
    </row>
    <row r="24" spans="1:95" ht="15">
      <c r="A24" s="54" t="s">
        <v>96</v>
      </c>
      <c r="B24" s="70">
        <v>2</v>
      </c>
      <c r="C24" s="16">
        <v>36847652</v>
      </c>
      <c r="D24" s="51">
        <v>0.3482863824237046</v>
      </c>
      <c r="E24" s="16">
        <f t="shared" si="14"/>
        <v>12833535.415887583</v>
      </c>
      <c r="F24" s="51"/>
      <c r="G24" s="16"/>
      <c r="H24" s="51">
        <v>0.21201237018904795</v>
      </c>
      <c r="I24" s="52">
        <f t="shared" si="44"/>
        <v>0</v>
      </c>
      <c r="J24" s="52">
        <f t="shared" si="45"/>
        <v>0</v>
      </c>
      <c r="K24" s="52">
        <f t="shared" si="48"/>
        <v>0</v>
      </c>
      <c r="L24" s="16">
        <f t="shared" si="15"/>
        <v>7812158.036421213</v>
      </c>
      <c r="M24" s="16">
        <f t="shared" si="16"/>
        <v>24014116.584112417</v>
      </c>
      <c r="N24" s="52">
        <f t="shared" si="17"/>
        <v>0.05300309254726199</v>
      </c>
      <c r="O24" s="51">
        <f t="shared" si="18"/>
        <v>0.05</v>
      </c>
      <c r="P24" s="16">
        <f t="shared" si="19"/>
        <v>1842382.6</v>
      </c>
      <c r="Q24" s="51"/>
      <c r="R24" s="16">
        <f t="shared" si="20"/>
        <v>35243871.483953014</v>
      </c>
      <c r="S24" s="16">
        <f t="shared" si="21"/>
        <v>36820760.31346934</v>
      </c>
      <c r="T24" s="16">
        <f t="shared" si="22"/>
        <v>38022085.933337115</v>
      </c>
      <c r="U24" s="16">
        <f t="shared" si="23"/>
        <v>42613401.88395301</v>
      </c>
      <c r="V24" s="16">
        <f t="shared" si="24"/>
        <v>44190290.71346934</v>
      </c>
      <c r="W24" s="16">
        <f t="shared" si="25"/>
        <v>45391616.33333711</v>
      </c>
      <c r="X24" s="54"/>
      <c r="Y24" s="53">
        <v>229</v>
      </c>
      <c r="Z24" s="53">
        <v>75</v>
      </c>
      <c r="AA24" s="53">
        <v>349</v>
      </c>
      <c r="AB24" s="53">
        <v>148</v>
      </c>
      <c r="AC24" s="53">
        <v>27</v>
      </c>
      <c r="AD24" s="53">
        <v>14</v>
      </c>
      <c r="AE24" s="53">
        <v>0</v>
      </c>
      <c r="AF24" s="53">
        <v>0</v>
      </c>
      <c r="AG24" s="53">
        <v>20</v>
      </c>
      <c r="AH24" s="53">
        <v>45</v>
      </c>
      <c r="AI24" s="53">
        <v>360</v>
      </c>
      <c r="AJ24" s="53">
        <v>111</v>
      </c>
      <c r="AK24" s="53">
        <v>8880</v>
      </c>
      <c r="AL24" s="53">
        <v>38</v>
      </c>
      <c r="AM24" s="53">
        <v>9500</v>
      </c>
      <c r="AN24" s="53">
        <v>5</v>
      </c>
      <c r="AO24" s="53">
        <v>2500</v>
      </c>
      <c r="AP24" s="53">
        <v>0</v>
      </c>
      <c r="AQ24" s="53">
        <v>0</v>
      </c>
      <c r="AR24" s="53">
        <v>1</v>
      </c>
      <c r="AS24" s="53">
        <v>2000</v>
      </c>
      <c r="AT24" s="53">
        <v>30</v>
      </c>
      <c r="AU24" s="53">
        <v>30000</v>
      </c>
      <c r="AV24" s="53">
        <v>20</v>
      </c>
      <c r="AW24" s="53">
        <v>20000</v>
      </c>
      <c r="AX24" s="53">
        <v>1000</v>
      </c>
      <c r="AY24" s="53">
        <v>0</v>
      </c>
      <c r="AZ24" s="53">
        <v>0</v>
      </c>
      <c r="BA24" s="53">
        <v>0</v>
      </c>
      <c r="BB24" s="53">
        <v>0</v>
      </c>
      <c r="BC24" s="53">
        <v>15484</v>
      </c>
      <c r="BD24" s="53">
        <v>4037116</v>
      </c>
      <c r="BF24" s="53">
        <f t="shared" si="1"/>
        <v>6998087</v>
      </c>
      <c r="BG24" s="53">
        <f t="shared" si="2"/>
        <v>9078214</v>
      </c>
      <c r="BH24" s="53">
        <f t="shared" si="3"/>
        <v>405690</v>
      </c>
      <c r="BI24" s="53">
        <f t="shared" si="4"/>
        <v>394799.99999999994</v>
      </c>
      <c r="BJ24" s="53">
        <f t="shared" si="5"/>
        <v>0</v>
      </c>
      <c r="BK24" s="53">
        <f>SUMIF(Renseanlæg!$A:$A,SPILDEVAND!A24,Renseanlæg!$I:$I)</f>
        <v>12531213.283953013</v>
      </c>
      <c r="BL24" s="53">
        <f t="shared" si="6"/>
        <v>3965400</v>
      </c>
      <c r="BM24" s="53">
        <f t="shared" si="7"/>
        <v>1870467.2</v>
      </c>
      <c r="BN24" s="53">
        <v>32.35888835618964</v>
      </c>
      <c r="BO24" s="53">
        <f t="shared" si="8"/>
        <v>0.018389548693586697</v>
      </c>
      <c r="BP24" s="53">
        <f t="shared" si="9"/>
        <v>35243871.483953014</v>
      </c>
      <c r="BQ24" s="53">
        <f t="shared" si="10"/>
        <v>36820760.31346934</v>
      </c>
      <c r="BR24" s="53">
        <f t="shared" si="11"/>
        <v>38022085.933337115</v>
      </c>
      <c r="BS24" s="53">
        <v>30777945</v>
      </c>
      <c r="BT24" s="53"/>
      <c r="BU24" s="53">
        <f t="shared" si="26"/>
        <v>19.856181246110598</v>
      </c>
      <c r="BV24" s="53">
        <f t="shared" si="27"/>
        <v>25.758276879807106</v>
      </c>
      <c r="BW24" s="53">
        <f t="shared" si="28"/>
        <v>1.1510937445811418</v>
      </c>
      <c r="BX24" s="53">
        <f t="shared" si="29"/>
        <v>1.1201947555045348</v>
      </c>
      <c r="BY24" s="53">
        <f t="shared" si="30"/>
        <v>0</v>
      </c>
      <c r="BZ24" s="53">
        <f t="shared" si="31"/>
        <v>35.55572289967813</v>
      </c>
      <c r="CA24" s="53">
        <f t="shared" si="32"/>
        <v>11.251317840622297</v>
      </c>
      <c r="CB24" s="53">
        <f t="shared" si="33"/>
        <v>5.307212633696181</v>
      </c>
      <c r="CD24" s="53">
        <f t="shared" si="34"/>
        <v>26.314487624387922</v>
      </c>
      <c r="CF24" s="53">
        <f t="shared" si="35"/>
        <v>1.7684545362308377</v>
      </c>
      <c r="CG24" s="53">
        <f t="shared" si="36"/>
        <v>-5.607324085697453</v>
      </c>
      <c r="CH24" s="53">
        <f t="shared" si="37"/>
        <v>0.8800870532137488</v>
      </c>
      <c r="CI24" s="53">
        <f t="shared" si="38"/>
        <v>0.37060163486652375</v>
      </c>
      <c r="CJ24" s="53">
        <f t="shared" si="39"/>
        <v>0.05674468202527108</v>
      </c>
      <c r="CK24" s="53">
        <f t="shared" si="40"/>
        <v>-1.3540581511492888</v>
      </c>
      <c r="CL24" s="53">
        <f t="shared" si="41"/>
        <v>2.127501739526201</v>
      </c>
      <c r="CM24" s="53">
        <f t="shared" si="42"/>
        <v>1.7579925909841627</v>
      </c>
      <c r="CO24" s="53">
        <f t="shared" si="46"/>
        <v>4.406534180428746</v>
      </c>
      <c r="CP24" s="53">
        <f t="shared" si="47"/>
        <v>0</v>
      </c>
      <c r="CQ24" s="53">
        <f t="shared" si="43"/>
        <v>53.19295925969956</v>
      </c>
    </row>
    <row r="25" spans="1:95" ht="15">
      <c r="A25" s="54" t="s">
        <v>186</v>
      </c>
      <c r="B25" s="70">
        <v>10</v>
      </c>
      <c r="C25" s="16">
        <v>24061212.4</v>
      </c>
      <c r="D25" s="51">
        <v>0.5906570685166312</v>
      </c>
      <c r="E25" s="16">
        <f t="shared" si="14"/>
        <v>14211925.181140017</v>
      </c>
      <c r="F25" s="51"/>
      <c r="G25" s="16"/>
      <c r="H25" s="51">
        <v>0.4701747103940531</v>
      </c>
      <c r="I25" s="52">
        <f>IF(CO25&lt;$CD$111,CO25-$CD$111,0)/100</f>
        <v>0</v>
      </c>
      <c r="J25" s="52">
        <f>CP25/100</f>
        <v>0</v>
      </c>
      <c r="K25" s="52">
        <f>IF(J25&lt;0,H25+J25,0)</f>
        <v>0</v>
      </c>
      <c r="L25" s="16">
        <f>IF(J25&lt;0,(H25+J25)*C25,H25*C25)</f>
        <v>11312973.5718998</v>
      </c>
      <c r="M25" s="16">
        <f>IF(D25&gt;0,C25-E25,"Over front")</f>
        <v>9849287.218859982</v>
      </c>
      <c r="N25" s="52">
        <f>IF(J25&lt;0,(H25+J25)/4,H25/4)</f>
        <v>0.11754367759851328</v>
      </c>
      <c r="O25" s="51">
        <f>IF(N25&gt;0.05,0.05,IF(N25&gt;0.01,N25,0))</f>
        <v>0.05</v>
      </c>
      <c r="P25" s="16">
        <f>C25*O25</f>
        <v>1203060.6199999999</v>
      </c>
      <c r="Q25" s="51"/>
      <c r="R25" s="16">
        <f>BP25</f>
        <v>13897473.003533583</v>
      </c>
      <c r="S25" s="16">
        <f>BQ25</f>
        <v>17064012.65817667</v>
      </c>
      <c r="T25" s="16">
        <f>BR25</f>
        <v>16770065.963403158</v>
      </c>
      <c r="U25" s="16">
        <f>R25+(0.2*C25)</f>
        <v>18709715.483533584</v>
      </c>
      <c r="V25" s="16">
        <f>S25+(0.2*C25)</f>
        <v>21876255.138176672</v>
      </c>
      <c r="W25" s="16">
        <f>T25+(0.2*C25)</f>
        <v>21582308.44340316</v>
      </c>
      <c r="X25" s="54"/>
      <c r="Y25" s="53">
        <v>32.4</v>
      </c>
      <c r="Z25" s="53">
        <v>22.6</v>
      </c>
      <c r="AA25" s="53">
        <v>217.9</v>
      </c>
      <c r="AB25" s="53">
        <v>123.3</v>
      </c>
      <c r="AC25" s="53">
        <v>17.6</v>
      </c>
      <c r="AD25" s="53">
        <v>10.4</v>
      </c>
      <c r="AE25" s="53">
        <v>0</v>
      </c>
      <c r="AF25" s="53">
        <v>0</v>
      </c>
      <c r="AG25" s="53">
        <v>19</v>
      </c>
      <c r="AH25" s="53">
        <v>71</v>
      </c>
      <c r="AI25" s="53">
        <v>355</v>
      </c>
      <c r="AJ25" s="53">
        <v>10</v>
      </c>
      <c r="AK25" s="53">
        <v>300</v>
      </c>
      <c r="AL25" s="53">
        <v>2</v>
      </c>
      <c r="AM25" s="53">
        <v>300</v>
      </c>
      <c r="AN25" s="53">
        <v>1</v>
      </c>
      <c r="AO25" s="53">
        <v>450</v>
      </c>
      <c r="AP25" s="53">
        <v>0</v>
      </c>
      <c r="AQ25" s="53">
        <v>0</v>
      </c>
      <c r="AR25" s="53">
        <v>0</v>
      </c>
      <c r="AS25" s="53">
        <v>0</v>
      </c>
      <c r="AT25" s="53">
        <v>36</v>
      </c>
      <c r="AU25" s="53">
        <v>124410</v>
      </c>
      <c r="AV25" s="53">
        <v>20</v>
      </c>
      <c r="AW25" s="53">
        <v>45483</v>
      </c>
      <c r="AX25" s="53">
        <v>0</v>
      </c>
      <c r="AY25" s="53">
        <v>360</v>
      </c>
      <c r="AZ25" s="53">
        <v>0</v>
      </c>
      <c r="BA25" s="53">
        <v>0</v>
      </c>
      <c r="BB25" s="53">
        <v>0</v>
      </c>
      <c r="BC25" s="53">
        <v>10573</v>
      </c>
      <c r="BD25" s="53">
        <v>0</v>
      </c>
      <c r="BF25" s="53">
        <f t="shared" si="1"/>
        <v>4133803.8</v>
      </c>
      <c r="BG25" s="53">
        <f t="shared" si="2"/>
        <v>1664155</v>
      </c>
      <c r="BH25" s="53">
        <f t="shared" si="3"/>
        <v>486828</v>
      </c>
      <c r="BI25" s="53">
        <f t="shared" si="4"/>
        <v>897834.4199999999</v>
      </c>
      <c r="BJ25" s="53">
        <f t="shared" si="5"/>
        <v>0</v>
      </c>
      <c r="BK25" s="53">
        <f>SUMIF(Renseanlæg!$A:$A,SPILDEVAND!A25,Renseanlæg!$I:$I)</f>
        <v>3728461.3835335826</v>
      </c>
      <c r="BL25" s="53">
        <f t="shared" si="6"/>
        <v>1709172</v>
      </c>
      <c r="BM25" s="53">
        <f t="shared" si="7"/>
        <v>1277218.4</v>
      </c>
      <c r="BN25" s="53">
        <v>43.80312693734844</v>
      </c>
      <c r="BO25" s="53">
        <f t="shared" si="8"/>
        <v>0.024924563884959925</v>
      </c>
      <c r="BP25" s="53">
        <f>SUM(BE25:BM25)</f>
        <v>13897473.003533583</v>
      </c>
      <c r="BQ25" s="53">
        <f>(0.527+0.016*BN25)*BP25</f>
        <v>17064012.65817667</v>
      </c>
      <c r="BR25" s="53">
        <f>(0.719+19.567*BO25)*BP25</f>
        <v>16770065.963403158</v>
      </c>
      <c r="BS25" s="53">
        <v>25038259</v>
      </c>
      <c r="BT25" s="53"/>
      <c r="BU25" s="53">
        <f aca="true" t="shared" si="49" ref="BU25:CB25">(BF25/(SUM($BF25:$BM25)))*100</f>
        <v>29.745003274688393</v>
      </c>
      <c r="BV25" s="53">
        <f t="shared" si="49"/>
        <v>11.974515076063616</v>
      </c>
      <c r="BW25" s="53">
        <f t="shared" si="49"/>
        <v>3.502996551072405</v>
      </c>
      <c r="BX25" s="53">
        <f t="shared" si="49"/>
        <v>6.460414924149993</v>
      </c>
      <c r="BY25" s="53">
        <f t="shared" si="49"/>
        <v>0</v>
      </c>
      <c r="BZ25" s="53">
        <f t="shared" si="49"/>
        <v>26.828340537776768</v>
      </c>
      <c r="CA25" s="53">
        <f t="shared" si="49"/>
        <v>12.298437273923286</v>
      </c>
      <c r="CB25" s="53">
        <f t="shared" si="49"/>
        <v>9.190292362325534</v>
      </c>
      <c r="CD25" s="53">
        <f t="shared" si="34"/>
        <v>42.438292188086336</v>
      </c>
      <c r="CF25" s="53">
        <f aca="true" t="shared" si="50" ref="CF25:CM25">BU$108-BU25</f>
        <v>-8.120367492346958</v>
      </c>
      <c r="CG25" s="53">
        <f t="shared" si="50"/>
        <v>8.176437718046037</v>
      </c>
      <c r="CH25" s="53">
        <f t="shared" si="50"/>
        <v>-1.4718157532775145</v>
      </c>
      <c r="CI25" s="53">
        <f t="shared" si="50"/>
        <v>-4.9696185337789345</v>
      </c>
      <c r="CJ25" s="53">
        <f t="shared" si="50"/>
        <v>0.05674468202527108</v>
      </c>
      <c r="CK25" s="53">
        <f t="shared" si="50"/>
        <v>7.373324210752074</v>
      </c>
      <c r="CL25" s="53">
        <f t="shared" si="50"/>
        <v>1.0803823062252125</v>
      </c>
      <c r="CM25" s="53">
        <f t="shared" si="50"/>
        <v>-2.125087137645191</v>
      </c>
      <c r="CO25" s="53">
        <f>$CD$108-CD25</f>
        <v>-11.717270383269668</v>
      </c>
      <c r="CP25" s="53">
        <f>IF(CO25&lt;$CD$111,(CO25-$CD$111)*0.3819*0.8,0)</f>
        <v>0</v>
      </c>
      <c r="CQ25" s="53">
        <f t="shared" si="43"/>
        <v>60.87322218829995</v>
      </c>
    </row>
    <row r="26" spans="1:95" ht="15">
      <c r="A26" s="54" t="s">
        <v>86</v>
      </c>
      <c r="B26" s="70">
        <v>4</v>
      </c>
      <c r="C26" s="16">
        <v>23754406.10088</v>
      </c>
      <c r="D26" s="51">
        <v>0.4822475708631524</v>
      </c>
      <c r="E26" s="16">
        <f t="shared" si="14"/>
        <v>11455504.639446227</v>
      </c>
      <c r="F26" s="51">
        <v>0.5111309</v>
      </c>
      <c r="G26" s="16">
        <f>F26*C26</f>
        <v>12141610.969308287</v>
      </c>
      <c r="H26" s="51">
        <v>0.3647848651052513</v>
      </c>
      <c r="I26" s="52">
        <f t="shared" si="44"/>
        <v>-0.21643082699140495</v>
      </c>
      <c r="J26" s="52">
        <f t="shared" si="45"/>
        <v>-0.06612394626241405</v>
      </c>
      <c r="K26" s="52">
        <f t="shared" si="48"/>
        <v>0.2986609188428373</v>
      </c>
      <c r="L26" s="16">
        <f t="shared" si="15"/>
        <v>7094512.752654721</v>
      </c>
      <c r="M26" s="16">
        <f t="shared" si="16"/>
        <v>12298901.461433774</v>
      </c>
      <c r="N26" s="52">
        <f t="shared" si="17"/>
        <v>0.07466522971070932</v>
      </c>
      <c r="O26" s="51">
        <f t="shared" si="18"/>
        <v>0.05</v>
      </c>
      <c r="P26" s="16">
        <f t="shared" si="19"/>
        <v>1187720.305044</v>
      </c>
      <c r="Q26" s="51"/>
      <c r="R26" s="16">
        <f t="shared" si="20"/>
        <v>13601628.6</v>
      </c>
      <c r="S26" s="16">
        <f t="shared" si="21"/>
        <v>21510730.420504663</v>
      </c>
      <c r="T26" s="16">
        <f t="shared" si="22"/>
        <v>20940945.828004386</v>
      </c>
      <c r="U26" s="16">
        <f t="shared" si="23"/>
        <v>18352509.820175998</v>
      </c>
      <c r="V26" s="16">
        <f t="shared" si="24"/>
        <v>26261611.640680663</v>
      </c>
      <c r="W26" s="16">
        <f t="shared" si="25"/>
        <v>25691827.048180386</v>
      </c>
      <c r="X26" s="54"/>
      <c r="Y26" s="53">
        <v>1</v>
      </c>
      <c r="Z26" s="53">
        <v>9</v>
      </c>
      <c r="AA26" s="53">
        <v>23</v>
      </c>
      <c r="AB26" s="53">
        <v>263</v>
      </c>
      <c r="AC26" s="53">
        <v>5</v>
      </c>
      <c r="AD26" s="53">
        <v>67</v>
      </c>
      <c r="AE26" s="53">
        <v>0</v>
      </c>
      <c r="AF26" s="53">
        <v>0</v>
      </c>
      <c r="AG26" s="53">
        <v>0</v>
      </c>
      <c r="AH26" s="53">
        <v>2</v>
      </c>
      <c r="AI26" s="53">
        <v>20</v>
      </c>
      <c r="AJ26" s="53">
        <v>14</v>
      </c>
      <c r="AK26" s="53">
        <v>387</v>
      </c>
      <c r="AL26" s="53">
        <v>1</v>
      </c>
      <c r="AM26" s="53">
        <v>250</v>
      </c>
      <c r="AN26" s="53">
        <v>1</v>
      </c>
      <c r="AO26" s="53">
        <v>400</v>
      </c>
      <c r="AP26" s="53">
        <v>1</v>
      </c>
      <c r="AQ26" s="53">
        <v>835</v>
      </c>
      <c r="AR26" s="53">
        <v>2</v>
      </c>
      <c r="AS26" s="53">
        <v>3685</v>
      </c>
      <c r="AT26" s="53">
        <v>0</v>
      </c>
      <c r="AU26" s="53">
        <v>0</v>
      </c>
      <c r="AV26" s="53">
        <v>6</v>
      </c>
      <c r="AW26" s="53">
        <v>8330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15433</v>
      </c>
      <c r="BD26" s="53">
        <v>943048</v>
      </c>
      <c r="BE26" s="53">
        <v>758780</v>
      </c>
      <c r="BF26" s="53">
        <f t="shared" si="1"/>
        <v>7536920</v>
      </c>
      <c r="BG26" s="53">
        <f t="shared" si="2"/>
        <v>3277188</v>
      </c>
      <c r="BH26" s="53">
        <f t="shared" si="3"/>
        <v>0</v>
      </c>
      <c r="BI26" s="53">
        <f t="shared" si="4"/>
        <v>164434.19999999998</v>
      </c>
      <c r="BJ26" s="53">
        <f t="shared" si="5"/>
        <v>0</v>
      </c>
      <c r="BK26" s="53">
        <f>SUMIF(Renseanlæg!$A:$A,SPILDEVAND!A26,Renseanlæg!$I:$I)</f>
        <v>0</v>
      </c>
      <c r="BL26" s="53">
        <f t="shared" si="6"/>
        <v>0</v>
      </c>
      <c r="BM26" s="53">
        <f t="shared" si="7"/>
        <v>1864306.4</v>
      </c>
      <c r="BN26" s="53">
        <v>65.90512324892045</v>
      </c>
      <c r="BO26" s="53">
        <f t="shared" si="8"/>
        <v>0.0419375</v>
      </c>
      <c r="BP26" s="53">
        <f t="shared" si="9"/>
        <v>13601628.6</v>
      </c>
      <c r="BQ26" s="53">
        <f t="shared" si="10"/>
        <v>21510730.420504663</v>
      </c>
      <c r="BR26" s="53">
        <f t="shared" si="11"/>
        <v>20940945.828004386</v>
      </c>
      <c r="BS26" s="53">
        <v>21535374</v>
      </c>
      <c r="BT26" s="53"/>
      <c r="BU26" s="53">
        <f t="shared" si="26"/>
        <v>58.685734253691976</v>
      </c>
      <c r="BV26" s="53">
        <f t="shared" si="27"/>
        <v>25.517609854872852</v>
      </c>
      <c r="BW26" s="53">
        <f t="shared" si="28"/>
        <v>0</v>
      </c>
      <c r="BX26" s="53">
        <f t="shared" si="29"/>
        <v>1.2803561353203212</v>
      </c>
      <c r="BY26" s="53">
        <f t="shared" si="30"/>
        <v>0</v>
      </c>
      <c r="BZ26" s="53">
        <f t="shared" si="31"/>
        <v>0</v>
      </c>
      <c r="CA26" s="53">
        <f t="shared" si="32"/>
        <v>0</v>
      </c>
      <c r="CB26" s="53">
        <f t="shared" si="33"/>
        <v>14.516299756114853</v>
      </c>
      <c r="CD26" s="53">
        <f t="shared" si="34"/>
        <v>73.20203400980682</v>
      </c>
      <c r="CF26" s="53">
        <f t="shared" si="35"/>
        <v>-37.06109847135054</v>
      </c>
      <c r="CG26" s="53">
        <f t="shared" si="36"/>
        <v>-5.366657060763199</v>
      </c>
      <c r="CH26" s="53">
        <f t="shared" si="37"/>
        <v>2.0311807977948906</v>
      </c>
      <c r="CI26" s="53">
        <f t="shared" si="38"/>
        <v>0.21044025505073738</v>
      </c>
      <c r="CJ26" s="53">
        <f t="shared" si="39"/>
        <v>0.05674468202527108</v>
      </c>
      <c r="CK26" s="53">
        <f t="shared" si="40"/>
        <v>34.20166474852884</v>
      </c>
      <c r="CL26" s="53">
        <f t="shared" si="41"/>
        <v>13.378819580148498</v>
      </c>
      <c r="CM26" s="53">
        <f t="shared" si="42"/>
        <v>-7.451094531434509</v>
      </c>
      <c r="CO26" s="53">
        <f t="shared" si="46"/>
        <v>-42.48101220499015</v>
      </c>
      <c r="CP26" s="53">
        <f t="shared" si="47"/>
        <v>-6.6123946262414055</v>
      </c>
      <c r="CQ26" s="53">
        <f t="shared" si="43"/>
        <v>100</v>
      </c>
    </row>
    <row r="27" spans="1:95" ht="15">
      <c r="A27" s="54" t="s">
        <v>87</v>
      </c>
      <c r="B27" s="70">
        <v>4</v>
      </c>
      <c r="C27" s="16">
        <v>18749988.5</v>
      </c>
      <c r="D27" s="51">
        <v>0.4307328328012775</v>
      </c>
      <c r="E27" s="16">
        <f t="shared" si="14"/>
        <v>8076235.6615963755</v>
      </c>
      <c r="F27" s="51"/>
      <c r="G27" s="16"/>
      <c r="H27" s="51">
        <v>0.3132701158338139</v>
      </c>
      <c r="I27" s="52">
        <f t="shared" si="44"/>
        <v>-0.23721047371635823</v>
      </c>
      <c r="J27" s="52">
        <f t="shared" si="45"/>
        <v>-0.07247254392982178</v>
      </c>
      <c r="K27" s="52">
        <f t="shared" si="48"/>
        <v>0.24079757190399215</v>
      </c>
      <c r="L27" s="16">
        <f t="shared" si="15"/>
        <v>4514951.704027776</v>
      </c>
      <c r="M27" s="16">
        <f t="shared" si="16"/>
        <v>10673752.838403624</v>
      </c>
      <c r="N27" s="52">
        <f t="shared" si="17"/>
        <v>0.06019939297599804</v>
      </c>
      <c r="O27" s="51">
        <f t="shared" si="18"/>
        <v>0.05</v>
      </c>
      <c r="P27" s="16">
        <f t="shared" si="19"/>
        <v>937499.425</v>
      </c>
      <c r="Q27" s="51"/>
      <c r="R27" s="16">
        <f t="shared" si="20"/>
        <v>11559554.4</v>
      </c>
      <c r="S27" s="16">
        <f t="shared" si="21"/>
        <v>16171389.576736249</v>
      </c>
      <c r="T27" s="16">
        <f t="shared" si="22"/>
        <v>18173858.259981964</v>
      </c>
      <c r="U27" s="16">
        <f t="shared" si="23"/>
        <v>15309552.100000001</v>
      </c>
      <c r="V27" s="16">
        <f t="shared" si="24"/>
        <v>19921387.27673625</v>
      </c>
      <c r="W27" s="16">
        <f t="shared" si="25"/>
        <v>21923855.959981963</v>
      </c>
      <c r="X27" s="54"/>
      <c r="Y27" s="53">
        <v>3</v>
      </c>
      <c r="Z27" s="53">
        <v>9</v>
      </c>
      <c r="AA27" s="53">
        <v>49</v>
      </c>
      <c r="AB27" s="53">
        <v>137</v>
      </c>
      <c r="AC27" s="53">
        <v>18</v>
      </c>
      <c r="AD27" s="53">
        <v>54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14</v>
      </c>
      <c r="AK27" s="53">
        <v>647</v>
      </c>
      <c r="AL27" s="53">
        <v>1</v>
      </c>
      <c r="AM27" s="53">
        <v>120</v>
      </c>
      <c r="AN27" s="53">
        <v>1</v>
      </c>
      <c r="AO27" s="53">
        <v>330</v>
      </c>
      <c r="AP27" s="53">
        <v>1</v>
      </c>
      <c r="AQ27" s="53">
        <v>800</v>
      </c>
      <c r="AR27" s="53">
        <v>1</v>
      </c>
      <c r="AS27" s="53">
        <v>1500</v>
      </c>
      <c r="AT27" s="53">
        <v>12</v>
      </c>
      <c r="AU27" s="53">
        <v>35000</v>
      </c>
      <c r="AV27" s="53">
        <v>12</v>
      </c>
      <c r="AW27" s="53">
        <v>47400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11773</v>
      </c>
      <c r="BD27" s="53">
        <v>354906</v>
      </c>
      <c r="BF27" s="53">
        <f t="shared" si="1"/>
        <v>7117578</v>
      </c>
      <c r="BG27" s="53">
        <f t="shared" si="2"/>
        <v>1921846</v>
      </c>
      <c r="BH27" s="53">
        <f t="shared" si="3"/>
        <v>162276</v>
      </c>
      <c r="BI27" s="53">
        <f t="shared" si="4"/>
        <v>935675.9999999999</v>
      </c>
      <c r="BJ27" s="53">
        <f t="shared" si="5"/>
        <v>0</v>
      </c>
      <c r="BK27" s="53">
        <f>SUMIF(Renseanlæg!$A:$A,SPILDEVAND!A27,Renseanlæg!$I:$I)</f>
        <v>0</v>
      </c>
      <c r="BL27" s="53">
        <f t="shared" si="6"/>
        <v>0</v>
      </c>
      <c r="BM27" s="53">
        <f t="shared" si="7"/>
        <v>1422178.4</v>
      </c>
      <c r="BN27" s="53">
        <v>54.497691147680875</v>
      </c>
      <c r="BO27" s="53">
        <f t="shared" si="8"/>
        <v>0.04360370370370371</v>
      </c>
      <c r="BP27" s="53">
        <f t="shared" si="9"/>
        <v>11559554.4</v>
      </c>
      <c r="BQ27" s="53">
        <f t="shared" si="10"/>
        <v>16171389.576736249</v>
      </c>
      <c r="BR27" s="53">
        <f t="shared" si="11"/>
        <v>18173858.259981964</v>
      </c>
      <c r="BS27" s="53">
        <v>18144010</v>
      </c>
      <c r="BT27" s="53"/>
      <c r="BU27" s="53">
        <f t="shared" si="26"/>
        <v>61.57311738590893</v>
      </c>
      <c r="BV27" s="53">
        <f t="shared" si="27"/>
        <v>16.625606260393567</v>
      </c>
      <c r="BW27" s="53">
        <f t="shared" si="28"/>
        <v>1.4038257391651705</v>
      </c>
      <c r="BX27" s="53">
        <f t="shared" si="29"/>
        <v>8.094395057304284</v>
      </c>
      <c r="BY27" s="53">
        <f t="shared" si="30"/>
        <v>0</v>
      </c>
      <c r="BZ27" s="53">
        <f t="shared" si="31"/>
        <v>0</v>
      </c>
      <c r="CA27" s="53">
        <f t="shared" si="32"/>
        <v>0</v>
      </c>
      <c r="CB27" s="53">
        <f t="shared" si="33"/>
        <v>12.303055557228053</v>
      </c>
      <c r="CD27" s="53">
        <f t="shared" si="34"/>
        <v>75.27999868230215</v>
      </c>
      <c r="CF27" s="53">
        <f t="shared" si="35"/>
        <v>-39.948481603567494</v>
      </c>
      <c r="CG27" s="53">
        <f t="shared" si="36"/>
        <v>3.5253465337160854</v>
      </c>
      <c r="CH27" s="53">
        <f t="shared" si="37"/>
        <v>0.6273550586297201</v>
      </c>
      <c r="CI27" s="53">
        <f t="shared" si="38"/>
        <v>-6.603598666933226</v>
      </c>
      <c r="CJ27" s="53">
        <f t="shared" si="39"/>
        <v>0.05674468202527108</v>
      </c>
      <c r="CK27" s="53">
        <f t="shared" si="40"/>
        <v>34.20166474852884</v>
      </c>
      <c r="CL27" s="53">
        <f t="shared" si="41"/>
        <v>13.378819580148498</v>
      </c>
      <c r="CM27" s="53">
        <f t="shared" si="42"/>
        <v>-5.237850332547709</v>
      </c>
      <c r="CO27" s="53">
        <f t="shared" si="46"/>
        <v>-44.55897687748548</v>
      </c>
      <c r="CP27" s="53">
        <f t="shared" si="47"/>
        <v>-7.247254392982177</v>
      </c>
      <c r="CQ27" s="53">
        <f t="shared" si="43"/>
        <v>100</v>
      </c>
    </row>
    <row r="28" spans="1:95" ht="15">
      <c r="A28" s="54" t="s">
        <v>126</v>
      </c>
      <c r="B28" s="70">
        <v>4</v>
      </c>
      <c r="C28" s="16">
        <v>7130966.949999999</v>
      </c>
      <c r="D28" s="51">
        <v>0.45224171925234324</v>
      </c>
      <c r="E28" s="16">
        <f t="shared" si="14"/>
        <v>3224920.753399638</v>
      </c>
      <c r="F28" s="51">
        <v>0.5140244</v>
      </c>
      <c r="G28" s="16">
        <f>F28*C28</f>
        <v>3665491.00789358</v>
      </c>
      <c r="H28" s="51">
        <v>0.31596775633295626</v>
      </c>
      <c r="I28" s="52">
        <f t="shared" si="44"/>
        <v>-0.397473001059562</v>
      </c>
      <c r="J28" s="52">
        <f t="shared" si="45"/>
        <v>-0.1214359512837174</v>
      </c>
      <c r="K28" s="52">
        <f t="shared" si="48"/>
        <v>0.19453180504923887</v>
      </c>
      <c r="L28" s="16">
        <f t="shared" si="15"/>
        <v>1387199.8725299654</v>
      </c>
      <c r="M28" s="16">
        <f>IF(D28&gt;0,C28-E28,"Over front")</f>
        <v>3906046.1966003613</v>
      </c>
      <c r="N28" s="52">
        <f t="shared" si="17"/>
        <v>0.048632951262309716</v>
      </c>
      <c r="O28" s="51">
        <f t="shared" si="18"/>
        <v>0.048632951262309716</v>
      </c>
      <c r="P28" s="16">
        <f t="shared" si="19"/>
        <v>346799.96813249134</v>
      </c>
      <c r="Q28" s="51"/>
      <c r="R28" s="16">
        <f t="shared" si="20"/>
        <v>5732635.8</v>
      </c>
      <c r="S28" s="16">
        <f t="shared" si="21"/>
        <v>6960919.268747916</v>
      </c>
      <c r="T28" s="16">
        <f t="shared" si="22"/>
        <v>6224411.8729816</v>
      </c>
      <c r="U28" s="16">
        <f t="shared" si="23"/>
        <v>7158829.1899999995</v>
      </c>
      <c r="V28" s="16">
        <f t="shared" si="24"/>
        <v>8387112.658747916</v>
      </c>
      <c r="W28" s="16">
        <f t="shared" si="25"/>
        <v>7650605.2629816</v>
      </c>
      <c r="X28" s="54"/>
      <c r="Y28" s="53">
        <v>2</v>
      </c>
      <c r="Z28" s="53">
        <v>2</v>
      </c>
      <c r="AA28" s="53">
        <v>50</v>
      </c>
      <c r="AB28" s="53">
        <v>112</v>
      </c>
      <c r="AC28" s="53">
        <v>12</v>
      </c>
      <c r="AD28" s="53">
        <v>26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3</v>
      </c>
      <c r="AK28" s="53">
        <v>161</v>
      </c>
      <c r="AL28" s="53">
        <v>1</v>
      </c>
      <c r="AM28" s="53">
        <v>112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12</v>
      </c>
      <c r="AU28" s="53">
        <v>34870</v>
      </c>
      <c r="AV28" s="53">
        <v>7</v>
      </c>
      <c r="AW28" s="53">
        <v>13490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3824</v>
      </c>
      <c r="BD28" s="53">
        <v>21916</v>
      </c>
      <c r="BE28" s="53">
        <v>646595</v>
      </c>
      <c r="BF28" s="53">
        <f t="shared" si="1"/>
        <v>4019658</v>
      </c>
      <c r="BG28" s="53">
        <f t="shared" si="2"/>
        <v>175875</v>
      </c>
      <c r="BH28" s="53">
        <f t="shared" si="3"/>
        <v>162276</v>
      </c>
      <c r="BI28" s="53">
        <f t="shared" si="4"/>
        <v>266292.6</v>
      </c>
      <c r="BJ28" s="53">
        <f t="shared" si="5"/>
        <v>0</v>
      </c>
      <c r="BK28" s="53">
        <f>SUMIF(Renseanlæg!$A:$A,SPILDEVAND!A28,Renseanlæg!$I:$I)</f>
        <v>0</v>
      </c>
      <c r="BL28" s="53">
        <f t="shared" si="6"/>
        <v>0</v>
      </c>
      <c r="BM28" s="53">
        <f t="shared" si="7"/>
        <v>461939.2</v>
      </c>
      <c r="BN28" s="53">
        <v>42.95384727462448</v>
      </c>
      <c r="BO28" s="53">
        <f t="shared" si="8"/>
        <v>0.018745098039215688</v>
      </c>
      <c r="BP28" s="53">
        <f t="shared" si="9"/>
        <v>5732635.8</v>
      </c>
      <c r="BQ28" s="53">
        <f t="shared" si="10"/>
        <v>6960919.268747916</v>
      </c>
      <c r="BR28" s="53">
        <f t="shared" si="11"/>
        <v>6224411.8729816</v>
      </c>
      <c r="BS28" s="53">
        <v>5070954</v>
      </c>
      <c r="BT28" s="53"/>
      <c r="BU28" s="53">
        <f t="shared" si="26"/>
        <v>79.0331449956123</v>
      </c>
      <c r="BV28" s="53">
        <f t="shared" si="27"/>
        <v>3.4579942811312097</v>
      </c>
      <c r="BW28" s="53">
        <f t="shared" si="28"/>
        <v>3.19061538004178</v>
      </c>
      <c r="BX28" s="53">
        <f t="shared" si="29"/>
        <v>5.235754302246258</v>
      </c>
      <c r="BY28" s="53">
        <f t="shared" si="30"/>
        <v>0</v>
      </c>
      <c r="BZ28" s="53">
        <f t="shared" si="31"/>
        <v>0</v>
      </c>
      <c r="CA28" s="53">
        <f t="shared" si="32"/>
        <v>0</v>
      </c>
      <c r="CB28" s="53">
        <f t="shared" si="33"/>
        <v>9.08249104096845</v>
      </c>
      <c r="CD28" s="53">
        <f t="shared" si="34"/>
        <v>91.30625141662253</v>
      </c>
      <c r="CF28" s="53">
        <f t="shared" si="35"/>
        <v>-57.40850921327087</v>
      </c>
      <c r="CG28" s="53">
        <f t="shared" si="36"/>
        <v>16.692958512978443</v>
      </c>
      <c r="CH28" s="53">
        <f t="shared" si="37"/>
        <v>-1.1594345822468894</v>
      </c>
      <c r="CI28" s="53">
        <f t="shared" si="38"/>
        <v>-3.7449579118751997</v>
      </c>
      <c r="CJ28" s="53">
        <f t="shared" si="39"/>
        <v>0.05674468202527108</v>
      </c>
      <c r="CK28" s="53">
        <f t="shared" si="40"/>
        <v>34.20166474852884</v>
      </c>
      <c r="CL28" s="53">
        <f t="shared" si="41"/>
        <v>13.378819580148498</v>
      </c>
      <c r="CM28" s="53">
        <f t="shared" si="42"/>
        <v>-2.0172858162881058</v>
      </c>
      <c r="CO28" s="53">
        <f t="shared" si="46"/>
        <v>-60.58522961180586</v>
      </c>
      <c r="CP28" s="53">
        <f t="shared" si="47"/>
        <v>-12.14359512837174</v>
      </c>
      <c r="CQ28" s="53">
        <f t="shared" si="43"/>
        <v>100</v>
      </c>
    </row>
    <row r="29" spans="1:95" ht="15">
      <c r="A29" s="54" t="s">
        <v>98</v>
      </c>
      <c r="B29" s="70">
        <v>4</v>
      </c>
      <c r="C29" s="16">
        <v>26642405.15</v>
      </c>
      <c r="D29" s="51">
        <v>0.33669927263775856</v>
      </c>
      <c r="E29" s="16">
        <f t="shared" si="14"/>
        <v>8970478.435325472</v>
      </c>
      <c r="F29" s="51">
        <v>0.340359</v>
      </c>
      <c r="G29" s="16">
        <f>F29*C29</f>
        <v>9067982.37444885</v>
      </c>
      <c r="H29" s="51">
        <v>0.2004252714980289</v>
      </c>
      <c r="I29" s="52">
        <f t="shared" si="44"/>
        <v>0</v>
      </c>
      <c r="J29" s="52">
        <f t="shared" si="45"/>
        <v>0</v>
      </c>
      <c r="K29" s="52">
        <f t="shared" si="48"/>
        <v>0</v>
      </c>
      <c r="L29" s="16">
        <f t="shared" si="15"/>
        <v>5339811.285549234</v>
      </c>
      <c r="M29" s="16">
        <f t="shared" si="16"/>
        <v>17671926.714674525</v>
      </c>
      <c r="N29" s="52">
        <f t="shared" si="17"/>
        <v>0.05010631787450723</v>
      </c>
      <c r="O29" s="51">
        <f t="shared" si="18"/>
        <v>0.05</v>
      </c>
      <c r="P29" s="16">
        <f t="shared" si="19"/>
        <v>1332120.2575</v>
      </c>
      <c r="Q29" s="51"/>
      <c r="R29" s="16">
        <f t="shared" si="20"/>
        <v>25935874.136192005</v>
      </c>
      <c r="S29" s="16">
        <f t="shared" si="21"/>
        <v>29714012.153102785</v>
      </c>
      <c r="T29" s="16">
        <f t="shared" si="22"/>
        <v>27028951.445717502</v>
      </c>
      <c r="U29" s="16">
        <f t="shared" si="23"/>
        <v>31264355.166192006</v>
      </c>
      <c r="V29" s="16">
        <f t="shared" si="24"/>
        <v>35042493.18310279</v>
      </c>
      <c r="W29" s="16">
        <f t="shared" si="25"/>
        <v>32357432.475717504</v>
      </c>
      <c r="X29" s="54"/>
      <c r="Y29" s="53">
        <v>27</v>
      </c>
      <c r="Z29" s="53">
        <v>9</v>
      </c>
      <c r="AA29" s="53">
        <v>528</v>
      </c>
      <c r="AB29" s="53">
        <v>204</v>
      </c>
      <c r="AC29" s="53">
        <v>35</v>
      </c>
      <c r="AD29" s="53">
        <v>7</v>
      </c>
      <c r="AE29" s="53">
        <v>0</v>
      </c>
      <c r="AF29" s="53">
        <v>0</v>
      </c>
      <c r="AG29" s="53">
        <v>0</v>
      </c>
      <c r="AH29" s="53">
        <v>12</v>
      </c>
      <c r="AI29" s="53">
        <v>57</v>
      </c>
      <c r="AJ29" s="53">
        <v>52</v>
      </c>
      <c r="AK29" s="53">
        <v>3027</v>
      </c>
      <c r="AL29" s="53">
        <v>3</v>
      </c>
      <c r="AM29" s="53">
        <v>720</v>
      </c>
      <c r="AN29" s="53">
        <v>0</v>
      </c>
      <c r="AO29" s="53">
        <v>0</v>
      </c>
      <c r="AP29" s="53">
        <v>0</v>
      </c>
      <c r="AQ29" s="53">
        <v>0</v>
      </c>
      <c r="AR29" s="53">
        <v>1</v>
      </c>
      <c r="AS29" s="53">
        <v>1100</v>
      </c>
      <c r="AT29" s="53">
        <v>47</v>
      </c>
      <c r="AU29" s="53">
        <v>324795</v>
      </c>
      <c r="AV29" s="53">
        <v>7</v>
      </c>
      <c r="AW29" s="53">
        <v>38648</v>
      </c>
      <c r="AX29" s="53">
        <v>1483</v>
      </c>
      <c r="AY29" s="53">
        <v>0</v>
      </c>
      <c r="AZ29" s="53">
        <v>0</v>
      </c>
      <c r="BA29" s="53">
        <v>0</v>
      </c>
      <c r="BB29" s="53">
        <v>0</v>
      </c>
      <c r="BC29" s="53">
        <v>13377</v>
      </c>
      <c r="BD29" s="53">
        <v>2342877</v>
      </c>
      <c r="BE29" s="53">
        <v>143100</v>
      </c>
      <c r="BF29" s="53">
        <f t="shared" si="1"/>
        <v>6943968</v>
      </c>
      <c r="BG29" s="53">
        <f t="shared" si="2"/>
        <v>2398608</v>
      </c>
      <c r="BH29" s="53">
        <f t="shared" si="3"/>
        <v>635581</v>
      </c>
      <c r="BI29" s="53">
        <f t="shared" si="4"/>
        <v>762911.5199999999</v>
      </c>
      <c r="BJ29" s="53">
        <f t="shared" si="5"/>
        <v>0</v>
      </c>
      <c r="BK29" s="53">
        <f>SUMIF(Renseanlæg!$A:$A,SPILDEVAND!A29,Renseanlæg!$I:$I)</f>
        <v>7555075.816192003</v>
      </c>
      <c r="BL29" s="53">
        <f t="shared" si="6"/>
        <v>5880688.2</v>
      </c>
      <c r="BM29" s="53">
        <f t="shared" si="7"/>
        <v>1615941.5999999999</v>
      </c>
      <c r="BN29" s="53">
        <v>38.66701773543323</v>
      </c>
      <c r="BO29" s="53">
        <f t="shared" si="8"/>
        <v>0.016514814814814816</v>
      </c>
      <c r="BP29" s="53">
        <f t="shared" si="9"/>
        <v>25935874.136192005</v>
      </c>
      <c r="BQ29" s="53">
        <f t="shared" si="10"/>
        <v>29714012.153102785</v>
      </c>
      <c r="BR29" s="53">
        <f t="shared" si="11"/>
        <v>27028951.445717502</v>
      </c>
      <c r="BS29" s="53">
        <v>26896504</v>
      </c>
      <c r="BT29" s="53"/>
      <c r="BU29" s="53">
        <f t="shared" si="26"/>
        <v>26.922144796578262</v>
      </c>
      <c r="BV29" s="53">
        <f t="shared" si="27"/>
        <v>9.299534774099044</v>
      </c>
      <c r="BW29" s="53">
        <f t="shared" si="28"/>
        <v>2.464182397147281</v>
      </c>
      <c r="BX29" s="53">
        <f t="shared" si="29"/>
        <v>2.957849806971693</v>
      </c>
      <c r="BY29" s="53">
        <f t="shared" si="30"/>
        <v>0</v>
      </c>
      <c r="BZ29" s="53">
        <f t="shared" si="31"/>
        <v>29.291443317804433</v>
      </c>
      <c r="CA29" s="53">
        <f t="shared" si="32"/>
        <v>22.799750693541387</v>
      </c>
      <c r="CB29" s="53">
        <f t="shared" si="33"/>
        <v>6.265094213857891</v>
      </c>
      <c r="CD29" s="53">
        <f t="shared" si="34"/>
        <v>35.651421407583435</v>
      </c>
      <c r="CF29" s="53">
        <f t="shared" si="35"/>
        <v>-5.297509014236827</v>
      </c>
      <c r="CG29" s="53">
        <f t="shared" si="36"/>
        <v>10.851418020010609</v>
      </c>
      <c r="CH29" s="53">
        <f t="shared" si="37"/>
        <v>-0.43300159935239035</v>
      </c>
      <c r="CI29" s="53">
        <f t="shared" si="38"/>
        <v>-1.4670534166006344</v>
      </c>
      <c r="CJ29" s="53">
        <f t="shared" si="39"/>
        <v>0.05674468202527108</v>
      </c>
      <c r="CK29" s="53">
        <f t="shared" si="40"/>
        <v>4.910221430724409</v>
      </c>
      <c r="CL29" s="53">
        <f t="shared" si="41"/>
        <v>-9.42093111339289</v>
      </c>
      <c r="CM29" s="53">
        <f t="shared" si="42"/>
        <v>0.8001110108224525</v>
      </c>
      <c r="CO29" s="53">
        <f t="shared" si="46"/>
        <v>-4.930399602766766</v>
      </c>
      <c r="CP29" s="53">
        <f t="shared" si="47"/>
        <v>0</v>
      </c>
      <c r="CQ29" s="53">
        <f t="shared" si="43"/>
        <v>47.90880598865418</v>
      </c>
    </row>
    <row r="30" spans="1:95" ht="15">
      <c r="A30" s="54" t="s">
        <v>113</v>
      </c>
      <c r="B30" s="70">
        <v>2</v>
      </c>
      <c r="C30" s="58">
        <v>33509737.74944309</v>
      </c>
      <c r="D30" s="51">
        <v>0.13404323</v>
      </c>
      <c r="E30" s="16">
        <f t="shared" si="14"/>
        <v>4491753.484388283</v>
      </c>
      <c r="F30" s="51">
        <v>0.1541573</v>
      </c>
      <c r="G30" s="16">
        <f>F30*C30</f>
        <v>5165770.695162224</v>
      </c>
      <c r="H30" s="51">
        <v>0.016580511</v>
      </c>
      <c r="I30" s="52">
        <f t="shared" si="44"/>
        <v>0</v>
      </c>
      <c r="J30" s="52">
        <f t="shared" si="45"/>
        <v>0</v>
      </c>
      <c r="K30" s="52">
        <f t="shared" si="48"/>
        <v>0</v>
      </c>
      <c r="L30" s="16">
        <f t="shared" si="15"/>
        <v>555608.5753617564</v>
      </c>
      <c r="M30" s="16">
        <f t="shared" si="16"/>
        <v>29017984.265054807</v>
      </c>
      <c r="N30" s="52">
        <f t="shared" si="17"/>
        <v>0.00414512775</v>
      </c>
      <c r="O30" s="51">
        <f t="shared" si="18"/>
        <v>0</v>
      </c>
      <c r="P30" s="16">
        <f t="shared" si="19"/>
        <v>0</v>
      </c>
      <c r="Q30" s="51"/>
      <c r="R30" s="16">
        <f t="shared" si="20"/>
        <v>37542237.592306405</v>
      </c>
      <c r="S30" s="16">
        <f t="shared" si="21"/>
        <v>40396433.112902835</v>
      </c>
      <c r="T30" s="16">
        <f t="shared" si="22"/>
        <v>49407994.497319095</v>
      </c>
      <c r="U30" s="16">
        <f t="shared" si="23"/>
        <v>44244185.14219502</v>
      </c>
      <c r="V30" s="16">
        <f t="shared" si="24"/>
        <v>47098380.66279145</v>
      </c>
      <c r="W30" s="16">
        <f t="shared" si="25"/>
        <v>56109942.04720771</v>
      </c>
      <c r="X30" s="54"/>
      <c r="Y30" s="53">
        <v>360</v>
      </c>
      <c r="Z30" s="53">
        <v>47</v>
      </c>
      <c r="AA30" s="53">
        <v>214</v>
      </c>
      <c r="AB30" s="53">
        <v>122</v>
      </c>
      <c r="AC30" s="53">
        <v>10</v>
      </c>
      <c r="AD30" s="53">
        <v>6</v>
      </c>
      <c r="AE30" s="53">
        <v>0</v>
      </c>
      <c r="AF30" s="53">
        <v>0</v>
      </c>
      <c r="AG30" s="53">
        <v>400</v>
      </c>
      <c r="AH30" s="53">
        <v>100</v>
      </c>
      <c r="AI30" s="53">
        <v>800</v>
      </c>
      <c r="AJ30" s="53">
        <v>180</v>
      </c>
      <c r="AK30" s="53">
        <v>9000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44</v>
      </c>
      <c r="AU30" s="53">
        <v>100210</v>
      </c>
      <c r="AV30" s="53">
        <v>39</v>
      </c>
      <c r="AW30" s="53">
        <v>21788</v>
      </c>
      <c r="AX30" s="53">
        <v>1200</v>
      </c>
      <c r="AY30" s="53">
        <v>0</v>
      </c>
      <c r="AZ30" s="53">
        <v>0</v>
      </c>
      <c r="BA30" s="53">
        <v>1</v>
      </c>
      <c r="BB30" s="53">
        <v>5</v>
      </c>
      <c r="BC30" s="53">
        <v>23160</v>
      </c>
      <c r="BD30" s="53">
        <v>4511193</v>
      </c>
      <c r="BE30" s="53">
        <v>872015</v>
      </c>
      <c r="BF30" s="53">
        <f t="shared" si="1"/>
        <v>4572705</v>
      </c>
      <c r="BG30" s="53">
        <f t="shared" si="2"/>
        <v>8420960</v>
      </c>
      <c r="BH30" s="53">
        <f t="shared" si="3"/>
        <v>595012</v>
      </c>
      <c r="BI30" s="53">
        <f t="shared" si="4"/>
        <v>430095.11999999994</v>
      </c>
      <c r="BJ30" s="53">
        <f t="shared" si="5"/>
        <v>2540</v>
      </c>
      <c r="BK30" s="53">
        <f>SUMIF(Renseanlæg!$A:$A,SPILDEVAND!A30,Renseanlæg!$I:$I)</f>
        <v>15092702.472306404</v>
      </c>
      <c r="BL30" s="53">
        <f t="shared" si="6"/>
        <v>4758480</v>
      </c>
      <c r="BM30" s="53">
        <f t="shared" si="7"/>
        <v>2797728</v>
      </c>
      <c r="BN30" s="53">
        <v>34.31414059144503</v>
      </c>
      <c r="BO30" s="53">
        <f t="shared" si="8"/>
        <v>0.030513833992094862</v>
      </c>
      <c r="BP30" s="53">
        <f t="shared" si="9"/>
        <v>37542237.592306405</v>
      </c>
      <c r="BQ30" s="53">
        <f t="shared" si="10"/>
        <v>40396433.112902835</v>
      </c>
      <c r="BR30" s="53">
        <f t="shared" si="11"/>
        <v>49407994.497319095</v>
      </c>
      <c r="BS30" s="53">
        <v>33576967</v>
      </c>
      <c r="BT30" s="53"/>
      <c r="BU30" s="53">
        <f t="shared" si="26"/>
        <v>12.469804317357418</v>
      </c>
      <c r="BV30" s="53">
        <f t="shared" si="27"/>
        <v>22.96402749888614</v>
      </c>
      <c r="BW30" s="53">
        <f t="shared" si="28"/>
        <v>1.6226026403364033</v>
      </c>
      <c r="BX30" s="53">
        <f t="shared" si="29"/>
        <v>1.172872945936892</v>
      </c>
      <c r="BY30" s="53">
        <f t="shared" si="30"/>
        <v>0.0069266009869623875</v>
      </c>
      <c r="BZ30" s="53">
        <f t="shared" si="31"/>
        <v>41.15792434669575</v>
      </c>
      <c r="CA30" s="53">
        <f t="shared" si="32"/>
        <v>12.976414277338892</v>
      </c>
      <c r="CB30" s="53">
        <f t="shared" si="33"/>
        <v>7.629427372461538</v>
      </c>
      <c r="CD30" s="53">
        <f t="shared" si="34"/>
        <v>21.72183433015536</v>
      </c>
      <c r="CF30" s="53">
        <f t="shared" si="35"/>
        <v>9.154831464984017</v>
      </c>
      <c r="CG30" s="53">
        <f t="shared" si="36"/>
        <v>-2.8130747047764864</v>
      </c>
      <c r="CH30" s="53">
        <f t="shared" si="37"/>
        <v>0.40857815745848725</v>
      </c>
      <c r="CI30" s="53">
        <f t="shared" si="38"/>
        <v>0.31792344443416654</v>
      </c>
      <c r="CJ30" s="53">
        <f t="shared" si="39"/>
        <v>0.0498180810383087</v>
      </c>
      <c r="CK30" s="53">
        <f t="shared" si="40"/>
        <v>-6.956259598166909</v>
      </c>
      <c r="CL30" s="53">
        <f t="shared" si="41"/>
        <v>0.4024053028096066</v>
      </c>
      <c r="CM30" s="53">
        <f t="shared" si="42"/>
        <v>-0.5642221477811944</v>
      </c>
      <c r="CO30" s="53">
        <f t="shared" si="46"/>
        <v>8.999187474661309</v>
      </c>
      <c r="CP30" s="53">
        <f t="shared" si="47"/>
        <v>0</v>
      </c>
      <c r="CQ30" s="53">
        <f t="shared" si="43"/>
        <v>45.85873477497839</v>
      </c>
    </row>
    <row r="31" spans="1:95" ht="15">
      <c r="A31" s="54" t="s">
        <v>101</v>
      </c>
      <c r="B31" s="70">
        <v>2</v>
      </c>
      <c r="C31" s="16">
        <v>38899659.27504825</v>
      </c>
      <c r="D31" s="51">
        <v>0</v>
      </c>
      <c r="E31" s="16">
        <f t="shared" si="14"/>
        <v>0</v>
      </c>
      <c r="F31" s="51"/>
      <c r="G31" s="16"/>
      <c r="H31" s="51">
        <v>0</v>
      </c>
      <c r="I31" s="52">
        <f t="shared" si="44"/>
        <v>0</v>
      </c>
      <c r="J31" s="52">
        <f t="shared" si="45"/>
        <v>0</v>
      </c>
      <c r="K31" s="52">
        <f t="shared" si="48"/>
        <v>0</v>
      </c>
      <c r="L31" s="16">
        <f t="shared" si="15"/>
        <v>0</v>
      </c>
      <c r="M31" s="16">
        <v>47714190</v>
      </c>
      <c r="N31" s="52">
        <f t="shared" si="17"/>
        <v>0</v>
      </c>
      <c r="O31" s="51">
        <f t="shared" si="18"/>
        <v>0</v>
      </c>
      <c r="P31" s="16">
        <f t="shared" si="19"/>
        <v>0</v>
      </c>
      <c r="Q31" s="51"/>
      <c r="R31" s="16">
        <f t="shared" si="20"/>
        <v>66857402.45758308</v>
      </c>
      <c r="S31" s="16">
        <f t="shared" si="21"/>
        <v>76487425.72829366</v>
      </c>
      <c r="T31" s="16">
        <f t="shared" si="22"/>
        <v>72754118.03061691</v>
      </c>
      <c r="U31" s="16">
        <f t="shared" si="23"/>
        <v>74637334.31259273</v>
      </c>
      <c r="V31" s="16">
        <f t="shared" si="24"/>
        <v>84267357.5833033</v>
      </c>
      <c r="W31" s="16">
        <f t="shared" si="25"/>
        <v>80534049.88562655</v>
      </c>
      <c r="X31" s="54"/>
      <c r="Y31" s="53">
        <v>484</v>
      </c>
      <c r="Z31" s="53">
        <v>322</v>
      </c>
      <c r="AA31" s="53">
        <v>302</v>
      </c>
      <c r="AB31" s="53">
        <v>384</v>
      </c>
      <c r="AC31" s="53">
        <v>5</v>
      </c>
      <c r="AD31" s="53">
        <v>23</v>
      </c>
      <c r="AE31" s="53">
        <v>0</v>
      </c>
      <c r="AF31" s="53">
        <v>0</v>
      </c>
      <c r="AG31" s="53">
        <v>1350</v>
      </c>
      <c r="AH31" s="53">
        <v>300</v>
      </c>
      <c r="AI31" s="53">
        <v>2400</v>
      </c>
      <c r="AJ31" s="53">
        <v>572</v>
      </c>
      <c r="AK31" s="53">
        <v>14000</v>
      </c>
      <c r="AL31" s="53">
        <v>20</v>
      </c>
      <c r="AM31" s="53">
        <v>3600</v>
      </c>
      <c r="AN31" s="53">
        <v>0</v>
      </c>
      <c r="AO31" s="53">
        <v>0</v>
      </c>
      <c r="AP31" s="53">
        <v>0</v>
      </c>
      <c r="AQ31" s="53">
        <v>0</v>
      </c>
      <c r="AR31" s="53">
        <v>2</v>
      </c>
      <c r="AS31" s="53">
        <v>2000</v>
      </c>
      <c r="AT31" s="53">
        <v>33</v>
      </c>
      <c r="AU31" s="53">
        <v>36300</v>
      </c>
      <c r="AV31" s="53">
        <v>25</v>
      </c>
      <c r="AW31" s="53">
        <v>8500</v>
      </c>
      <c r="AX31" s="53">
        <v>566</v>
      </c>
      <c r="AY31" s="53">
        <v>238</v>
      </c>
      <c r="AZ31" s="53">
        <v>125</v>
      </c>
      <c r="BA31" s="53">
        <v>1</v>
      </c>
      <c r="BB31" s="53">
        <v>10</v>
      </c>
      <c r="BC31" s="53">
        <v>28680</v>
      </c>
      <c r="BD31" s="53">
        <v>6121750</v>
      </c>
      <c r="BF31" s="53">
        <f t="shared" si="1"/>
        <v>8822732</v>
      </c>
      <c r="BG31" s="53">
        <f t="shared" si="2"/>
        <v>30289144</v>
      </c>
      <c r="BH31" s="53">
        <f t="shared" si="3"/>
        <v>446259</v>
      </c>
      <c r="BI31" s="53">
        <f t="shared" si="4"/>
        <v>167790</v>
      </c>
      <c r="BJ31" s="53">
        <f t="shared" si="5"/>
        <v>2540</v>
      </c>
      <c r="BK31" s="53">
        <f>SUMIF(Renseanlæg!$A:$A,SPILDEVAND!A31,Renseanlæg!$I:$I)</f>
        <v>19696561.957583077</v>
      </c>
      <c r="BL31" s="53">
        <f t="shared" si="6"/>
        <v>3967831.5</v>
      </c>
      <c r="BM31" s="53">
        <f t="shared" si="7"/>
        <v>3464544</v>
      </c>
      <c r="BN31" s="53">
        <v>38.56489064479456</v>
      </c>
      <c r="BO31" s="53">
        <f t="shared" si="8"/>
        <v>0.01886842105263158</v>
      </c>
      <c r="BP31" s="53">
        <f t="shared" si="9"/>
        <v>66857402.45758308</v>
      </c>
      <c r="BQ31" s="53">
        <f t="shared" si="10"/>
        <v>76487425.72829366</v>
      </c>
      <c r="BR31" s="53">
        <f t="shared" si="11"/>
        <v>72754118.03061691</v>
      </c>
      <c r="BS31" s="53">
        <v>41076623</v>
      </c>
      <c r="BT31" s="53"/>
      <c r="BU31" s="53">
        <f t="shared" si="26"/>
        <v>13.196342776848805</v>
      </c>
      <c r="BV31" s="53">
        <f t="shared" si="27"/>
        <v>45.30409930181868</v>
      </c>
      <c r="BW31" s="53">
        <f t="shared" si="28"/>
        <v>0.6674788184945175</v>
      </c>
      <c r="BX31" s="53">
        <f t="shared" si="29"/>
        <v>0.2509669742351305</v>
      </c>
      <c r="BY31" s="53">
        <f t="shared" si="30"/>
        <v>0.0037991305474535516</v>
      </c>
      <c r="BZ31" s="53">
        <f t="shared" si="31"/>
        <v>29.460555201915504</v>
      </c>
      <c r="CA31" s="53">
        <f t="shared" si="32"/>
        <v>5.93476766094427</v>
      </c>
      <c r="CB31" s="53">
        <f t="shared" si="33"/>
        <v>5.181990135195636</v>
      </c>
      <c r="CD31" s="53">
        <f t="shared" si="34"/>
        <v>19.045811730538958</v>
      </c>
      <c r="CF31" s="53">
        <f t="shared" si="35"/>
        <v>8.42829300549263</v>
      </c>
      <c r="CG31" s="53">
        <f t="shared" si="36"/>
        <v>-25.153146507709028</v>
      </c>
      <c r="CH31" s="53">
        <f t="shared" si="37"/>
        <v>1.363701979300373</v>
      </c>
      <c r="CI31" s="53">
        <f t="shared" si="38"/>
        <v>1.2398294161359282</v>
      </c>
      <c r="CJ31" s="53">
        <f t="shared" si="39"/>
        <v>0.05294555147781753</v>
      </c>
      <c r="CK31" s="53">
        <f t="shared" si="40"/>
        <v>4.7411095466133375</v>
      </c>
      <c r="CL31" s="53">
        <f t="shared" si="41"/>
        <v>7.444051919204228</v>
      </c>
      <c r="CM31" s="53">
        <f t="shared" si="42"/>
        <v>1.8832150894847075</v>
      </c>
      <c r="CO31" s="53">
        <f t="shared" si="46"/>
        <v>11.675210074277711</v>
      </c>
      <c r="CP31" s="53">
        <f t="shared" si="47"/>
        <v>0</v>
      </c>
      <c r="CQ31" s="53">
        <f t="shared" si="43"/>
        <v>64.60087800659278</v>
      </c>
    </row>
    <row r="32" spans="1:95" ht="15">
      <c r="A32" s="54" t="s">
        <v>120</v>
      </c>
      <c r="B32" s="70">
        <v>2</v>
      </c>
      <c r="C32" s="16">
        <v>38800851.276070066</v>
      </c>
      <c r="D32" s="51">
        <v>0.26152524025791213</v>
      </c>
      <c r="E32" s="16">
        <f t="shared" si="14"/>
        <v>10147401.95218574</v>
      </c>
      <c r="F32" s="51"/>
      <c r="G32" s="16"/>
      <c r="H32" s="51">
        <v>0.12525124263032184</v>
      </c>
      <c r="I32" s="52">
        <f t="shared" si="44"/>
        <v>0</v>
      </c>
      <c r="J32" s="52">
        <f t="shared" si="45"/>
        <v>0</v>
      </c>
      <c r="K32" s="52">
        <f t="shared" si="48"/>
        <v>0</v>
      </c>
      <c r="L32" s="16">
        <f t="shared" si="15"/>
        <v>4859854.837442084</v>
      </c>
      <c r="M32" s="16">
        <f t="shared" si="16"/>
        <v>28653449.323884323</v>
      </c>
      <c r="N32" s="52">
        <f t="shared" si="17"/>
        <v>0.03131281065758046</v>
      </c>
      <c r="O32" s="51">
        <f t="shared" si="18"/>
        <v>0.03131281065758046</v>
      </c>
      <c r="P32" s="16">
        <f t="shared" si="19"/>
        <v>1214963.709360521</v>
      </c>
      <c r="Q32" s="51"/>
      <c r="R32" s="16">
        <f t="shared" si="20"/>
        <v>42052700.80633779</v>
      </c>
      <c r="S32" s="16">
        <f t="shared" si="21"/>
        <v>43915258.279112704</v>
      </c>
      <c r="T32" s="16">
        <f t="shared" si="22"/>
        <v>45718452.04251395</v>
      </c>
      <c r="U32" s="16">
        <f t="shared" si="23"/>
        <v>49812871.0615518</v>
      </c>
      <c r="V32" s="16">
        <f t="shared" si="24"/>
        <v>51675428.53432672</v>
      </c>
      <c r="W32" s="16">
        <f t="shared" si="25"/>
        <v>53478622.297727965</v>
      </c>
      <c r="X32" s="54"/>
      <c r="Y32" s="53">
        <v>349</v>
      </c>
      <c r="Z32" s="53">
        <v>147</v>
      </c>
      <c r="AA32" s="53">
        <v>354</v>
      </c>
      <c r="AB32" s="53">
        <v>258</v>
      </c>
      <c r="AC32" s="53">
        <v>0</v>
      </c>
      <c r="AD32" s="53">
        <v>0</v>
      </c>
      <c r="AE32" s="53">
        <v>0</v>
      </c>
      <c r="AF32" s="53">
        <v>0</v>
      </c>
      <c r="AG32" s="53">
        <v>105</v>
      </c>
      <c r="AH32" s="53">
        <v>0</v>
      </c>
      <c r="AI32" s="53">
        <v>0</v>
      </c>
      <c r="AJ32" s="53">
        <v>162</v>
      </c>
      <c r="AK32" s="53">
        <v>8142</v>
      </c>
      <c r="AL32" s="53">
        <v>0</v>
      </c>
      <c r="AM32" s="53">
        <v>0</v>
      </c>
      <c r="AN32" s="53">
        <v>3</v>
      </c>
      <c r="AO32" s="53">
        <v>1360</v>
      </c>
      <c r="AP32" s="53">
        <v>1</v>
      </c>
      <c r="AQ32" s="53">
        <v>800</v>
      </c>
      <c r="AR32" s="53">
        <v>0</v>
      </c>
      <c r="AS32" s="53">
        <v>0</v>
      </c>
      <c r="AT32" s="53">
        <v>46</v>
      </c>
      <c r="AU32" s="53">
        <v>165456</v>
      </c>
      <c r="AV32" s="53">
        <v>29</v>
      </c>
      <c r="AW32" s="53">
        <v>24749</v>
      </c>
      <c r="AX32" s="53">
        <v>1793</v>
      </c>
      <c r="AY32" s="53">
        <v>0</v>
      </c>
      <c r="AZ32" s="53">
        <v>0</v>
      </c>
      <c r="BA32" s="53">
        <v>20</v>
      </c>
      <c r="BB32" s="53">
        <v>100</v>
      </c>
      <c r="BC32" s="53">
        <v>20848</v>
      </c>
      <c r="BD32" s="53">
        <v>4987126</v>
      </c>
      <c r="BF32" s="53">
        <f t="shared" si="1"/>
        <v>4741132</v>
      </c>
      <c r="BG32" s="53">
        <f t="shared" si="2"/>
        <v>5425526</v>
      </c>
      <c r="BH32" s="53">
        <f t="shared" si="3"/>
        <v>622058</v>
      </c>
      <c r="BI32" s="53">
        <f t="shared" si="4"/>
        <v>488545.25999999995</v>
      </c>
      <c r="BJ32" s="53">
        <f t="shared" si="5"/>
        <v>50800</v>
      </c>
      <c r="BK32" s="53">
        <f>SUMIF(Renseanlæg!$A:$A,SPILDEVAND!A32,Renseanlæg!$I:$I)</f>
        <v>21096238.946337786</v>
      </c>
      <c r="BL32" s="53">
        <f t="shared" si="6"/>
        <v>7109962.2</v>
      </c>
      <c r="BM32" s="53">
        <f t="shared" si="7"/>
        <v>2518438.4</v>
      </c>
      <c r="BN32" s="53">
        <v>32.33068943412281</v>
      </c>
      <c r="BO32" s="53">
        <f t="shared" si="8"/>
        <v>0.018815884476534296</v>
      </c>
      <c r="BP32" s="53">
        <f t="shared" si="9"/>
        <v>42052700.80633779</v>
      </c>
      <c r="BQ32" s="53">
        <f t="shared" si="10"/>
        <v>43915258.279112704</v>
      </c>
      <c r="BR32" s="53">
        <f t="shared" si="11"/>
        <v>45718452.04251395</v>
      </c>
      <c r="BS32" s="53">
        <v>36111485</v>
      </c>
      <c r="BT32" s="53"/>
      <c r="BU32" s="53">
        <f t="shared" si="26"/>
        <v>11.274262791904821</v>
      </c>
      <c r="BV32" s="53">
        <f t="shared" si="27"/>
        <v>12.901730200364007</v>
      </c>
      <c r="BW32" s="53">
        <f t="shared" si="28"/>
        <v>1.4792343608671366</v>
      </c>
      <c r="BX32" s="53">
        <f t="shared" si="29"/>
        <v>1.1617452639959118</v>
      </c>
      <c r="BY32" s="53">
        <f t="shared" si="30"/>
        <v>0.120800802388283</v>
      </c>
      <c r="BZ32" s="53">
        <f t="shared" si="31"/>
        <v>50.166192757727366</v>
      </c>
      <c r="CA32" s="53">
        <f t="shared" si="32"/>
        <v>16.907266510046494</v>
      </c>
      <c r="CB32" s="53">
        <f t="shared" si="33"/>
        <v>5.988767312705976</v>
      </c>
      <c r="CD32" s="53">
        <f t="shared" si="34"/>
        <v>18.742264465477934</v>
      </c>
      <c r="CF32" s="53">
        <f t="shared" si="35"/>
        <v>10.350372990436615</v>
      </c>
      <c r="CG32" s="53">
        <f t="shared" si="36"/>
        <v>7.249222593745646</v>
      </c>
      <c r="CH32" s="53">
        <f t="shared" si="37"/>
        <v>0.551946436927754</v>
      </c>
      <c r="CI32" s="53">
        <f t="shared" si="38"/>
        <v>0.3290511263751468</v>
      </c>
      <c r="CJ32" s="53">
        <f t="shared" si="39"/>
        <v>-0.06405612036301192</v>
      </c>
      <c r="CK32" s="53">
        <f t="shared" si="40"/>
        <v>-15.964528009198524</v>
      </c>
      <c r="CL32" s="53">
        <f t="shared" si="41"/>
        <v>-3.5284469298979957</v>
      </c>
      <c r="CM32" s="53">
        <f t="shared" si="42"/>
        <v>1.0764379119743674</v>
      </c>
      <c r="CO32" s="53">
        <f t="shared" si="46"/>
        <v>11.978757339338735</v>
      </c>
      <c r="CP32" s="53">
        <f t="shared" si="47"/>
        <v>0</v>
      </c>
      <c r="CQ32" s="53">
        <f t="shared" si="43"/>
        <v>32.80573992983785</v>
      </c>
    </row>
    <row r="33" spans="1:95" ht="15">
      <c r="A33" s="54" t="s">
        <v>23</v>
      </c>
      <c r="B33" s="70">
        <v>4</v>
      </c>
      <c r="C33" s="16">
        <v>31470037.686675005</v>
      </c>
      <c r="D33" s="51">
        <v>0.4537243669394957</v>
      </c>
      <c r="E33" s="16">
        <f t="shared" si="14"/>
        <v>14278722.926948689</v>
      </c>
      <c r="F33" s="51"/>
      <c r="G33" s="16"/>
      <c r="H33" s="51">
        <v>0.3334032993259066</v>
      </c>
      <c r="I33" s="52">
        <f t="shared" si="44"/>
        <v>0</v>
      </c>
      <c r="J33" s="52">
        <f t="shared" si="45"/>
        <v>0</v>
      </c>
      <c r="K33" s="52">
        <f t="shared" si="48"/>
        <v>0</v>
      </c>
      <c r="L33" s="16">
        <f t="shared" si="15"/>
        <v>10492214.394648068</v>
      </c>
      <c r="M33" s="16">
        <f t="shared" si="16"/>
        <v>17191314.759726316</v>
      </c>
      <c r="N33" s="52">
        <f t="shared" si="17"/>
        <v>0.08335082483147666</v>
      </c>
      <c r="O33" s="51">
        <f t="shared" si="18"/>
        <v>0.05</v>
      </c>
      <c r="P33" s="16">
        <f t="shared" si="19"/>
        <v>1573501.8843337502</v>
      </c>
      <c r="Q33" s="51"/>
      <c r="R33" s="16">
        <f t="shared" si="20"/>
        <v>24493704.53695429</v>
      </c>
      <c r="S33" s="16">
        <f t="shared" si="21"/>
        <v>26481209.419981856</v>
      </c>
      <c r="T33" s="16">
        <f t="shared" si="22"/>
        <v>29271102.183273245</v>
      </c>
      <c r="U33" s="16">
        <f t="shared" si="23"/>
        <v>30787712.074289292</v>
      </c>
      <c r="V33" s="16">
        <f t="shared" si="24"/>
        <v>32775216.957316857</v>
      </c>
      <c r="W33" s="16">
        <f t="shared" si="25"/>
        <v>35565109.72060825</v>
      </c>
      <c r="X33" s="54"/>
      <c r="Y33" s="53">
        <v>197</v>
      </c>
      <c r="Z33" s="53">
        <v>26</v>
      </c>
      <c r="AA33" s="53">
        <v>211</v>
      </c>
      <c r="AB33" s="53">
        <v>97</v>
      </c>
      <c r="AC33" s="53">
        <v>6</v>
      </c>
      <c r="AD33" s="53">
        <v>4</v>
      </c>
      <c r="AE33" s="53">
        <v>0</v>
      </c>
      <c r="AF33" s="53">
        <v>0</v>
      </c>
      <c r="AG33" s="53">
        <v>0</v>
      </c>
      <c r="AH33" s="53">
        <v>390</v>
      </c>
      <c r="AI33" s="53">
        <v>2730</v>
      </c>
      <c r="AJ33" s="53">
        <v>102</v>
      </c>
      <c r="AK33" s="53">
        <v>7140</v>
      </c>
      <c r="AL33" s="53">
        <v>2</v>
      </c>
      <c r="AM33" s="53">
        <v>400</v>
      </c>
      <c r="AN33" s="53">
        <v>2</v>
      </c>
      <c r="AO33" s="53">
        <v>900</v>
      </c>
      <c r="AP33" s="53">
        <v>0</v>
      </c>
      <c r="AQ33" s="53">
        <v>0</v>
      </c>
      <c r="AR33" s="53">
        <v>0</v>
      </c>
      <c r="AS33" s="53">
        <v>0</v>
      </c>
      <c r="AT33" s="53">
        <v>21</v>
      </c>
      <c r="AU33" s="53">
        <v>21536</v>
      </c>
      <c r="AV33" s="53">
        <v>14</v>
      </c>
      <c r="AW33" s="53">
        <v>12391</v>
      </c>
      <c r="AX33" s="53">
        <v>450</v>
      </c>
      <c r="AY33" s="53">
        <v>228</v>
      </c>
      <c r="AZ33" s="53">
        <v>0</v>
      </c>
      <c r="BA33" s="53">
        <v>4</v>
      </c>
      <c r="BB33" s="53">
        <v>20</v>
      </c>
      <c r="BC33" s="53">
        <v>13162</v>
      </c>
      <c r="BD33" s="53">
        <v>2968028</v>
      </c>
      <c r="BF33" s="53">
        <f t="shared" si="1"/>
        <v>3143029</v>
      </c>
      <c r="BG33" s="53">
        <f t="shared" si="2"/>
        <v>8311320</v>
      </c>
      <c r="BH33" s="53">
        <f t="shared" si="3"/>
        <v>283983</v>
      </c>
      <c r="BI33" s="53">
        <f t="shared" si="4"/>
        <v>244598.33999999997</v>
      </c>
      <c r="BJ33" s="53">
        <f t="shared" si="5"/>
        <v>10160</v>
      </c>
      <c r="BK33" s="53">
        <f>SUMIF(Renseanlæg!$A:$A,SPILDEVAND!A33,Renseanlæg!$I:$I)</f>
        <v>8043738.99695429</v>
      </c>
      <c r="BL33" s="53">
        <f t="shared" si="6"/>
        <v>2866905.5999999996</v>
      </c>
      <c r="BM33" s="53">
        <f t="shared" si="7"/>
        <v>1589969.5999999999</v>
      </c>
      <c r="BN33" s="53">
        <v>34.63396867072762</v>
      </c>
      <c r="BO33" s="53">
        <f t="shared" si="8"/>
        <v>0.02432902033271719</v>
      </c>
      <c r="BP33" s="53">
        <f t="shared" si="9"/>
        <v>24493704.53695429</v>
      </c>
      <c r="BQ33" s="53">
        <f t="shared" si="10"/>
        <v>26481209.419981856</v>
      </c>
      <c r="BR33" s="53">
        <f t="shared" si="11"/>
        <v>29271102.183273245</v>
      </c>
      <c r="BS33" s="53">
        <v>30864139</v>
      </c>
      <c r="BT33" s="53"/>
      <c r="BU33" s="53">
        <f t="shared" si="26"/>
        <v>12.831987073486701</v>
      </c>
      <c r="BV33" s="53">
        <f t="shared" si="27"/>
        <v>33.932474311758334</v>
      </c>
      <c r="BW33" s="53">
        <f t="shared" si="28"/>
        <v>1.1594122055793865</v>
      </c>
      <c r="BX33" s="53">
        <f t="shared" si="29"/>
        <v>0.9986171737760945</v>
      </c>
      <c r="BY33" s="53">
        <f t="shared" si="30"/>
        <v>0.041480046371390425</v>
      </c>
      <c r="BZ33" s="53">
        <f t="shared" si="31"/>
        <v>32.84002623947101</v>
      </c>
      <c r="CA33" s="53">
        <f t="shared" si="32"/>
        <v>11.704663113228236</v>
      </c>
      <c r="CB33" s="53">
        <f t="shared" si="33"/>
        <v>6.491339836328846</v>
      </c>
      <c r="CD33" s="53">
        <f t="shared" si="34"/>
        <v>20.482739115394935</v>
      </c>
      <c r="CF33" s="53">
        <f t="shared" si="35"/>
        <v>8.792648708854735</v>
      </c>
      <c r="CG33" s="53">
        <f t="shared" si="36"/>
        <v>-13.781521517648681</v>
      </c>
      <c r="CH33" s="53">
        <f t="shared" si="37"/>
        <v>0.8717685922155041</v>
      </c>
      <c r="CI33" s="53">
        <f t="shared" si="38"/>
        <v>0.4921792165949641</v>
      </c>
      <c r="CJ33" s="53">
        <f t="shared" si="39"/>
        <v>0.015264635653880657</v>
      </c>
      <c r="CK33" s="53">
        <f t="shared" si="40"/>
        <v>1.3616385090578333</v>
      </c>
      <c r="CL33" s="53">
        <f t="shared" si="41"/>
        <v>1.6741564669202624</v>
      </c>
      <c r="CM33" s="53">
        <f t="shared" si="42"/>
        <v>0.5738653883514973</v>
      </c>
      <c r="CO33" s="53">
        <f t="shared" si="46"/>
        <v>10.238282689421734</v>
      </c>
      <c r="CP33" s="53">
        <f t="shared" si="47"/>
        <v>0</v>
      </c>
      <c r="CQ33" s="53">
        <f t="shared" si="43"/>
        <v>55.413830600929366</v>
      </c>
    </row>
    <row r="34" spans="1:95" ht="15">
      <c r="A34" s="54" t="s">
        <v>106</v>
      </c>
      <c r="B34" s="70">
        <v>4</v>
      </c>
      <c r="C34" s="16">
        <v>28918282.15</v>
      </c>
      <c r="D34" s="51">
        <v>0.2688823165094312</v>
      </c>
      <c r="E34" s="16">
        <f>C34*D34</f>
        <v>7775614.6939653335</v>
      </c>
      <c r="F34" s="51">
        <v>0.2733639</v>
      </c>
      <c r="G34" s="16">
        <f>F34*C34</f>
        <v>7905214.389824385</v>
      </c>
      <c r="H34" s="51">
        <v>0.13260830123255463</v>
      </c>
      <c r="I34" s="52">
        <f t="shared" si="44"/>
        <v>0</v>
      </c>
      <c r="J34" s="52">
        <f t="shared" si="45"/>
        <v>0</v>
      </c>
      <c r="K34" s="52">
        <f t="shared" si="48"/>
        <v>0</v>
      </c>
      <c r="L34" s="16">
        <f t="shared" si="15"/>
        <v>3834804.2704752074</v>
      </c>
      <c r="M34" s="16">
        <f t="shared" si="16"/>
        <v>21142667.456034664</v>
      </c>
      <c r="N34" s="52">
        <f t="shared" si="17"/>
        <v>0.03315207530813866</v>
      </c>
      <c r="O34" s="51">
        <f t="shared" si="18"/>
        <v>0.03315207530813866</v>
      </c>
      <c r="P34" s="16">
        <f t="shared" si="19"/>
        <v>958701.0676188018</v>
      </c>
      <c r="Q34" s="51"/>
      <c r="R34" s="16">
        <f t="shared" si="20"/>
        <v>31029642.32320825</v>
      </c>
      <c r="S34" s="16">
        <f t="shared" si="21"/>
        <v>29566923.379268695</v>
      </c>
      <c r="T34" s="16">
        <f t="shared" si="22"/>
        <v>32185405.148001533</v>
      </c>
      <c r="U34" s="16">
        <f t="shared" si="23"/>
        <v>36813298.75320825</v>
      </c>
      <c r="V34" s="16">
        <f t="shared" si="24"/>
        <v>35350579.8092687</v>
      </c>
      <c r="W34" s="16">
        <f t="shared" si="25"/>
        <v>37969061.57800153</v>
      </c>
      <c r="X34" s="54"/>
      <c r="Y34" s="53">
        <v>354</v>
      </c>
      <c r="Z34" s="53">
        <v>172</v>
      </c>
      <c r="AA34" s="53">
        <v>327</v>
      </c>
      <c r="AB34" s="53">
        <v>183</v>
      </c>
      <c r="AC34" s="53">
        <v>0</v>
      </c>
      <c r="AD34" s="53">
        <v>0</v>
      </c>
      <c r="AE34" s="53">
        <v>0</v>
      </c>
      <c r="AF34" s="53">
        <v>0</v>
      </c>
      <c r="AG34" s="53">
        <v>172</v>
      </c>
      <c r="AH34" s="53">
        <v>73</v>
      </c>
      <c r="AI34" s="53">
        <v>368</v>
      </c>
      <c r="AJ34" s="53">
        <v>106</v>
      </c>
      <c r="AK34" s="53">
        <v>5951</v>
      </c>
      <c r="AL34" s="53">
        <v>7</v>
      </c>
      <c r="AM34" s="53">
        <v>1140</v>
      </c>
      <c r="AN34" s="53">
        <v>7</v>
      </c>
      <c r="AO34" s="53">
        <v>2168</v>
      </c>
      <c r="AP34" s="53">
        <v>2</v>
      </c>
      <c r="AQ34" s="53">
        <v>1830</v>
      </c>
      <c r="AR34" s="53">
        <v>0</v>
      </c>
      <c r="AS34" s="53">
        <v>0</v>
      </c>
      <c r="AT34" s="53">
        <v>75</v>
      </c>
      <c r="AU34" s="53">
        <v>229984</v>
      </c>
      <c r="AV34" s="53">
        <v>8</v>
      </c>
      <c r="AW34" s="53">
        <v>9586</v>
      </c>
      <c r="AX34" s="53">
        <v>845</v>
      </c>
      <c r="AY34" s="53">
        <v>0</v>
      </c>
      <c r="AZ34" s="53">
        <v>0</v>
      </c>
      <c r="BA34" s="53">
        <v>7</v>
      </c>
      <c r="BB34" s="53">
        <v>35</v>
      </c>
      <c r="BC34" s="53">
        <v>16850</v>
      </c>
      <c r="BD34" s="53">
        <v>4249449</v>
      </c>
      <c r="BE34" s="53">
        <v>190203</v>
      </c>
      <c r="BF34" s="53">
        <f t="shared" si="1"/>
        <v>4433044</v>
      </c>
      <c r="BG34" s="53">
        <f t="shared" si="2"/>
        <v>7268217</v>
      </c>
      <c r="BH34" s="53">
        <f t="shared" si="3"/>
        <v>1014225</v>
      </c>
      <c r="BI34" s="53">
        <f t="shared" si="4"/>
        <v>189227.63999999998</v>
      </c>
      <c r="BJ34" s="53">
        <f t="shared" si="5"/>
        <v>17780</v>
      </c>
      <c r="BK34" s="53">
        <f>SUMIF(Renseanlæg!$A:$A,SPILDEVAND!A34,Renseanlæg!$I:$I)</f>
        <v>12530702.68320825</v>
      </c>
      <c r="BL34" s="53">
        <f t="shared" si="6"/>
        <v>3350763</v>
      </c>
      <c r="BM34" s="53">
        <f t="shared" si="7"/>
        <v>2035480</v>
      </c>
      <c r="BN34" s="53">
        <v>26.616287051620446</v>
      </c>
      <c r="BO34" s="53">
        <f t="shared" si="8"/>
        <v>0.016264478764478764</v>
      </c>
      <c r="BP34" s="53">
        <f t="shared" si="9"/>
        <v>31029642.32320825</v>
      </c>
      <c r="BQ34" s="53">
        <f t="shared" si="10"/>
        <v>29566923.379268695</v>
      </c>
      <c r="BR34" s="53">
        <f t="shared" si="11"/>
        <v>32185405.148001533</v>
      </c>
      <c r="BS34" s="53">
        <v>27417377</v>
      </c>
      <c r="BT34" s="53"/>
      <c r="BU34" s="53">
        <f t="shared" si="26"/>
        <v>14.374593369030247</v>
      </c>
      <c r="BV34" s="53">
        <f t="shared" si="27"/>
        <v>23.567928469212784</v>
      </c>
      <c r="BW34" s="53">
        <f t="shared" si="28"/>
        <v>3.288727104830158</v>
      </c>
      <c r="BX34" s="53">
        <f t="shared" si="29"/>
        <v>0.6135897543947777</v>
      </c>
      <c r="BY34" s="53">
        <f t="shared" si="30"/>
        <v>0.05765344763132462</v>
      </c>
      <c r="BZ34" s="53">
        <f t="shared" si="31"/>
        <v>40.63207035602056</v>
      </c>
      <c r="CA34" s="53">
        <f t="shared" si="32"/>
        <v>10.865187803457827</v>
      </c>
      <c r="CB34" s="53">
        <f t="shared" si="33"/>
        <v>6.600249695422308</v>
      </c>
      <c r="CD34" s="53">
        <f t="shared" si="34"/>
        <v>24.263570169282715</v>
      </c>
      <c r="CF34" s="53">
        <f t="shared" si="35"/>
        <v>7.2500424133111885</v>
      </c>
      <c r="CG34" s="53">
        <f t="shared" si="36"/>
        <v>-3.4169756751031315</v>
      </c>
      <c r="CH34" s="53">
        <f t="shared" si="37"/>
        <v>-1.2575463070352675</v>
      </c>
      <c r="CI34" s="53">
        <f t="shared" si="38"/>
        <v>0.8772066359762809</v>
      </c>
      <c r="CJ34" s="53">
        <f t="shared" si="39"/>
        <v>-0.0009087656060535396</v>
      </c>
      <c r="CK34" s="53">
        <f t="shared" si="40"/>
        <v>-6.430405607491721</v>
      </c>
      <c r="CL34" s="53">
        <f t="shared" si="41"/>
        <v>2.513631776690671</v>
      </c>
      <c r="CM34" s="53">
        <f t="shared" si="42"/>
        <v>0.4649555292580354</v>
      </c>
      <c r="CO34" s="53">
        <f t="shared" si="46"/>
        <v>6.457451635533953</v>
      </c>
      <c r="CP34" s="53">
        <f t="shared" si="47"/>
        <v>0</v>
      </c>
      <c r="CQ34" s="53">
        <f>SUM(BU34:BX34)+CB34</f>
        <v>48.44508839289028</v>
      </c>
    </row>
    <row r="35" spans="1:95" ht="15">
      <c r="A35" s="54" t="s">
        <v>105</v>
      </c>
      <c r="B35" s="70">
        <v>2</v>
      </c>
      <c r="C35" s="16">
        <v>49444367.49227331</v>
      </c>
      <c r="D35" s="51">
        <v>0.3448706221196368</v>
      </c>
      <c r="E35" s="16">
        <f t="shared" si="14"/>
        <v>17051909.77737224</v>
      </c>
      <c r="F35" s="51">
        <v>0.3551608</v>
      </c>
      <c r="G35" s="16">
        <f>F35*C35</f>
        <v>17560701.11404978</v>
      </c>
      <c r="H35" s="51">
        <v>0.22740790428989266</v>
      </c>
      <c r="I35" s="52">
        <f t="shared" si="44"/>
        <v>0</v>
      </c>
      <c r="J35" s="52">
        <f t="shared" si="45"/>
        <v>0</v>
      </c>
      <c r="K35" s="52">
        <f t="shared" si="48"/>
        <v>0</v>
      </c>
      <c r="L35" s="16">
        <f t="shared" si="15"/>
        <v>11244039.990357168</v>
      </c>
      <c r="M35" s="16">
        <f t="shared" si="16"/>
        <v>32392457.714901067</v>
      </c>
      <c r="N35" s="52">
        <f t="shared" si="17"/>
        <v>0.056851976072473165</v>
      </c>
      <c r="O35" s="51">
        <f t="shared" si="18"/>
        <v>0.05</v>
      </c>
      <c r="P35" s="16">
        <f t="shared" si="19"/>
        <v>2472218.3746136655</v>
      </c>
      <c r="Q35" s="51"/>
      <c r="R35" s="16">
        <f t="shared" si="20"/>
        <v>44322476.65730309</v>
      </c>
      <c r="S35" s="16">
        <f t="shared" si="21"/>
        <v>51914338.65187195</v>
      </c>
      <c r="T35" s="16">
        <f t="shared" si="22"/>
        <v>55153601.101382</v>
      </c>
      <c r="U35" s="16">
        <f t="shared" si="23"/>
        <v>54211350.15575775</v>
      </c>
      <c r="V35" s="16">
        <f t="shared" si="24"/>
        <v>61803212.15032661</v>
      </c>
      <c r="W35" s="16">
        <f t="shared" si="25"/>
        <v>65042474.59983666</v>
      </c>
      <c r="X35" s="54"/>
      <c r="Y35" s="53">
        <v>61</v>
      </c>
      <c r="Z35" s="53">
        <v>45</v>
      </c>
      <c r="AA35" s="53">
        <v>189</v>
      </c>
      <c r="AB35" s="53">
        <v>195</v>
      </c>
      <c r="AC35" s="53">
        <v>120</v>
      </c>
      <c r="AD35" s="53">
        <v>36</v>
      </c>
      <c r="AE35" s="53">
        <v>0</v>
      </c>
      <c r="AF35" s="53">
        <v>0</v>
      </c>
      <c r="AG35" s="53">
        <v>28</v>
      </c>
      <c r="AH35" s="53">
        <v>17</v>
      </c>
      <c r="AI35" s="53">
        <v>96</v>
      </c>
      <c r="AJ35" s="53">
        <v>101</v>
      </c>
      <c r="AK35" s="53">
        <v>4022</v>
      </c>
      <c r="AL35" s="53">
        <v>14</v>
      </c>
      <c r="AM35" s="53">
        <v>2343</v>
      </c>
      <c r="AN35" s="53">
        <v>2</v>
      </c>
      <c r="AO35" s="53">
        <v>940</v>
      </c>
      <c r="AP35" s="53">
        <v>2</v>
      </c>
      <c r="AQ35" s="53">
        <v>3280</v>
      </c>
      <c r="AR35" s="53">
        <v>0</v>
      </c>
      <c r="AS35" s="53">
        <v>0</v>
      </c>
      <c r="AT35" s="53">
        <v>56</v>
      </c>
      <c r="AU35" s="53">
        <v>234030</v>
      </c>
      <c r="AV35" s="53">
        <v>10</v>
      </c>
      <c r="AW35" s="53">
        <v>10606</v>
      </c>
      <c r="AX35" s="53">
        <v>270</v>
      </c>
      <c r="AY35" s="53">
        <v>712</v>
      </c>
      <c r="AZ35" s="53">
        <v>0</v>
      </c>
      <c r="BA35" s="53">
        <v>2</v>
      </c>
      <c r="BB35" s="53">
        <v>15</v>
      </c>
      <c r="BC35" s="53">
        <v>17345</v>
      </c>
      <c r="BD35" s="53">
        <v>3502727</v>
      </c>
      <c r="BE35" s="53">
        <v>696179</v>
      </c>
      <c r="BF35" s="53">
        <f aca="true" t="shared" si="51" ref="BF35:BF66">4279*((Y35+Z35)+(AA35+AB35))+87088*((AC35+AD35)+(AE35+AF35))</f>
        <v>15682438</v>
      </c>
      <c r="BG35" s="53">
        <f aca="true" t="shared" si="52" ref="BG35:BG66">(6628*AG35)+(13891*AH35)+(24337*AJ35)+(102864*(AL35+AN35))+(598*(AQ35+AS35))</f>
        <v>6487032</v>
      </c>
      <c r="BH35" s="53">
        <f aca="true" t="shared" si="53" ref="BH35:BH66">13523*AT35</f>
        <v>757288</v>
      </c>
      <c r="BI35" s="53">
        <f aca="true" t="shared" si="54" ref="BI35:BI66">19.74*AW35</f>
        <v>209362.43999999997</v>
      </c>
      <c r="BJ35" s="53">
        <f aca="true" t="shared" si="55" ref="BJ35:BJ66">2540*BA35</f>
        <v>5080</v>
      </c>
      <c r="BK35" s="53">
        <f>SUMIF(Renseanlæg!$A:$A,SPILDEVAND!A35,Renseanlæg!$I:$I)</f>
        <v>13938800.81730309</v>
      </c>
      <c r="BL35" s="53">
        <f aca="true" t="shared" si="56" ref="BL35:BL66">(3965.4*AX35)+(4747.7*(AY35+AZ35))</f>
        <v>4451020.4</v>
      </c>
      <c r="BM35" s="53">
        <f aca="true" t="shared" si="57" ref="BM35:BM66">120.8*BC35</f>
        <v>2095276</v>
      </c>
      <c r="BN35" s="53">
        <v>40.26793458862358</v>
      </c>
      <c r="BO35" s="53">
        <f aca="true" t="shared" si="58" ref="BO35:BO66">BC35/(SUM(Y35:AF35)*1000)</f>
        <v>0.02684984520123839</v>
      </c>
      <c r="BP35" s="53">
        <f aca="true" t="shared" si="59" ref="BP35:BP66">SUM(BE35:BM35)</f>
        <v>44322476.65730309</v>
      </c>
      <c r="BQ35" s="53">
        <f aca="true" t="shared" si="60" ref="BQ35:BQ60">(0.527+0.016*BN35)*BP35</f>
        <v>51914338.65187195</v>
      </c>
      <c r="BR35" s="53">
        <f aca="true" t="shared" si="61" ref="BR35:BR63">(0.719+19.567*BO35)*BP35</f>
        <v>55153601.101382</v>
      </c>
      <c r="BS35" s="53">
        <v>48380509</v>
      </c>
      <c r="BT35" s="53"/>
      <c r="BU35" s="53">
        <f t="shared" si="26"/>
        <v>35.94721267248023</v>
      </c>
      <c r="BV35" s="53">
        <f t="shared" si="27"/>
        <v>14.869545087134076</v>
      </c>
      <c r="BW35" s="53">
        <f t="shared" si="28"/>
        <v>1.7358520907474466</v>
      </c>
      <c r="BX35" s="53">
        <f t="shared" si="29"/>
        <v>0.47989962761589616</v>
      </c>
      <c r="BY35" s="53">
        <f t="shared" si="30"/>
        <v>0.011644352770672491</v>
      </c>
      <c r="BZ35" s="53">
        <f t="shared" si="31"/>
        <v>31.950455495436064</v>
      </c>
      <c r="CA35" s="53">
        <f t="shared" si="32"/>
        <v>10.202608607688934</v>
      </c>
      <c r="CB35" s="53">
        <f t="shared" si="33"/>
        <v>4.802782066126688</v>
      </c>
      <c r="CD35" s="53">
        <f t="shared" si="34"/>
        <v>42.485846829354365</v>
      </c>
      <c r="CF35" s="53">
        <f t="shared" si="35"/>
        <v>-14.32257689013879</v>
      </c>
      <c r="CG35" s="53">
        <f t="shared" si="36"/>
        <v>5.2814077069755765</v>
      </c>
      <c r="CH35" s="53">
        <f t="shared" si="37"/>
        <v>0.29532870704744396</v>
      </c>
      <c r="CI35" s="53">
        <f t="shared" si="38"/>
        <v>1.0108967627551624</v>
      </c>
      <c r="CJ35" s="53">
        <f t="shared" si="39"/>
        <v>0.04510032925459859</v>
      </c>
      <c r="CK35" s="53">
        <f t="shared" si="40"/>
        <v>2.251209253092778</v>
      </c>
      <c r="CL35" s="53">
        <f t="shared" si="41"/>
        <v>3.1762109724595646</v>
      </c>
      <c r="CM35" s="53">
        <f t="shared" si="42"/>
        <v>2.2624231585536556</v>
      </c>
      <c r="CO35" s="53">
        <f t="shared" si="46"/>
        <v>-11.764825024537696</v>
      </c>
      <c r="CP35" s="53">
        <f t="shared" si="47"/>
        <v>0</v>
      </c>
      <c r="CQ35" s="53">
        <f t="shared" si="43"/>
        <v>57.83529154410434</v>
      </c>
    </row>
    <row r="36" spans="1:95" ht="15">
      <c r="A36" s="54" t="s">
        <v>70</v>
      </c>
      <c r="B36" s="70">
        <v>4</v>
      </c>
      <c r="C36" s="16">
        <v>11086230.542834997</v>
      </c>
      <c r="D36" s="51">
        <v>0.5874721601704918</v>
      </c>
      <c r="E36" s="16">
        <f t="shared" si="14"/>
        <v>6512851.805147359</v>
      </c>
      <c r="F36" s="51"/>
      <c r="G36" s="16"/>
      <c r="H36" s="51">
        <v>0.47000946006307875</v>
      </c>
      <c r="I36" s="52">
        <f t="shared" si="44"/>
        <v>-0.3234406730295991</v>
      </c>
      <c r="J36" s="52">
        <f t="shared" si="45"/>
        <v>-0.09881759442400315</v>
      </c>
      <c r="K36" s="52">
        <f t="shared" si="48"/>
        <v>0.3711918656390756</v>
      </c>
      <c r="L36" s="16">
        <f t="shared" si="15"/>
        <v>4115118.598099824</v>
      </c>
      <c r="M36" s="16">
        <f t="shared" si="16"/>
        <v>4573378.737687638</v>
      </c>
      <c r="N36" s="52">
        <f t="shared" si="17"/>
        <v>0.0927979664097689</v>
      </c>
      <c r="O36" s="51">
        <f t="shared" si="18"/>
        <v>0.05</v>
      </c>
      <c r="P36" s="16">
        <f t="shared" si="19"/>
        <v>554311.5271417499</v>
      </c>
      <c r="Q36" s="51"/>
      <c r="R36" s="16">
        <f t="shared" si="20"/>
        <v>6092355.06</v>
      </c>
      <c r="S36" s="16">
        <f t="shared" si="21"/>
        <v>8123909.501737776</v>
      </c>
      <c r="T36" s="16">
        <f t="shared" si="22"/>
        <v>7786945.5636903765</v>
      </c>
      <c r="U36" s="16">
        <f t="shared" si="23"/>
        <v>8309601.168566999</v>
      </c>
      <c r="V36" s="16">
        <f t="shared" si="24"/>
        <v>10341155.610304777</v>
      </c>
      <c r="W36" s="16">
        <f t="shared" si="25"/>
        <v>10004191.672257375</v>
      </c>
      <c r="X36" s="54"/>
      <c r="Y36" s="53">
        <v>3</v>
      </c>
      <c r="Z36" s="53">
        <v>6</v>
      </c>
      <c r="AA36" s="53">
        <v>87</v>
      </c>
      <c r="AB36" s="53">
        <v>74</v>
      </c>
      <c r="AC36" s="53">
        <v>18</v>
      </c>
      <c r="AD36" s="53">
        <v>22</v>
      </c>
      <c r="AE36" s="53">
        <v>0</v>
      </c>
      <c r="AF36" s="53">
        <v>0</v>
      </c>
      <c r="AG36" s="53">
        <v>0</v>
      </c>
      <c r="AH36" s="53">
        <v>3</v>
      </c>
      <c r="AI36" s="53">
        <v>15</v>
      </c>
      <c r="AJ36" s="53">
        <v>1</v>
      </c>
      <c r="AK36" s="53">
        <v>67</v>
      </c>
      <c r="AL36" s="53">
        <v>0</v>
      </c>
      <c r="AM36" s="53">
        <v>0</v>
      </c>
      <c r="AN36" s="53">
        <v>1</v>
      </c>
      <c r="AO36" s="53">
        <v>320</v>
      </c>
      <c r="AP36" s="53">
        <v>1</v>
      </c>
      <c r="AQ36" s="53">
        <v>940</v>
      </c>
      <c r="AR36" s="53">
        <v>0</v>
      </c>
      <c r="AS36" s="53">
        <v>0</v>
      </c>
      <c r="AT36" s="53">
        <v>13</v>
      </c>
      <c r="AU36" s="53">
        <v>52750</v>
      </c>
      <c r="AV36" s="53">
        <v>3</v>
      </c>
      <c r="AW36" s="53">
        <v>12649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6001</v>
      </c>
      <c r="BD36" s="53">
        <v>130000</v>
      </c>
      <c r="BF36" s="53">
        <f t="shared" si="51"/>
        <v>4210950</v>
      </c>
      <c r="BG36" s="53">
        <f t="shared" si="52"/>
        <v>730994</v>
      </c>
      <c r="BH36" s="53">
        <f t="shared" si="53"/>
        <v>175799</v>
      </c>
      <c r="BI36" s="53">
        <f t="shared" si="54"/>
        <v>249691.25999999998</v>
      </c>
      <c r="BJ36" s="53">
        <f t="shared" si="55"/>
        <v>0</v>
      </c>
      <c r="BK36" s="53">
        <f>SUMIF(Renseanlæg!$A:$A,SPILDEVAND!A36,Renseanlæg!$I:$I)</f>
        <v>0</v>
      </c>
      <c r="BL36" s="53">
        <f t="shared" si="56"/>
        <v>0</v>
      </c>
      <c r="BM36" s="53">
        <f t="shared" si="57"/>
        <v>724920.7999999999</v>
      </c>
      <c r="BN36" s="53">
        <v>50.403726645219706</v>
      </c>
      <c r="BO36" s="53">
        <f t="shared" si="58"/>
        <v>0.028576190476190477</v>
      </c>
      <c r="BP36" s="53">
        <f t="shared" si="59"/>
        <v>6092355.06</v>
      </c>
      <c r="BQ36" s="53">
        <f t="shared" si="60"/>
        <v>8123909.501737776</v>
      </c>
      <c r="BR36" s="53">
        <f t="shared" si="61"/>
        <v>7786945.5636903765</v>
      </c>
      <c r="BS36" s="53">
        <v>7509671</v>
      </c>
      <c r="BT36" s="53"/>
      <c r="BU36" s="53">
        <f t="shared" si="26"/>
        <v>69.11859139083073</v>
      </c>
      <c r="BV36" s="53">
        <f t="shared" si="27"/>
        <v>11.998545600196849</v>
      </c>
      <c r="BW36" s="53">
        <f t="shared" si="28"/>
        <v>2.8855672111795796</v>
      </c>
      <c r="BX36" s="53">
        <f t="shared" si="29"/>
        <v>4.098435786176914</v>
      </c>
      <c r="BY36" s="53">
        <f t="shared" si="30"/>
        <v>0</v>
      </c>
      <c r="BZ36" s="53">
        <f t="shared" si="31"/>
        <v>0</v>
      </c>
      <c r="CA36" s="53">
        <f t="shared" si="32"/>
        <v>0</v>
      </c>
      <c r="CB36" s="53">
        <f t="shared" si="33"/>
        <v>11.898860011615934</v>
      </c>
      <c r="CD36" s="53">
        <f t="shared" si="34"/>
        <v>83.90301861362624</v>
      </c>
      <c r="CF36" s="53">
        <f t="shared" si="35"/>
        <v>-47.493955608489294</v>
      </c>
      <c r="CG36" s="53">
        <f t="shared" si="36"/>
        <v>8.152407193912804</v>
      </c>
      <c r="CH36" s="53">
        <f t="shared" si="37"/>
        <v>-0.854386413384689</v>
      </c>
      <c r="CI36" s="53">
        <f t="shared" si="38"/>
        <v>-2.6076393958058555</v>
      </c>
      <c r="CJ36" s="53">
        <f t="shared" si="39"/>
        <v>0.05674468202527108</v>
      </c>
      <c r="CK36" s="53">
        <f t="shared" si="40"/>
        <v>34.20166474852884</v>
      </c>
      <c r="CL36" s="53">
        <f t="shared" si="41"/>
        <v>13.378819580148498</v>
      </c>
      <c r="CM36" s="53">
        <f t="shared" si="42"/>
        <v>-4.833654786935591</v>
      </c>
      <c r="CO36" s="53">
        <f t="shared" si="46"/>
        <v>-53.18199680880957</v>
      </c>
      <c r="CP36" s="53">
        <f t="shared" si="47"/>
        <v>-9.881759442400314</v>
      </c>
      <c r="CQ36" s="53">
        <f t="shared" si="43"/>
        <v>100</v>
      </c>
    </row>
    <row r="37" spans="1:95" ht="15">
      <c r="A37" s="54" t="s">
        <v>5</v>
      </c>
      <c r="B37" s="70">
        <v>2</v>
      </c>
      <c r="C37" s="16">
        <v>46186396.96431975</v>
      </c>
      <c r="D37" s="51">
        <v>0.16501707686577682</v>
      </c>
      <c r="E37" s="16">
        <f t="shared" si="14"/>
        <v>7621544.218014434</v>
      </c>
      <c r="F37" s="51"/>
      <c r="G37" s="16"/>
      <c r="H37" s="51">
        <v>0.028743081627091938</v>
      </c>
      <c r="I37" s="52">
        <f t="shared" si="44"/>
        <v>0</v>
      </c>
      <c r="J37" s="52">
        <f t="shared" si="45"/>
        <v>0</v>
      </c>
      <c r="K37" s="52">
        <f t="shared" si="48"/>
        <v>0</v>
      </c>
      <c r="L37" s="16">
        <f t="shared" si="15"/>
        <v>1327539.378006714</v>
      </c>
      <c r="M37" s="16">
        <f t="shared" si="16"/>
        <v>38564852.74630532</v>
      </c>
      <c r="N37" s="52">
        <f t="shared" si="17"/>
        <v>0.007185770406772984</v>
      </c>
      <c r="O37" s="51">
        <f t="shared" si="18"/>
        <v>0</v>
      </c>
      <c r="P37" s="16">
        <f t="shared" si="19"/>
        <v>0</v>
      </c>
      <c r="Q37" s="51"/>
      <c r="R37" s="16">
        <f t="shared" si="20"/>
        <v>56598987.64431405</v>
      </c>
      <c r="S37" s="16">
        <f t="shared" si="21"/>
        <v>58749309.53460771</v>
      </c>
      <c r="T37" s="16">
        <f t="shared" si="22"/>
        <v>62163633.86669662</v>
      </c>
      <c r="U37" s="16">
        <f t="shared" si="23"/>
        <v>65836267.037178</v>
      </c>
      <c r="V37" s="16">
        <f t="shared" si="24"/>
        <v>67986588.92747165</v>
      </c>
      <c r="W37" s="16">
        <f t="shared" si="25"/>
        <v>71400913.25956057</v>
      </c>
      <c r="X37" s="54"/>
      <c r="Y37" s="53">
        <v>42</v>
      </c>
      <c r="Z37" s="53">
        <v>234</v>
      </c>
      <c r="AA37" s="53">
        <v>176</v>
      </c>
      <c r="AB37" s="53">
        <v>962</v>
      </c>
      <c r="AC37" s="53">
        <v>10</v>
      </c>
      <c r="AD37" s="53">
        <v>57</v>
      </c>
      <c r="AE37" s="53">
        <v>0</v>
      </c>
      <c r="AF37" s="53">
        <v>0</v>
      </c>
      <c r="AG37" s="53">
        <v>10</v>
      </c>
      <c r="AH37" s="53">
        <v>71</v>
      </c>
      <c r="AI37" s="53">
        <v>910</v>
      </c>
      <c r="AJ37" s="53">
        <v>100</v>
      </c>
      <c r="AK37" s="53">
        <v>16200</v>
      </c>
      <c r="AL37" s="53">
        <v>2</v>
      </c>
      <c r="AM37" s="53">
        <v>900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136</v>
      </c>
      <c r="AU37" s="53">
        <v>266083</v>
      </c>
      <c r="AV37" s="53">
        <v>38</v>
      </c>
      <c r="AW37" s="53">
        <v>62027</v>
      </c>
      <c r="AX37" s="53">
        <v>1790</v>
      </c>
      <c r="AY37" s="53">
        <v>0</v>
      </c>
      <c r="AZ37" s="53">
        <v>1194</v>
      </c>
      <c r="BA37" s="53">
        <v>0</v>
      </c>
      <c r="BB37" s="53">
        <v>0</v>
      </c>
      <c r="BC37" s="53">
        <v>28710</v>
      </c>
      <c r="BD37" s="53">
        <v>5562413</v>
      </c>
      <c r="BF37" s="53">
        <f t="shared" si="51"/>
        <v>11885402</v>
      </c>
      <c r="BG37" s="53">
        <f t="shared" si="52"/>
        <v>3691969</v>
      </c>
      <c r="BH37" s="53">
        <f t="shared" si="53"/>
        <v>1839128</v>
      </c>
      <c r="BI37" s="53">
        <f t="shared" si="54"/>
        <v>1224412.98</v>
      </c>
      <c r="BJ37" s="53">
        <f t="shared" si="55"/>
        <v>0</v>
      </c>
      <c r="BK37" s="53">
        <f>SUMIF(Renseanlæg!$A:$A,SPILDEVAND!A37,Renseanlæg!$I:$I)</f>
        <v>21723087.864314053</v>
      </c>
      <c r="BL37" s="53">
        <f t="shared" si="56"/>
        <v>12766819.8</v>
      </c>
      <c r="BM37" s="53">
        <f t="shared" si="57"/>
        <v>3468168</v>
      </c>
      <c r="BN37" s="53">
        <v>31.937014522908697</v>
      </c>
      <c r="BO37" s="53">
        <f t="shared" si="58"/>
        <v>0.01938555030384875</v>
      </c>
      <c r="BP37" s="53">
        <f t="shared" si="59"/>
        <v>56598987.64431405</v>
      </c>
      <c r="BQ37" s="53">
        <f t="shared" si="60"/>
        <v>58749309.53460771</v>
      </c>
      <c r="BR37" s="53">
        <f t="shared" si="61"/>
        <v>62163633.86669662</v>
      </c>
      <c r="BS37" s="53">
        <v>43808067</v>
      </c>
      <c r="BT37" s="53"/>
      <c r="BU37" s="53">
        <f t="shared" si="26"/>
        <v>20.999319059718218</v>
      </c>
      <c r="BV37" s="53">
        <f t="shared" si="27"/>
        <v>6.523030099410083</v>
      </c>
      <c r="BW37" s="53">
        <f t="shared" si="28"/>
        <v>3.249400875432017</v>
      </c>
      <c r="BX37" s="53">
        <f t="shared" si="29"/>
        <v>2.163312509571017</v>
      </c>
      <c r="BY37" s="53">
        <f t="shared" si="30"/>
        <v>0</v>
      </c>
      <c r="BZ37" s="53">
        <f t="shared" si="31"/>
        <v>38.38070037723786</v>
      </c>
      <c r="CA37" s="53">
        <f t="shared" si="32"/>
        <v>22.556622178881955</v>
      </c>
      <c r="CB37" s="53">
        <f t="shared" si="33"/>
        <v>6.127614899748853</v>
      </c>
      <c r="CD37" s="53">
        <f t="shared" si="34"/>
        <v>30.376334834899087</v>
      </c>
      <c r="CF37" s="53">
        <f t="shared" si="35"/>
        <v>0.6253167226232179</v>
      </c>
      <c r="CG37" s="53">
        <f t="shared" si="36"/>
        <v>13.62792269469957</v>
      </c>
      <c r="CH37" s="53">
        <f t="shared" si="37"/>
        <v>-1.2182200776371266</v>
      </c>
      <c r="CI37" s="53">
        <f t="shared" si="38"/>
        <v>-0.6725161191999582</v>
      </c>
      <c r="CJ37" s="53">
        <f t="shared" si="39"/>
        <v>0.05674468202527108</v>
      </c>
      <c r="CK37" s="53">
        <f t="shared" si="40"/>
        <v>-4.179035628709016</v>
      </c>
      <c r="CL37" s="53">
        <f t="shared" si="41"/>
        <v>-9.177802598733457</v>
      </c>
      <c r="CM37" s="53">
        <f t="shared" si="42"/>
        <v>0.9375903249314907</v>
      </c>
      <c r="CO37" s="53">
        <f t="shared" si="46"/>
        <v>0.3446869699175821</v>
      </c>
      <c r="CP37" s="53">
        <f t="shared" si="47"/>
        <v>0</v>
      </c>
      <c r="CQ37" s="53">
        <f t="shared" si="43"/>
        <v>39.06267744388019</v>
      </c>
    </row>
    <row r="38" spans="1:95" ht="15">
      <c r="A38" s="54" t="s">
        <v>80</v>
      </c>
      <c r="B38" s="70">
        <v>4</v>
      </c>
      <c r="C38" s="16">
        <v>39232971.512031615</v>
      </c>
      <c r="D38" s="51">
        <v>0.2206541</v>
      </c>
      <c r="E38" s="16">
        <f t="shared" si="14"/>
        <v>8656916.019312974</v>
      </c>
      <c r="F38" s="51">
        <v>0.2334542</v>
      </c>
      <c r="G38" s="16">
        <f>F38*C38</f>
        <v>9159101.977964131</v>
      </c>
      <c r="H38" s="51">
        <v>0.1031914</v>
      </c>
      <c r="I38" s="52">
        <f t="shared" si="44"/>
        <v>0</v>
      </c>
      <c r="J38" s="52">
        <f t="shared" si="45"/>
        <v>0</v>
      </c>
      <c r="K38" s="52">
        <f t="shared" si="48"/>
        <v>0</v>
      </c>
      <c r="L38" s="16">
        <f t="shared" si="15"/>
        <v>4048505.2564866594</v>
      </c>
      <c r="M38" s="16">
        <f t="shared" si="16"/>
        <v>30576055.49271864</v>
      </c>
      <c r="N38" s="52">
        <f t="shared" si="17"/>
        <v>0.02579785</v>
      </c>
      <c r="O38" s="51">
        <f t="shared" si="18"/>
        <v>0.02579785</v>
      </c>
      <c r="P38" s="16">
        <f t="shared" si="19"/>
        <v>1012126.3141216649</v>
      </c>
      <c r="Q38" s="51"/>
      <c r="R38" s="16">
        <f t="shared" si="20"/>
        <v>38625855.52856009</v>
      </c>
      <c r="S38" s="16">
        <f t="shared" si="21"/>
        <v>39771174.32431141</v>
      </c>
      <c r="T38" s="16">
        <f t="shared" si="22"/>
        <v>52060870.97556523</v>
      </c>
      <c r="U38" s="16">
        <f t="shared" si="23"/>
        <v>46472449.83096641</v>
      </c>
      <c r="V38" s="16">
        <f t="shared" si="24"/>
        <v>47617768.62671774</v>
      </c>
      <c r="W38" s="16">
        <f t="shared" si="25"/>
        <v>59907465.27797156</v>
      </c>
      <c r="X38" s="54"/>
      <c r="Y38" s="53">
        <v>23</v>
      </c>
      <c r="Z38" s="53">
        <v>32</v>
      </c>
      <c r="AA38" s="53">
        <v>159</v>
      </c>
      <c r="AB38" s="53">
        <v>224</v>
      </c>
      <c r="AC38" s="53">
        <v>0</v>
      </c>
      <c r="AD38" s="53">
        <v>0</v>
      </c>
      <c r="AE38" s="53">
        <v>0</v>
      </c>
      <c r="AF38" s="53">
        <v>0</v>
      </c>
      <c r="AG38" s="53">
        <v>125</v>
      </c>
      <c r="AI38" s="53">
        <v>1250</v>
      </c>
      <c r="AJ38" s="53">
        <v>270</v>
      </c>
      <c r="AK38" s="53">
        <v>11640</v>
      </c>
      <c r="AL38" s="53">
        <v>38</v>
      </c>
      <c r="AM38" s="53">
        <v>6640</v>
      </c>
      <c r="AN38" s="53">
        <v>23</v>
      </c>
      <c r="AO38" s="53">
        <v>9660</v>
      </c>
      <c r="AP38" s="53">
        <v>0</v>
      </c>
      <c r="AQ38" s="53">
        <v>0</v>
      </c>
      <c r="AR38" s="53">
        <v>8</v>
      </c>
      <c r="AS38" s="53">
        <v>7000</v>
      </c>
      <c r="AT38" s="53">
        <v>42</v>
      </c>
      <c r="AU38" s="53">
        <v>75180</v>
      </c>
      <c r="AV38" s="53">
        <v>51</v>
      </c>
      <c r="AW38" s="53">
        <v>90775</v>
      </c>
      <c r="AX38" s="53">
        <v>0</v>
      </c>
      <c r="AY38" s="53">
        <v>0</v>
      </c>
      <c r="AZ38" s="53">
        <v>770</v>
      </c>
      <c r="BA38" s="53">
        <v>60</v>
      </c>
      <c r="BB38" s="53">
        <v>300</v>
      </c>
      <c r="BC38" s="53">
        <v>14076</v>
      </c>
      <c r="BD38" s="53">
        <v>4458255</v>
      </c>
      <c r="BE38" s="53">
        <v>634398</v>
      </c>
      <c r="BF38" s="53">
        <f t="shared" si="51"/>
        <v>1874202</v>
      </c>
      <c r="BG38" s="53">
        <f t="shared" si="52"/>
        <v>17860194</v>
      </c>
      <c r="BH38" s="53">
        <f t="shared" si="53"/>
        <v>567966</v>
      </c>
      <c r="BI38" s="53">
        <f t="shared" si="54"/>
        <v>1791898.4999999998</v>
      </c>
      <c r="BJ38" s="53">
        <f t="shared" si="55"/>
        <v>152400</v>
      </c>
      <c r="BK38" s="53">
        <f>SUMIF(Renseanlæg!$A:$A,SPILDEVAND!A38,Renseanlæg!$I:$I)</f>
        <v>10388687.228560092</v>
      </c>
      <c r="BL38" s="53">
        <f t="shared" si="56"/>
        <v>3655729</v>
      </c>
      <c r="BM38" s="53">
        <f t="shared" si="57"/>
        <v>1700380.8</v>
      </c>
      <c r="BN38" s="53">
        <v>31.4157256115733</v>
      </c>
      <c r="BO38" s="53">
        <f t="shared" si="58"/>
        <v>0.032136986301369866</v>
      </c>
      <c r="BP38" s="53">
        <f t="shared" si="59"/>
        <v>38625855.52856009</v>
      </c>
      <c r="BQ38" s="53">
        <f t="shared" si="60"/>
        <v>39771174.32431141</v>
      </c>
      <c r="BR38" s="53">
        <f t="shared" si="61"/>
        <v>52060870.97556523</v>
      </c>
      <c r="BS38" s="53">
        <v>37168835</v>
      </c>
      <c r="BT38" s="53"/>
      <c r="BU38" s="53">
        <f t="shared" si="26"/>
        <v>4.933219523339077</v>
      </c>
      <c r="BV38" s="53">
        <f t="shared" si="27"/>
        <v>47.01107870518943</v>
      </c>
      <c r="BW38" s="53">
        <f t="shared" si="28"/>
        <v>1.4949834435097191</v>
      </c>
      <c r="BX38" s="53">
        <f t="shared" si="29"/>
        <v>4.716582665071325</v>
      </c>
      <c r="BY38" s="53">
        <f t="shared" si="30"/>
        <v>0.40114280923661133</v>
      </c>
      <c r="BZ38" s="53">
        <f t="shared" si="31"/>
        <v>27.344797763419297</v>
      </c>
      <c r="CA38" s="53">
        <f t="shared" si="32"/>
        <v>9.6225026303658</v>
      </c>
      <c r="CB38" s="53">
        <f t="shared" si="33"/>
        <v>4.4756924598687435</v>
      </c>
      <c r="CD38" s="53">
        <f t="shared" si="34"/>
        <v>10.90389542671754</v>
      </c>
      <c r="CF38" s="53">
        <f t="shared" si="35"/>
        <v>16.69141625900236</v>
      </c>
      <c r="CG38" s="53">
        <f t="shared" si="36"/>
        <v>-26.86012591107978</v>
      </c>
      <c r="CH38" s="53">
        <f t="shared" si="37"/>
        <v>0.5361973542851715</v>
      </c>
      <c r="CI38" s="53">
        <f t="shared" si="38"/>
        <v>-3.2257862747002664</v>
      </c>
      <c r="CJ38" s="53">
        <f t="shared" si="39"/>
        <v>-0.3443981272113402</v>
      </c>
      <c r="CK38" s="53">
        <f t="shared" si="40"/>
        <v>6.856866985109544</v>
      </c>
      <c r="CL38" s="53">
        <f t="shared" si="41"/>
        <v>3.7563169497826987</v>
      </c>
      <c r="CM38" s="53">
        <f t="shared" si="42"/>
        <v>2.5895127648116</v>
      </c>
      <c r="CO38" s="53">
        <f t="shared" si="46"/>
        <v>19.81712637809913</v>
      </c>
      <c r="CP38" s="53">
        <f t="shared" si="47"/>
        <v>0</v>
      </c>
      <c r="CQ38" s="53">
        <f t="shared" si="43"/>
        <v>62.631556796978295</v>
      </c>
    </row>
    <row r="39" spans="1:95" ht="15">
      <c r="A39" s="54" t="s">
        <v>6</v>
      </c>
      <c r="B39" s="70">
        <v>4</v>
      </c>
      <c r="C39" s="16">
        <v>46386305.17152526</v>
      </c>
      <c r="D39" s="51">
        <v>0.2163392199326244</v>
      </c>
      <c r="E39" s="16">
        <f t="shared" si="14"/>
        <v>10035177.076364435</v>
      </c>
      <c r="F39" s="51"/>
      <c r="G39" s="16"/>
      <c r="H39" s="51">
        <v>0.08006521879289474</v>
      </c>
      <c r="I39" s="52">
        <f t="shared" si="44"/>
        <v>0</v>
      </c>
      <c r="J39" s="52">
        <f t="shared" si="45"/>
        <v>0</v>
      </c>
      <c r="K39" s="52">
        <f t="shared" si="48"/>
        <v>0</v>
      </c>
      <c r="L39" s="16">
        <f t="shared" si="15"/>
        <v>3713929.672552155</v>
      </c>
      <c r="M39" s="16">
        <f t="shared" si="16"/>
        <v>36351128.09516083</v>
      </c>
      <c r="N39" s="52">
        <f t="shared" si="17"/>
        <v>0.020016304698223686</v>
      </c>
      <c r="O39" s="51">
        <f t="shared" si="18"/>
        <v>0.020016304698223686</v>
      </c>
      <c r="P39" s="16">
        <f t="shared" si="19"/>
        <v>928482.4181380387</v>
      </c>
      <c r="Q39" s="51"/>
      <c r="R39" s="16">
        <f t="shared" si="20"/>
        <v>53350056.348489225</v>
      </c>
      <c r="S39" s="16">
        <f t="shared" si="21"/>
        <v>56538545.400359474</v>
      </c>
      <c r="T39" s="16">
        <f t="shared" si="22"/>
        <v>58215337.031507775</v>
      </c>
      <c r="U39" s="16">
        <f t="shared" si="23"/>
        <v>62627317.382794276</v>
      </c>
      <c r="V39" s="16">
        <f t="shared" si="24"/>
        <v>65815806.434664525</v>
      </c>
      <c r="W39" s="16">
        <f t="shared" si="25"/>
        <v>67492598.06581283</v>
      </c>
      <c r="X39" s="54"/>
      <c r="Y39" s="53">
        <v>353</v>
      </c>
      <c r="Z39" s="53">
        <v>203</v>
      </c>
      <c r="AA39" s="53">
        <v>414</v>
      </c>
      <c r="AB39" s="53">
        <v>305</v>
      </c>
      <c r="AC39" s="53">
        <v>9</v>
      </c>
      <c r="AD39" s="53">
        <v>13</v>
      </c>
      <c r="AE39" s="53">
        <v>0</v>
      </c>
      <c r="AF39" s="53">
        <v>0</v>
      </c>
      <c r="AG39" s="53">
        <v>19</v>
      </c>
      <c r="AH39" s="53">
        <v>36</v>
      </c>
      <c r="AI39" s="53">
        <v>250</v>
      </c>
      <c r="AJ39" s="53">
        <v>144</v>
      </c>
      <c r="AK39" s="53">
        <v>7050</v>
      </c>
      <c r="AL39" s="53">
        <v>13</v>
      </c>
      <c r="AM39" s="53">
        <v>5850</v>
      </c>
      <c r="AN39" s="53">
        <v>1</v>
      </c>
      <c r="AO39" s="53">
        <v>600</v>
      </c>
      <c r="AP39" s="53">
        <v>0</v>
      </c>
      <c r="AQ39" s="53">
        <v>0</v>
      </c>
      <c r="AR39" s="53">
        <v>0</v>
      </c>
      <c r="AS39" s="53">
        <v>0</v>
      </c>
      <c r="AT39" s="53">
        <v>35</v>
      </c>
      <c r="AU39" s="53">
        <v>107985</v>
      </c>
      <c r="AV39" s="53">
        <v>58</v>
      </c>
      <c r="AW39" s="53">
        <v>35114</v>
      </c>
      <c r="AX39" s="53">
        <v>2110</v>
      </c>
      <c r="AY39" s="53">
        <v>0</v>
      </c>
      <c r="AZ39" s="53">
        <v>0</v>
      </c>
      <c r="BA39" s="53">
        <v>1</v>
      </c>
      <c r="BB39" s="53">
        <v>5</v>
      </c>
      <c r="BC39" s="53">
        <v>24671</v>
      </c>
      <c r="BD39" s="53">
        <v>7436097</v>
      </c>
      <c r="BF39" s="53">
        <f t="shared" si="51"/>
        <v>7371661</v>
      </c>
      <c r="BG39" s="53">
        <f t="shared" si="52"/>
        <v>5570632</v>
      </c>
      <c r="BH39" s="53">
        <f t="shared" si="53"/>
        <v>473305</v>
      </c>
      <c r="BI39" s="53">
        <f t="shared" si="54"/>
        <v>693150.36</v>
      </c>
      <c r="BJ39" s="53">
        <f t="shared" si="55"/>
        <v>2540</v>
      </c>
      <c r="BK39" s="53">
        <f>SUMIF(Renseanlæg!$A:$A,SPILDEVAND!A39,Renseanlæg!$I:$I)</f>
        <v>27891517.188489232</v>
      </c>
      <c r="BL39" s="53">
        <f t="shared" si="56"/>
        <v>8366994</v>
      </c>
      <c r="BM39" s="53">
        <f t="shared" si="57"/>
        <v>2980256.8</v>
      </c>
      <c r="BN39" s="53">
        <v>33.297839367594385</v>
      </c>
      <c r="BO39" s="53">
        <f t="shared" si="58"/>
        <v>0.01902158828064765</v>
      </c>
      <c r="BP39" s="53">
        <f t="shared" si="59"/>
        <v>53350056.348489225</v>
      </c>
      <c r="BQ39" s="53">
        <f t="shared" si="60"/>
        <v>56538545.400359474</v>
      </c>
      <c r="BR39" s="53">
        <f t="shared" si="61"/>
        <v>58215337.031507775</v>
      </c>
      <c r="BS39" s="53">
        <v>50372224</v>
      </c>
      <c r="BT39" s="53"/>
      <c r="BU39" s="53">
        <f t="shared" si="26"/>
        <v>13.817531797618715</v>
      </c>
      <c r="BV39" s="53">
        <f t="shared" si="27"/>
        <v>10.441660948981827</v>
      </c>
      <c r="BW39" s="53">
        <f t="shared" si="28"/>
        <v>0.8871686974579983</v>
      </c>
      <c r="BX39" s="53">
        <f t="shared" si="29"/>
        <v>1.2992495368182093</v>
      </c>
      <c r="BY39" s="53">
        <f t="shared" si="30"/>
        <v>0.004761007155097275</v>
      </c>
      <c r="BZ39" s="53">
        <f t="shared" si="31"/>
        <v>52.28020192949443</v>
      </c>
      <c r="CA39" s="53">
        <f t="shared" si="32"/>
        <v>15.683196181360618</v>
      </c>
      <c r="CB39" s="53">
        <f t="shared" si="33"/>
        <v>5.586229901113113</v>
      </c>
      <c r="CD39" s="53">
        <f t="shared" si="34"/>
        <v>20.290930396189825</v>
      </c>
      <c r="CF39" s="53">
        <f t="shared" si="35"/>
        <v>7.807103984722721</v>
      </c>
      <c r="CG39" s="53">
        <f t="shared" si="36"/>
        <v>9.709291845127826</v>
      </c>
      <c r="CH39" s="53">
        <f t="shared" si="37"/>
        <v>1.1440121003368922</v>
      </c>
      <c r="CI39" s="53">
        <f t="shared" si="38"/>
        <v>0.19154685355284928</v>
      </c>
      <c r="CJ39" s="53">
        <f t="shared" si="39"/>
        <v>0.05198367487017381</v>
      </c>
      <c r="CK39" s="53">
        <f t="shared" si="40"/>
        <v>-18.07853718096559</v>
      </c>
      <c r="CL39" s="53">
        <f t="shared" si="41"/>
        <v>-2.3043766012121196</v>
      </c>
      <c r="CM39" s="53">
        <f t="shared" si="42"/>
        <v>1.47897532356723</v>
      </c>
      <c r="CO39" s="53">
        <f t="shared" si="46"/>
        <v>10.430091408626843</v>
      </c>
      <c r="CP39" s="53">
        <f t="shared" si="47"/>
        <v>0</v>
      </c>
      <c r="CQ39" s="53">
        <f t="shared" si="43"/>
        <v>32.03184088198986</v>
      </c>
    </row>
    <row r="40" spans="1:95" ht="15">
      <c r="A40" s="54" t="s">
        <v>115</v>
      </c>
      <c r="B40" s="70">
        <v>2</v>
      </c>
      <c r="C40" s="16">
        <v>37102617.265885875</v>
      </c>
      <c r="D40" s="51">
        <v>0.373587479276435</v>
      </c>
      <c r="E40" s="16">
        <f t="shared" si="14"/>
        <v>13861073.258920638</v>
      </c>
      <c r="F40" s="51"/>
      <c r="G40" s="16"/>
      <c r="H40" s="51">
        <v>0.23731348548249442</v>
      </c>
      <c r="I40" s="52">
        <f t="shared" si="44"/>
        <v>0</v>
      </c>
      <c r="J40" s="52">
        <f t="shared" si="45"/>
        <v>0</v>
      </c>
      <c r="K40" s="52">
        <f t="shared" si="48"/>
        <v>0</v>
      </c>
      <c r="L40" s="16">
        <f t="shared" si="15"/>
        <v>8804951.423890354</v>
      </c>
      <c r="M40" s="16">
        <f t="shared" si="16"/>
        <v>23241544.006965235</v>
      </c>
      <c r="N40" s="52">
        <f t="shared" si="17"/>
        <v>0.059328371370623606</v>
      </c>
      <c r="O40" s="51">
        <f t="shared" si="18"/>
        <v>0.05</v>
      </c>
      <c r="P40" s="16">
        <f t="shared" si="19"/>
        <v>1855130.8632942939</v>
      </c>
      <c r="Q40" s="51"/>
      <c r="R40" s="16">
        <f t="shared" si="20"/>
        <v>34110018.76084691</v>
      </c>
      <c r="S40" s="16">
        <f t="shared" si="21"/>
        <v>35129993.75681913</v>
      </c>
      <c r="T40" s="16">
        <f t="shared" si="22"/>
        <v>38787159.42508706</v>
      </c>
      <c r="U40" s="16">
        <f t="shared" si="23"/>
        <v>41530542.21402409</v>
      </c>
      <c r="V40" s="16">
        <f t="shared" si="24"/>
        <v>42550517.209996305</v>
      </c>
      <c r="W40" s="16">
        <f t="shared" si="25"/>
        <v>46207682.87826423</v>
      </c>
      <c r="X40" s="54"/>
      <c r="Y40" s="53">
        <v>155</v>
      </c>
      <c r="Z40" s="53">
        <v>85</v>
      </c>
      <c r="AA40" s="53">
        <v>369</v>
      </c>
      <c r="AB40" s="53">
        <v>279</v>
      </c>
      <c r="AC40" s="53">
        <v>11</v>
      </c>
      <c r="AD40" s="53">
        <v>18</v>
      </c>
      <c r="AE40" s="53">
        <v>0</v>
      </c>
      <c r="AF40" s="53">
        <v>0</v>
      </c>
      <c r="AG40" s="53">
        <v>84</v>
      </c>
      <c r="AH40" s="53">
        <v>70</v>
      </c>
      <c r="AI40" s="53">
        <v>511</v>
      </c>
      <c r="AJ40" s="53">
        <v>103</v>
      </c>
      <c r="AK40" s="53">
        <v>5234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99</v>
      </c>
      <c r="AU40" s="53">
        <v>201500</v>
      </c>
      <c r="AV40" s="53">
        <v>22</v>
      </c>
      <c r="AW40" s="53">
        <v>13000</v>
      </c>
      <c r="AX40" s="53">
        <v>0</v>
      </c>
      <c r="AY40" s="53">
        <v>710</v>
      </c>
      <c r="AZ40" s="53">
        <v>0</v>
      </c>
      <c r="BA40" s="53">
        <v>0</v>
      </c>
      <c r="BB40" s="53">
        <v>0</v>
      </c>
      <c r="BC40" s="53">
        <v>19595</v>
      </c>
      <c r="BD40" s="53">
        <v>5230401</v>
      </c>
      <c r="BF40" s="53">
        <f t="shared" si="51"/>
        <v>6325304</v>
      </c>
      <c r="BG40" s="53">
        <f t="shared" si="52"/>
        <v>4035833</v>
      </c>
      <c r="BH40" s="53">
        <f t="shared" si="53"/>
        <v>1338777</v>
      </c>
      <c r="BI40" s="53">
        <f t="shared" si="54"/>
        <v>256619.99999999997</v>
      </c>
      <c r="BJ40" s="53">
        <f t="shared" si="55"/>
        <v>0</v>
      </c>
      <c r="BK40" s="53">
        <f>SUMIF(Renseanlæg!$A:$A,SPILDEVAND!A40,Renseanlæg!$I:$I)</f>
        <v>16415541.760846911</v>
      </c>
      <c r="BL40" s="53">
        <f t="shared" si="56"/>
        <v>3370867</v>
      </c>
      <c r="BM40" s="53">
        <f t="shared" si="57"/>
        <v>2367076</v>
      </c>
      <c r="BN40" s="53">
        <v>31.431406543125007</v>
      </c>
      <c r="BO40" s="53">
        <f t="shared" si="58"/>
        <v>0.021368593238822245</v>
      </c>
      <c r="BP40" s="53">
        <f t="shared" si="59"/>
        <v>34110018.76084691</v>
      </c>
      <c r="BQ40" s="53">
        <f t="shared" si="60"/>
        <v>35129993.75681913</v>
      </c>
      <c r="BR40" s="53">
        <f t="shared" si="61"/>
        <v>38787159.42508706</v>
      </c>
      <c r="BS40" s="53">
        <f>35459516+194067</f>
        <v>35653583</v>
      </c>
      <c r="BT40" s="53"/>
      <c r="BU40" s="53">
        <f t="shared" si="26"/>
        <v>18.543830316682445</v>
      </c>
      <c r="BV40" s="53">
        <f t="shared" si="27"/>
        <v>11.831811141166886</v>
      </c>
      <c r="BW40" s="53">
        <f t="shared" si="28"/>
        <v>3.924879107767338</v>
      </c>
      <c r="BX40" s="53">
        <f t="shared" si="29"/>
        <v>0.7523302810215997</v>
      </c>
      <c r="BY40" s="53">
        <f t="shared" si="30"/>
        <v>0</v>
      </c>
      <c r="BZ40" s="53">
        <f t="shared" si="31"/>
        <v>48.125279191254634</v>
      </c>
      <c r="CA40" s="53">
        <f t="shared" si="32"/>
        <v>9.882336986191401</v>
      </c>
      <c r="CB40" s="53">
        <f t="shared" si="33"/>
        <v>6.939532975915689</v>
      </c>
      <c r="CD40" s="53">
        <f t="shared" si="34"/>
        <v>29.408242400365474</v>
      </c>
      <c r="CF40" s="53">
        <f t="shared" si="35"/>
        <v>3.0808054656589903</v>
      </c>
      <c r="CG40" s="53">
        <f t="shared" si="36"/>
        <v>8.319141652942767</v>
      </c>
      <c r="CH40" s="53">
        <f t="shared" si="37"/>
        <v>-1.8936983099724474</v>
      </c>
      <c r="CI40" s="53">
        <f t="shared" si="38"/>
        <v>0.7384661093494589</v>
      </c>
      <c r="CJ40" s="53">
        <f t="shared" si="39"/>
        <v>0.05674468202527108</v>
      </c>
      <c r="CK40" s="53">
        <f t="shared" si="40"/>
        <v>-13.923614442725793</v>
      </c>
      <c r="CL40" s="53">
        <f t="shared" si="41"/>
        <v>3.496482593957097</v>
      </c>
      <c r="CM40" s="53">
        <f t="shared" si="42"/>
        <v>0.125672248764654</v>
      </c>
      <c r="CO40" s="53">
        <f t="shared" si="46"/>
        <v>1.3127794044511951</v>
      </c>
      <c r="CP40" s="53">
        <f t="shared" si="47"/>
        <v>0</v>
      </c>
      <c r="CQ40" s="53">
        <f t="shared" si="43"/>
        <v>41.99238382255396</v>
      </c>
    </row>
    <row r="41" spans="1:95" ht="15">
      <c r="A41" s="54" t="s">
        <v>14</v>
      </c>
      <c r="B41" s="70">
        <v>2</v>
      </c>
      <c r="C41" s="16">
        <v>64261679.72335378</v>
      </c>
      <c r="D41" s="51">
        <v>0.26788805516808567</v>
      </c>
      <c r="E41" s="16">
        <f t="shared" si="14"/>
        <v>17214936.40292365</v>
      </c>
      <c r="F41" s="51"/>
      <c r="G41" s="16"/>
      <c r="H41" s="51">
        <v>0.1316140646314089</v>
      </c>
      <c r="I41" s="52">
        <f t="shared" si="44"/>
        <v>0</v>
      </c>
      <c r="J41" s="52">
        <f t="shared" si="45"/>
        <v>0</v>
      </c>
      <c r="K41" s="52">
        <f t="shared" si="48"/>
        <v>0</v>
      </c>
      <c r="L41" s="16">
        <f t="shared" si="15"/>
        <v>8457740.868432384</v>
      </c>
      <c r="M41" s="16">
        <f t="shared" si="16"/>
        <v>47046743.32043013</v>
      </c>
      <c r="N41" s="52">
        <f t="shared" si="17"/>
        <v>0.032903516157852225</v>
      </c>
      <c r="O41" s="51">
        <f t="shared" si="18"/>
        <v>0.032903516157852225</v>
      </c>
      <c r="P41" s="16">
        <f t="shared" si="19"/>
        <v>2114435.217108096</v>
      </c>
      <c r="Q41" s="51"/>
      <c r="R41" s="16">
        <f t="shared" si="20"/>
        <v>69047276.5293304</v>
      </c>
      <c r="S41" s="16">
        <f t="shared" si="21"/>
        <v>72346760.95131542</v>
      </c>
      <c r="T41" s="16">
        <f t="shared" si="22"/>
        <v>74758359.6910761</v>
      </c>
      <c r="U41" s="16">
        <f t="shared" si="23"/>
        <v>81899612.47400115</v>
      </c>
      <c r="V41" s="16">
        <f t="shared" si="24"/>
        <v>85199096.89598617</v>
      </c>
      <c r="W41" s="16">
        <f t="shared" si="25"/>
        <v>87610695.63574685</v>
      </c>
      <c r="X41" s="54"/>
      <c r="Y41" s="53">
        <v>233</v>
      </c>
      <c r="Z41" s="53">
        <v>92</v>
      </c>
      <c r="AA41" s="53">
        <v>540</v>
      </c>
      <c r="AB41" s="53">
        <v>391</v>
      </c>
      <c r="AC41" s="53">
        <v>54</v>
      </c>
      <c r="AD41" s="53">
        <v>64</v>
      </c>
      <c r="AE41" s="53">
        <v>0</v>
      </c>
      <c r="AF41" s="53">
        <v>0</v>
      </c>
      <c r="AG41" s="53">
        <v>84</v>
      </c>
      <c r="AH41" s="53">
        <v>31</v>
      </c>
      <c r="AI41" s="53">
        <v>377</v>
      </c>
      <c r="AJ41" s="53">
        <v>48</v>
      </c>
      <c r="AK41" s="53">
        <v>672</v>
      </c>
      <c r="AL41" s="53">
        <v>2</v>
      </c>
      <c r="AM41" s="53">
        <v>892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108</v>
      </c>
      <c r="AU41" s="53">
        <v>606245</v>
      </c>
      <c r="AV41" s="53">
        <v>32</v>
      </c>
      <c r="AW41" s="53">
        <v>109924</v>
      </c>
      <c r="AX41" s="53">
        <v>4698</v>
      </c>
      <c r="AY41" s="53">
        <v>0</v>
      </c>
      <c r="AZ41" s="53">
        <v>0</v>
      </c>
      <c r="BA41" s="53">
        <v>9</v>
      </c>
      <c r="BB41" s="53">
        <v>45</v>
      </c>
      <c r="BC41" s="53">
        <v>25540</v>
      </c>
      <c r="BD41" s="53">
        <v>6073823</v>
      </c>
      <c r="BF41" s="53">
        <f t="shared" si="51"/>
        <v>15650808</v>
      </c>
      <c r="BG41" s="53">
        <f t="shared" si="52"/>
        <v>2361277</v>
      </c>
      <c r="BH41" s="53">
        <f t="shared" si="53"/>
        <v>1460484</v>
      </c>
      <c r="BI41" s="53">
        <f t="shared" si="54"/>
        <v>2169899.76</v>
      </c>
      <c r="BJ41" s="53">
        <f t="shared" si="55"/>
        <v>22860</v>
      </c>
      <c r="BK41" s="53">
        <f>SUMIF(Renseanlæg!$A:$A,SPILDEVAND!A41,Renseanlæg!$I:$I)</f>
        <v>25667266.56933041</v>
      </c>
      <c r="BL41" s="53">
        <f t="shared" si="56"/>
        <v>18629449.2</v>
      </c>
      <c r="BM41" s="53">
        <f t="shared" si="57"/>
        <v>3085232</v>
      </c>
      <c r="BN41" s="53">
        <v>32.54911709396263</v>
      </c>
      <c r="BO41" s="53">
        <f t="shared" si="58"/>
        <v>0.018588064046579332</v>
      </c>
      <c r="BP41" s="53">
        <f t="shared" si="59"/>
        <v>69047276.5293304</v>
      </c>
      <c r="BQ41" s="53">
        <f t="shared" si="60"/>
        <v>72346760.95131542</v>
      </c>
      <c r="BR41" s="53">
        <f t="shared" si="61"/>
        <v>74758359.6910761</v>
      </c>
      <c r="BS41" s="53">
        <v>59990100</v>
      </c>
      <c r="BT41" s="53"/>
      <c r="BU41" s="53">
        <f t="shared" si="26"/>
        <v>22.66679988942321</v>
      </c>
      <c r="BV41" s="53">
        <f t="shared" si="27"/>
        <v>3.4197974470390005</v>
      </c>
      <c r="BW41" s="53">
        <f t="shared" si="28"/>
        <v>2.1151942167908753</v>
      </c>
      <c r="BX41" s="53">
        <f t="shared" si="29"/>
        <v>3.1426290348733072</v>
      </c>
      <c r="BY41" s="53">
        <f t="shared" si="30"/>
        <v>0.03310775044152446</v>
      </c>
      <c r="BZ41" s="53">
        <f t="shared" si="31"/>
        <v>37.17346702071194</v>
      </c>
      <c r="CA41" s="53">
        <f t="shared" si="32"/>
        <v>26.980715440798665</v>
      </c>
      <c r="CB41" s="53">
        <f t="shared" si="33"/>
        <v>4.468289199921496</v>
      </c>
      <c r="CD41" s="53">
        <f t="shared" si="34"/>
        <v>29.250283306135582</v>
      </c>
      <c r="CF41" s="53">
        <f t="shared" si="35"/>
        <v>-1.0421641070817742</v>
      </c>
      <c r="CG41" s="53">
        <f t="shared" si="36"/>
        <v>16.731155347070654</v>
      </c>
      <c r="CH41" s="53">
        <f t="shared" si="37"/>
        <v>-0.08401341899598469</v>
      </c>
      <c r="CI41" s="53">
        <f t="shared" si="38"/>
        <v>-1.6518326445022486</v>
      </c>
      <c r="CJ41" s="53">
        <f t="shared" si="39"/>
        <v>0.02363693158374662</v>
      </c>
      <c r="CK41" s="53">
        <f t="shared" si="40"/>
        <v>-2.9718022721830977</v>
      </c>
      <c r="CL41" s="53">
        <f t="shared" si="41"/>
        <v>-13.601895860650167</v>
      </c>
      <c r="CM41" s="53">
        <f t="shared" si="42"/>
        <v>2.5969160247588476</v>
      </c>
      <c r="CO41" s="53">
        <f t="shared" si="46"/>
        <v>1.4707384986810865</v>
      </c>
      <c r="CP41" s="53">
        <f t="shared" si="47"/>
        <v>0</v>
      </c>
      <c r="CQ41" s="53">
        <f>SUM(BU41:BX41)+CB41</f>
        <v>35.81270978804789</v>
      </c>
    </row>
    <row r="42" spans="1:95" ht="15">
      <c r="A42" s="54" t="s">
        <v>71</v>
      </c>
      <c r="B42" s="70">
        <v>2</v>
      </c>
      <c r="C42" s="16">
        <v>10372453.808805</v>
      </c>
      <c r="D42" s="51">
        <v>0.03212862</v>
      </c>
      <c r="E42" s="16">
        <f t="shared" si="14"/>
        <v>333252.62689064845</v>
      </c>
      <c r="F42" s="51"/>
      <c r="G42" s="16"/>
      <c r="H42" s="51">
        <v>0</v>
      </c>
      <c r="I42" s="52">
        <f t="shared" si="44"/>
        <v>-0.14886853851663137</v>
      </c>
      <c r="J42" s="52">
        <f t="shared" si="45"/>
        <v>-0.04548231588760122</v>
      </c>
      <c r="K42" s="52">
        <f t="shared" si="48"/>
        <v>-0.04548231588760122</v>
      </c>
      <c r="L42" s="16">
        <f t="shared" si="15"/>
        <v>-471763.2206616214</v>
      </c>
      <c r="M42" s="16">
        <f t="shared" si="16"/>
        <v>10039201.181914352</v>
      </c>
      <c r="N42" s="52">
        <f t="shared" si="17"/>
        <v>-0.011370578971900304</v>
      </c>
      <c r="O42" s="51">
        <f t="shared" si="18"/>
        <v>0</v>
      </c>
      <c r="P42" s="16">
        <f t="shared" si="19"/>
        <v>0</v>
      </c>
      <c r="Q42" s="51"/>
      <c r="R42" s="16">
        <f t="shared" si="20"/>
        <v>14733847.194841908</v>
      </c>
      <c r="S42" s="16">
        <f t="shared" si="21"/>
        <v>16481211.736549562</v>
      </c>
      <c r="T42" s="16">
        <f t="shared" si="22"/>
        <v>16252052.834989728</v>
      </c>
      <c r="U42" s="16">
        <f t="shared" si="23"/>
        <v>16808337.95660291</v>
      </c>
      <c r="V42" s="16">
        <f t="shared" si="24"/>
        <v>18555702.498310562</v>
      </c>
      <c r="W42" s="16">
        <f t="shared" si="25"/>
        <v>18326543.59675073</v>
      </c>
      <c r="X42" s="54"/>
      <c r="Y42" s="53">
        <v>68</v>
      </c>
      <c r="Z42" s="53">
        <v>35</v>
      </c>
      <c r="AA42" s="53">
        <v>224</v>
      </c>
      <c r="AB42" s="53">
        <v>163</v>
      </c>
      <c r="AC42" s="53">
        <v>34</v>
      </c>
      <c r="AD42" s="53">
        <v>31</v>
      </c>
      <c r="AE42" s="53">
        <v>0</v>
      </c>
      <c r="AF42" s="53">
        <v>0</v>
      </c>
      <c r="AG42" s="53">
        <v>190</v>
      </c>
      <c r="AH42" s="53">
        <v>2</v>
      </c>
      <c r="AI42" s="53">
        <v>6</v>
      </c>
      <c r="AJ42" s="53">
        <v>31</v>
      </c>
      <c r="AK42" s="53">
        <v>1210</v>
      </c>
      <c r="AL42" s="53">
        <v>2</v>
      </c>
      <c r="AM42" s="53">
        <v>850</v>
      </c>
      <c r="AN42" s="53">
        <v>1</v>
      </c>
      <c r="AO42" s="53">
        <v>680</v>
      </c>
      <c r="AP42" s="53">
        <v>0</v>
      </c>
      <c r="AQ42" s="53">
        <v>0</v>
      </c>
      <c r="AR42" s="53">
        <v>0</v>
      </c>
      <c r="AS42" s="53">
        <v>0</v>
      </c>
      <c r="AT42" s="53">
        <v>53</v>
      </c>
      <c r="AU42" s="53">
        <v>561423</v>
      </c>
      <c r="AV42" s="53">
        <v>2</v>
      </c>
      <c r="AW42" s="53">
        <v>8400</v>
      </c>
      <c r="AX42" s="53">
        <v>192</v>
      </c>
      <c r="AY42" s="53">
        <v>0</v>
      </c>
      <c r="AZ42" s="53">
        <v>0</v>
      </c>
      <c r="BA42" s="53">
        <v>0</v>
      </c>
      <c r="BB42" s="53">
        <v>0</v>
      </c>
      <c r="BC42" s="53">
        <v>10893</v>
      </c>
      <c r="BD42" s="53">
        <v>560411</v>
      </c>
      <c r="BF42" s="53">
        <f t="shared" si="51"/>
        <v>7757430</v>
      </c>
      <c r="BG42" s="53">
        <f t="shared" si="52"/>
        <v>2350141</v>
      </c>
      <c r="BH42" s="53">
        <f t="shared" si="53"/>
        <v>716719</v>
      </c>
      <c r="BI42" s="53">
        <f t="shared" si="54"/>
        <v>165816</v>
      </c>
      <c r="BJ42" s="53">
        <f t="shared" si="55"/>
        <v>0</v>
      </c>
      <c r="BK42" s="53">
        <f>SUMIF(Renseanlæg!$A:$A,SPILDEVAND!A42,Renseanlæg!$I:$I)</f>
        <v>1666509.9948419062</v>
      </c>
      <c r="BL42" s="53">
        <f t="shared" si="56"/>
        <v>761356.8</v>
      </c>
      <c r="BM42" s="53">
        <f t="shared" si="57"/>
        <v>1315874.4</v>
      </c>
      <c r="BN42" s="53">
        <v>36.97470418621968</v>
      </c>
      <c r="BO42" s="53">
        <f t="shared" si="58"/>
        <v>0.019627027027027028</v>
      </c>
      <c r="BP42" s="53">
        <f t="shared" si="59"/>
        <v>14733847.194841908</v>
      </c>
      <c r="BQ42" s="53">
        <f t="shared" si="60"/>
        <v>16481211.736549562</v>
      </c>
      <c r="BR42" s="53">
        <f t="shared" si="61"/>
        <v>16252052.834989728</v>
      </c>
      <c r="BS42" s="53">
        <v>10464688</v>
      </c>
      <c r="BT42" s="53"/>
      <c r="BU42" s="53">
        <f t="shared" si="26"/>
        <v>52.650403505716795</v>
      </c>
      <c r="BV42" s="53">
        <f t="shared" si="27"/>
        <v>15.950626940279033</v>
      </c>
      <c r="BW42" s="53">
        <f t="shared" si="28"/>
        <v>4.864438937923234</v>
      </c>
      <c r="BX42" s="53">
        <f t="shared" si="29"/>
        <v>1.1254087123833456</v>
      </c>
      <c r="BY42" s="53">
        <f t="shared" si="30"/>
        <v>0</v>
      </c>
      <c r="BZ42" s="53">
        <f t="shared" si="31"/>
        <v>11.31075932038528</v>
      </c>
      <c r="CA42" s="53">
        <f t="shared" si="32"/>
        <v>5.167399864622862</v>
      </c>
      <c r="CB42" s="53">
        <f t="shared" si="33"/>
        <v>8.930962718689434</v>
      </c>
      <c r="CD42" s="53">
        <f t="shared" si="34"/>
        <v>66.44580516232946</v>
      </c>
      <c r="CF42" s="53">
        <f t="shared" si="35"/>
        <v>-31.02576772337536</v>
      </c>
      <c r="CG42" s="53">
        <f t="shared" si="36"/>
        <v>4.20032585383062</v>
      </c>
      <c r="CH42" s="53">
        <f t="shared" si="37"/>
        <v>-2.8332581401283434</v>
      </c>
      <c r="CI42" s="53">
        <f t="shared" si="38"/>
        <v>0.365387677987713</v>
      </c>
      <c r="CJ42" s="53">
        <f t="shared" si="39"/>
        <v>0.05674468202527108</v>
      </c>
      <c r="CK42" s="53">
        <f t="shared" si="40"/>
        <v>22.89090542814356</v>
      </c>
      <c r="CL42" s="53">
        <f t="shared" si="41"/>
        <v>8.211419715525636</v>
      </c>
      <c r="CM42" s="53">
        <f t="shared" si="42"/>
        <v>-1.8657574940090909</v>
      </c>
      <c r="CO42" s="53">
        <f t="shared" si="46"/>
        <v>-35.72478335751279</v>
      </c>
      <c r="CP42" s="53">
        <f t="shared" si="47"/>
        <v>-4.548231588760122</v>
      </c>
      <c r="CQ42" s="53">
        <f t="shared" si="43"/>
        <v>83.52184081499185</v>
      </c>
    </row>
    <row r="43" spans="1:95" ht="15">
      <c r="A43" s="54" t="s">
        <v>58</v>
      </c>
      <c r="B43" s="70">
        <v>4</v>
      </c>
      <c r="C43" s="16">
        <v>6159770.72121175</v>
      </c>
      <c r="D43" s="51">
        <v>0.02592468</v>
      </c>
      <c r="E43" s="16">
        <f t="shared" si="14"/>
        <v>159690.0848207838</v>
      </c>
      <c r="F43" s="51"/>
      <c r="G43" s="16"/>
      <c r="H43" s="51">
        <v>0</v>
      </c>
      <c r="I43" s="52">
        <f t="shared" si="44"/>
        <v>0</v>
      </c>
      <c r="J43" s="52">
        <f t="shared" si="45"/>
        <v>0</v>
      </c>
      <c r="K43" s="52">
        <f t="shared" si="48"/>
        <v>0</v>
      </c>
      <c r="L43" s="16">
        <f t="shared" si="15"/>
        <v>0</v>
      </c>
      <c r="M43" s="16">
        <f t="shared" si="16"/>
        <v>6000080.636390966</v>
      </c>
      <c r="N43" s="52">
        <f t="shared" si="17"/>
        <v>0</v>
      </c>
      <c r="O43" s="51">
        <f t="shared" si="18"/>
        <v>0</v>
      </c>
      <c r="P43" s="16">
        <f t="shared" si="19"/>
        <v>0</v>
      </c>
      <c r="Q43" s="51"/>
      <c r="R43" s="16">
        <f t="shared" si="20"/>
        <v>8805906.608551202</v>
      </c>
      <c r="S43" s="16">
        <f t="shared" si="21"/>
        <v>4640712.782706484</v>
      </c>
      <c r="T43" s="16">
        <f t="shared" si="22"/>
        <v>8805906.608551202</v>
      </c>
      <c r="U43" s="16">
        <f t="shared" si="23"/>
        <v>10037860.752793552</v>
      </c>
      <c r="V43" s="16">
        <f t="shared" si="24"/>
        <v>5872666.926948834</v>
      </c>
      <c r="W43" s="16">
        <f t="shared" si="25"/>
        <v>10037860.752793552</v>
      </c>
      <c r="X43" s="54"/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250</v>
      </c>
      <c r="AZ43" s="53">
        <v>707</v>
      </c>
      <c r="BA43" s="53">
        <v>0</v>
      </c>
      <c r="BB43" s="53">
        <v>0</v>
      </c>
      <c r="BC43" s="53">
        <v>2</v>
      </c>
      <c r="BD43" s="53">
        <v>1853099</v>
      </c>
      <c r="BF43" s="53">
        <f t="shared" si="51"/>
        <v>0</v>
      </c>
      <c r="BG43" s="53">
        <f t="shared" si="52"/>
        <v>0</v>
      </c>
      <c r="BH43" s="53">
        <f t="shared" si="53"/>
        <v>0</v>
      </c>
      <c r="BI43" s="53">
        <f t="shared" si="54"/>
        <v>0</v>
      </c>
      <c r="BJ43" s="53">
        <f t="shared" si="55"/>
        <v>0</v>
      </c>
      <c r="BK43" s="53">
        <f>SUMIF(Renseanlæg!$A:$A,SPILDEVAND!A43,Renseanlæg!$I:$I)</f>
        <v>4262116.108551203</v>
      </c>
      <c r="BL43" s="53">
        <f t="shared" si="56"/>
        <v>4543548.899999999</v>
      </c>
      <c r="BM43" s="53">
        <f t="shared" si="57"/>
        <v>241.6</v>
      </c>
      <c r="BN43" s="53">
        <v>0</v>
      </c>
      <c r="BO43" s="53" t="e">
        <f t="shared" si="58"/>
        <v>#DIV/0!</v>
      </c>
      <c r="BP43" s="53">
        <f t="shared" si="59"/>
        <v>8805906.608551202</v>
      </c>
      <c r="BQ43" s="53">
        <f t="shared" si="60"/>
        <v>4640712.782706484</v>
      </c>
      <c r="BR43" s="53">
        <f>BP43</f>
        <v>8805906.608551202</v>
      </c>
      <c r="BS43" s="53">
        <v>4605023</v>
      </c>
      <c r="BT43" s="53"/>
      <c r="BU43" s="53">
        <f t="shared" si="26"/>
        <v>0</v>
      </c>
      <c r="BV43" s="53">
        <f t="shared" si="27"/>
        <v>0</v>
      </c>
      <c r="BW43" s="53">
        <f t="shared" si="28"/>
        <v>0</v>
      </c>
      <c r="BX43" s="53">
        <f t="shared" si="29"/>
        <v>0</v>
      </c>
      <c r="BY43" s="53">
        <f t="shared" si="30"/>
        <v>0</v>
      </c>
      <c r="BZ43" s="53">
        <f t="shared" si="31"/>
        <v>48.40065081331167</v>
      </c>
      <c r="CA43" s="53">
        <f t="shared" si="32"/>
        <v>51.59660557367107</v>
      </c>
      <c r="CB43" s="53">
        <f t="shared" si="33"/>
        <v>0.0027436130172603474</v>
      </c>
      <c r="CD43" s="53">
        <f t="shared" si="34"/>
        <v>0.0027436130172603474</v>
      </c>
      <c r="CF43" s="53">
        <f t="shared" si="35"/>
        <v>21.624635782341436</v>
      </c>
      <c r="CG43" s="53">
        <f t="shared" si="36"/>
        <v>20.150952794109653</v>
      </c>
      <c r="CH43" s="53">
        <f t="shared" si="37"/>
        <v>2.0311807977948906</v>
      </c>
      <c r="CI43" s="53">
        <f t="shared" si="38"/>
        <v>1.4907963903710586</v>
      </c>
      <c r="CJ43" s="53">
        <f t="shared" si="39"/>
        <v>0.05674468202527108</v>
      </c>
      <c r="CK43" s="53">
        <f t="shared" si="40"/>
        <v>-14.19898606478283</v>
      </c>
      <c r="CL43" s="53">
        <f t="shared" si="41"/>
        <v>-38.21778599352257</v>
      </c>
      <c r="CM43" s="53">
        <f t="shared" si="42"/>
        <v>7.062461611663083</v>
      </c>
      <c r="CO43" s="53">
        <f t="shared" si="46"/>
        <v>30.71827819179941</v>
      </c>
      <c r="CP43" s="53">
        <f t="shared" si="47"/>
        <v>0</v>
      </c>
      <c r="CQ43" s="53">
        <f t="shared" si="43"/>
        <v>0.0027436130172603474</v>
      </c>
    </row>
    <row r="44" spans="1:95" ht="15">
      <c r="A44" s="54" t="s">
        <v>74</v>
      </c>
      <c r="B44" s="70">
        <v>4</v>
      </c>
      <c r="C44" s="16">
        <v>18629365.353364635</v>
      </c>
      <c r="D44" s="51">
        <v>0.43586509454139744</v>
      </c>
      <c r="E44" s="16">
        <f t="shared" si="14"/>
        <v>8119890.090990511</v>
      </c>
      <c r="F44" s="51">
        <v>0.464256</v>
      </c>
      <c r="G44" s="16">
        <f>F44*C44</f>
        <v>8648794.641491652</v>
      </c>
      <c r="H44" s="51">
        <v>0.32126714045553595</v>
      </c>
      <c r="I44" s="52">
        <f t="shared" si="44"/>
        <v>-0.13792399927666968</v>
      </c>
      <c r="J44" s="52">
        <f t="shared" si="45"/>
        <v>-0.042138540259008116</v>
      </c>
      <c r="K44" s="52">
        <f t="shared" si="48"/>
        <v>0.27912860019652785</v>
      </c>
      <c r="L44" s="16">
        <f t="shared" si="15"/>
        <v>5199988.673634365</v>
      </c>
      <c r="M44" s="16">
        <f t="shared" si="16"/>
        <v>10509475.262374125</v>
      </c>
      <c r="N44" s="52">
        <f t="shared" si="17"/>
        <v>0.06978215004913196</v>
      </c>
      <c r="O44" s="51">
        <f t="shared" si="18"/>
        <v>0.05</v>
      </c>
      <c r="P44" s="16">
        <f t="shared" si="19"/>
        <v>931468.2676682319</v>
      </c>
      <c r="Q44" s="51"/>
      <c r="R44" s="16">
        <f t="shared" si="20"/>
        <v>13456823.08</v>
      </c>
      <c r="S44" s="16">
        <f t="shared" si="21"/>
        <v>18762160.615920134</v>
      </c>
      <c r="T44" s="16">
        <f t="shared" si="22"/>
        <v>17803278.420738958</v>
      </c>
      <c r="U44" s="16">
        <f t="shared" si="23"/>
        <v>17182696.150672927</v>
      </c>
      <c r="V44" s="16">
        <f t="shared" si="24"/>
        <v>22488033.686593063</v>
      </c>
      <c r="W44" s="16">
        <f t="shared" si="25"/>
        <v>21529151.491411887</v>
      </c>
      <c r="X44" s="54"/>
      <c r="Y44" s="53">
        <v>2</v>
      </c>
      <c r="Z44" s="53">
        <v>6</v>
      </c>
      <c r="AA44" s="53">
        <v>62</v>
      </c>
      <c r="AB44" s="53">
        <v>181</v>
      </c>
      <c r="AC44" s="53">
        <v>13</v>
      </c>
      <c r="AD44" s="53">
        <v>54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12</v>
      </c>
      <c r="AK44" s="53">
        <v>789</v>
      </c>
      <c r="AL44" s="53">
        <v>6</v>
      </c>
      <c r="AM44" s="53">
        <v>1413</v>
      </c>
      <c r="AN44" s="53">
        <v>0</v>
      </c>
      <c r="AO44" s="53">
        <v>0</v>
      </c>
      <c r="AP44" s="53">
        <v>0</v>
      </c>
      <c r="AQ44" s="53">
        <v>0</v>
      </c>
      <c r="AR44" s="53">
        <v>3</v>
      </c>
      <c r="AS44" s="53">
        <v>5281</v>
      </c>
      <c r="AT44" s="53">
        <v>19</v>
      </c>
      <c r="AU44" s="53">
        <v>164540</v>
      </c>
      <c r="AV44" s="53">
        <v>15</v>
      </c>
      <c r="AW44" s="53">
        <v>18272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9816</v>
      </c>
      <c r="BD44" s="53">
        <v>936782</v>
      </c>
      <c r="BE44" s="53">
        <v>677233</v>
      </c>
      <c r="BF44" s="53">
        <f t="shared" si="51"/>
        <v>6908925</v>
      </c>
      <c r="BG44" s="53">
        <f t="shared" si="52"/>
        <v>4067266</v>
      </c>
      <c r="BH44" s="53">
        <f t="shared" si="53"/>
        <v>256937</v>
      </c>
      <c r="BI44" s="53">
        <f t="shared" si="54"/>
        <v>360689.27999999997</v>
      </c>
      <c r="BJ44" s="53">
        <f t="shared" si="55"/>
        <v>0</v>
      </c>
      <c r="BK44" s="53">
        <f>SUMIF(Renseanlæg!$A:$A,SPILDEVAND!A44,Renseanlæg!$I:$I)</f>
        <v>0</v>
      </c>
      <c r="BL44" s="53">
        <f t="shared" si="56"/>
        <v>0</v>
      </c>
      <c r="BM44" s="53">
        <f t="shared" si="57"/>
        <v>1185772.8</v>
      </c>
      <c r="BN44" s="53">
        <v>54.203055502867514</v>
      </c>
      <c r="BO44" s="53">
        <f t="shared" si="58"/>
        <v>0.030867924528301886</v>
      </c>
      <c r="BP44" s="53">
        <f t="shared" si="59"/>
        <v>13456823.08</v>
      </c>
      <c r="BQ44" s="53">
        <f t="shared" si="60"/>
        <v>18762160.615920134</v>
      </c>
      <c r="BR44" s="53">
        <f t="shared" si="61"/>
        <v>17803278.420738958</v>
      </c>
      <c r="BS44" s="53">
        <v>18066383</v>
      </c>
      <c r="BT44" s="53"/>
      <c r="BU44" s="53">
        <f t="shared" si="26"/>
        <v>54.06218006016042</v>
      </c>
      <c r="BV44" s="53">
        <f t="shared" si="27"/>
        <v>31.826263397644126</v>
      </c>
      <c r="BW44" s="53">
        <f t="shared" si="28"/>
        <v>2.0105261467040734</v>
      </c>
      <c r="BX44" s="53">
        <f t="shared" si="29"/>
        <v>2.822385364022568</v>
      </c>
      <c r="BY44" s="53">
        <f t="shared" si="30"/>
        <v>0</v>
      </c>
      <c r="BZ44" s="53">
        <f t="shared" si="31"/>
        <v>0</v>
      </c>
      <c r="CA44" s="53">
        <f t="shared" si="32"/>
        <v>0</v>
      </c>
      <c r="CB44" s="53">
        <f t="shared" si="33"/>
        <v>9.278645031468804</v>
      </c>
      <c r="CD44" s="53">
        <f t="shared" si="34"/>
        <v>65.3513512383333</v>
      </c>
      <c r="CF44" s="53">
        <f t="shared" si="35"/>
        <v>-32.437544277818986</v>
      </c>
      <c r="CG44" s="53">
        <f t="shared" si="36"/>
        <v>-11.675310603534474</v>
      </c>
      <c r="CH44" s="53">
        <f t="shared" si="37"/>
        <v>0.02065465109081721</v>
      </c>
      <c r="CI44" s="53">
        <f t="shared" si="38"/>
        <v>-1.3315889736515092</v>
      </c>
      <c r="CJ44" s="53">
        <f t="shared" si="39"/>
        <v>0.05674468202527108</v>
      </c>
      <c r="CK44" s="53">
        <f t="shared" si="40"/>
        <v>34.20166474852884</v>
      </c>
      <c r="CL44" s="53">
        <f t="shared" si="41"/>
        <v>13.378819580148498</v>
      </c>
      <c r="CM44" s="53">
        <f t="shared" si="42"/>
        <v>-2.21343980678846</v>
      </c>
      <c r="CO44" s="53">
        <f t="shared" si="46"/>
        <v>-34.63032943351662</v>
      </c>
      <c r="CP44" s="53">
        <f t="shared" si="47"/>
        <v>-4.213854025900812</v>
      </c>
      <c r="CQ44" s="53">
        <f t="shared" si="43"/>
        <v>100</v>
      </c>
    </row>
    <row r="45" spans="1:95" ht="15">
      <c r="A45" s="54" t="s">
        <v>12</v>
      </c>
      <c r="B45" s="70">
        <v>6</v>
      </c>
      <c r="C45" s="53">
        <v>18728688</v>
      </c>
      <c r="D45" s="51">
        <v>0.2546200467253644</v>
      </c>
      <c r="E45" s="16">
        <f t="shared" si="14"/>
        <v>4768699.413664772</v>
      </c>
      <c r="F45" s="51"/>
      <c r="G45" s="16"/>
      <c r="H45" s="51">
        <v>0.13715732347896892</v>
      </c>
      <c r="I45" s="52">
        <f t="shared" si="44"/>
        <v>0</v>
      </c>
      <c r="J45" s="52">
        <f t="shared" si="45"/>
        <v>0</v>
      </c>
      <c r="K45" s="52">
        <f t="shared" si="48"/>
        <v>0</v>
      </c>
      <c r="L45" s="16">
        <f t="shared" si="15"/>
        <v>2568776.7183526834</v>
      </c>
      <c r="M45" s="16">
        <f t="shared" si="16"/>
        <v>13959988.586335227</v>
      </c>
      <c r="N45" s="52">
        <f t="shared" si="17"/>
        <v>0.03428933086974223</v>
      </c>
      <c r="O45" s="51">
        <f t="shared" si="18"/>
        <v>0.03428933086974223</v>
      </c>
      <c r="P45" s="16">
        <f t="shared" si="19"/>
        <v>642194.1795881708</v>
      </c>
      <c r="Q45" s="51"/>
      <c r="R45" s="16">
        <f t="shared" si="20"/>
        <v>17635413.879923858</v>
      </c>
      <c r="S45" s="16">
        <f t="shared" si="21"/>
        <v>22626187.833204336</v>
      </c>
      <c r="T45" s="16">
        <f t="shared" si="22"/>
        <v>23769226.460376542</v>
      </c>
      <c r="U45" s="16">
        <f t="shared" si="23"/>
        <v>21381151.47992386</v>
      </c>
      <c r="V45" s="16">
        <f t="shared" si="24"/>
        <v>26371925.433204338</v>
      </c>
      <c r="W45" s="16">
        <f t="shared" si="25"/>
        <v>27514964.060376544</v>
      </c>
      <c r="X45" s="54"/>
      <c r="Y45" s="53">
        <v>10</v>
      </c>
      <c r="Z45" s="53">
        <v>5</v>
      </c>
      <c r="AA45" s="53">
        <v>110</v>
      </c>
      <c r="AB45" s="53">
        <v>80</v>
      </c>
      <c r="AC45" s="53">
        <v>5</v>
      </c>
      <c r="AD45" s="53">
        <v>10</v>
      </c>
      <c r="AE45" s="53">
        <v>0</v>
      </c>
      <c r="AF45" s="53">
        <v>0</v>
      </c>
      <c r="AG45" s="53">
        <v>11</v>
      </c>
      <c r="AH45" s="53">
        <v>9</v>
      </c>
      <c r="AI45" s="53">
        <v>60</v>
      </c>
      <c r="AJ45" s="53">
        <v>8</v>
      </c>
      <c r="AK45" s="53">
        <v>416</v>
      </c>
      <c r="AL45" s="53">
        <v>27</v>
      </c>
      <c r="AM45" s="53">
        <v>3630</v>
      </c>
      <c r="AN45" s="53">
        <v>2</v>
      </c>
      <c r="AO45" s="53">
        <v>980</v>
      </c>
      <c r="AP45" s="53">
        <v>2</v>
      </c>
      <c r="AQ45" s="53">
        <v>1398</v>
      </c>
      <c r="AR45" s="53">
        <v>2</v>
      </c>
      <c r="AS45" s="53">
        <v>2779</v>
      </c>
      <c r="AT45" s="53">
        <v>5</v>
      </c>
      <c r="AU45" s="53">
        <v>14295</v>
      </c>
      <c r="AV45" s="53">
        <v>19</v>
      </c>
      <c r="AW45" s="53">
        <v>16902</v>
      </c>
      <c r="AX45" s="53">
        <v>728</v>
      </c>
      <c r="AY45" s="53">
        <v>0</v>
      </c>
      <c r="AZ45" s="53">
        <v>0</v>
      </c>
      <c r="BA45" s="53">
        <v>0</v>
      </c>
      <c r="BB45" s="53">
        <v>0</v>
      </c>
      <c r="BC45" s="53">
        <v>7070</v>
      </c>
      <c r="BD45" s="53">
        <v>2104215</v>
      </c>
      <c r="BF45" s="53">
        <f t="shared" si="51"/>
        <v>2183515</v>
      </c>
      <c r="BG45" s="53">
        <f t="shared" si="52"/>
        <v>5873525</v>
      </c>
      <c r="BH45" s="53">
        <f t="shared" si="53"/>
        <v>67615</v>
      </c>
      <c r="BI45" s="53">
        <f t="shared" si="54"/>
        <v>333645.48</v>
      </c>
      <c r="BJ45" s="53">
        <f t="shared" si="55"/>
        <v>0</v>
      </c>
      <c r="BK45" s="53">
        <f>SUMIF(Renseanlæg!$A:$A,SPILDEVAND!A45,Renseanlæg!$I:$I)</f>
        <v>5436246.199923859</v>
      </c>
      <c r="BL45" s="53">
        <f t="shared" si="56"/>
        <v>2886811.2</v>
      </c>
      <c r="BM45" s="53">
        <f t="shared" si="57"/>
        <v>854056</v>
      </c>
      <c r="BN45" s="53">
        <v>47.24982926847401</v>
      </c>
      <c r="BO45" s="53">
        <f t="shared" si="58"/>
        <v>0.032136363636363637</v>
      </c>
      <c r="BP45" s="53">
        <f t="shared" si="59"/>
        <v>17635413.879923858</v>
      </c>
      <c r="BQ45" s="53">
        <f t="shared" si="60"/>
        <v>22626187.833204336</v>
      </c>
      <c r="BR45" s="53">
        <f t="shared" si="61"/>
        <v>23769226.460376542</v>
      </c>
      <c r="BS45" s="53">
        <v>14701908</v>
      </c>
      <c r="BT45" s="53"/>
      <c r="BU45" s="53">
        <f t="shared" si="26"/>
        <v>12.38142192106822</v>
      </c>
      <c r="BV45" s="53">
        <f t="shared" si="27"/>
        <v>33.305285829931194</v>
      </c>
      <c r="BW45" s="53">
        <f t="shared" si="28"/>
        <v>0.3834046677916239</v>
      </c>
      <c r="BX45" s="53">
        <f t="shared" si="29"/>
        <v>1.8919061512915316</v>
      </c>
      <c r="BY45" s="53">
        <f t="shared" si="30"/>
        <v>0</v>
      </c>
      <c r="BZ45" s="53">
        <f t="shared" si="31"/>
        <v>30.825736424096505</v>
      </c>
      <c r="CA45" s="53">
        <f t="shared" si="32"/>
        <v>16.36939864102846</v>
      </c>
      <c r="CB45" s="53">
        <f t="shared" si="33"/>
        <v>4.842846364792475</v>
      </c>
      <c r="CD45" s="53">
        <f t="shared" si="34"/>
        <v>17.60767295365232</v>
      </c>
      <c r="CF45" s="53">
        <f t="shared" si="35"/>
        <v>9.243213861273215</v>
      </c>
      <c r="CG45" s="53">
        <f t="shared" si="36"/>
        <v>-13.15433303582154</v>
      </c>
      <c r="CH45" s="53">
        <f t="shared" si="37"/>
        <v>1.6477761300032667</v>
      </c>
      <c r="CI45" s="53">
        <f t="shared" si="38"/>
        <v>-0.401109760920473</v>
      </c>
      <c r="CJ45" s="53">
        <f t="shared" si="39"/>
        <v>0.05674468202527108</v>
      </c>
      <c r="CK45" s="53">
        <f t="shared" si="40"/>
        <v>3.375928324432337</v>
      </c>
      <c r="CL45" s="53">
        <f t="shared" si="41"/>
        <v>-2.9905790608799627</v>
      </c>
      <c r="CM45" s="53">
        <f t="shared" si="42"/>
        <v>2.2223588598878683</v>
      </c>
      <c r="CO45" s="53">
        <f t="shared" si="46"/>
        <v>13.11334885116435</v>
      </c>
      <c r="CP45" s="53">
        <f t="shared" si="47"/>
        <v>0</v>
      </c>
      <c r="CQ45" s="53">
        <f t="shared" si="43"/>
        <v>52.80486493487504</v>
      </c>
    </row>
    <row r="46" spans="1:95" ht="15">
      <c r="A46" s="54" t="s">
        <v>103</v>
      </c>
      <c r="B46" s="70">
        <v>6</v>
      </c>
      <c r="C46" s="53">
        <v>24809389</v>
      </c>
      <c r="D46" s="51">
        <v>0.362387686979291</v>
      </c>
      <c r="E46" s="16">
        <f t="shared" si="14"/>
        <v>8990617.095079467</v>
      </c>
      <c r="F46" s="51"/>
      <c r="G46" s="16"/>
      <c r="H46" s="51">
        <v>0.2261136803467214</v>
      </c>
      <c r="I46" s="52">
        <f t="shared" si="44"/>
        <v>0</v>
      </c>
      <c r="J46" s="52">
        <f t="shared" si="45"/>
        <v>0</v>
      </c>
      <c r="K46" s="52">
        <f t="shared" si="48"/>
        <v>0</v>
      </c>
      <c r="L46" s="16">
        <f t="shared" si="15"/>
        <v>5609742.253943467</v>
      </c>
      <c r="M46" s="16">
        <f t="shared" si="16"/>
        <v>15818771.904920533</v>
      </c>
      <c r="N46" s="52">
        <f t="shared" si="17"/>
        <v>0.05652842008668035</v>
      </c>
      <c r="O46" s="51">
        <f t="shared" si="18"/>
        <v>0.05</v>
      </c>
      <c r="P46" s="16">
        <f t="shared" si="19"/>
        <v>1240469.45</v>
      </c>
      <c r="Q46" s="51"/>
      <c r="R46" s="16">
        <f t="shared" si="20"/>
        <v>23216125.937597007</v>
      </c>
      <c r="S46" s="16">
        <f t="shared" si="21"/>
        <v>23849718.86348506</v>
      </c>
      <c r="T46" s="16">
        <f t="shared" si="22"/>
        <v>25564854.240947884</v>
      </c>
      <c r="U46" s="16">
        <f t="shared" si="23"/>
        <v>28178003.737597007</v>
      </c>
      <c r="V46" s="16">
        <f t="shared" si="24"/>
        <v>28811596.66348506</v>
      </c>
      <c r="W46" s="16">
        <f t="shared" si="25"/>
        <v>30526732.040947884</v>
      </c>
      <c r="X46" s="54"/>
      <c r="Y46" s="53">
        <v>120</v>
      </c>
      <c r="Z46" s="53">
        <v>79</v>
      </c>
      <c r="AA46" s="53">
        <v>290</v>
      </c>
      <c r="AB46" s="53">
        <v>266</v>
      </c>
      <c r="AC46" s="53">
        <v>5</v>
      </c>
      <c r="AD46" s="53">
        <v>8</v>
      </c>
      <c r="AE46" s="53">
        <v>0</v>
      </c>
      <c r="AF46" s="53">
        <v>0</v>
      </c>
      <c r="AG46" s="53">
        <v>0</v>
      </c>
      <c r="AH46" s="53">
        <v>33</v>
      </c>
      <c r="AI46" s="53">
        <v>158</v>
      </c>
      <c r="AJ46" s="53">
        <v>40</v>
      </c>
      <c r="AK46" s="53">
        <v>1064</v>
      </c>
      <c r="AL46" s="53">
        <v>3</v>
      </c>
      <c r="AM46" s="53">
        <v>570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42</v>
      </c>
      <c r="AU46" s="53">
        <v>182400</v>
      </c>
      <c r="AV46" s="53">
        <v>24</v>
      </c>
      <c r="AW46" s="53">
        <v>12602</v>
      </c>
      <c r="AX46" s="53">
        <v>986</v>
      </c>
      <c r="AY46" s="53">
        <v>0</v>
      </c>
      <c r="AZ46" s="53">
        <v>0</v>
      </c>
      <c r="BA46" s="53">
        <v>0</v>
      </c>
      <c r="BB46" s="53">
        <v>0</v>
      </c>
      <c r="BC46" s="53">
        <v>15000</v>
      </c>
      <c r="BD46" s="53">
        <v>3185172</v>
      </c>
      <c r="BF46" s="53">
        <f t="shared" si="51"/>
        <v>4362789</v>
      </c>
      <c r="BG46" s="53">
        <f t="shared" si="52"/>
        <v>1740475</v>
      </c>
      <c r="BH46" s="53">
        <f t="shared" si="53"/>
        <v>567966</v>
      </c>
      <c r="BI46" s="53">
        <f t="shared" si="54"/>
        <v>248763.47999999998</v>
      </c>
      <c r="BJ46" s="53">
        <f t="shared" si="55"/>
        <v>0</v>
      </c>
      <c r="BK46" s="53">
        <f>SUMIF(Renseanlæg!$A:$A,SPILDEVAND!A46,Renseanlæg!$I:$I)</f>
        <v>10574248.05759701</v>
      </c>
      <c r="BL46" s="53">
        <f t="shared" si="56"/>
        <v>3909884.4</v>
      </c>
      <c r="BM46" s="53">
        <f t="shared" si="57"/>
        <v>1812000</v>
      </c>
      <c r="BN46" s="53">
        <v>31.26819189598832</v>
      </c>
      <c r="BO46" s="53">
        <f t="shared" si="58"/>
        <v>0.01953125</v>
      </c>
      <c r="BP46" s="53">
        <f t="shared" si="59"/>
        <v>23216125.937597007</v>
      </c>
      <c r="BQ46" s="53">
        <f t="shared" si="60"/>
        <v>23849718.86348506</v>
      </c>
      <c r="BR46" s="53">
        <f t="shared" si="61"/>
        <v>25564854.240947884</v>
      </c>
      <c r="BS46" s="53">
        <v>22014992</v>
      </c>
      <c r="BT46" s="53"/>
      <c r="BU46" s="53">
        <f t="shared" si="26"/>
        <v>18.79206294679315</v>
      </c>
      <c r="BV46" s="53">
        <f t="shared" si="27"/>
        <v>7.496836486320975</v>
      </c>
      <c r="BW46" s="53">
        <f t="shared" si="28"/>
        <v>2.4464288379837567</v>
      </c>
      <c r="BX46" s="53">
        <f t="shared" si="29"/>
        <v>1.0715115892662508</v>
      </c>
      <c r="BY46" s="53">
        <f t="shared" si="30"/>
        <v>0</v>
      </c>
      <c r="BZ46" s="53">
        <f t="shared" si="31"/>
        <v>45.546996454187486</v>
      </c>
      <c r="CA46" s="53">
        <f t="shared" si="32"/>
        <v>16.841243928937327</v>
      </c>
      <c r="CB46" s="53">
        <f t="shared" si="33"/>
        <v>7.804919756511071</v>
      </c>
      <c r="CD46" s="53">
        <f t="shared" si="34"/>
        <v>29.043411541287973</v>
      </c>
      <c r="CF46" s="53">
        <f t="shared" si="35"/>
        <v>2.8325728355482873</v>
      </c>
      <c r="CG46" s="53">
        <f t="shared" si="36"/>
        <v>12.654116307788678</v>
      </c>
      <c r="CH46" s="53">
        <f t="shared" si="37"/>
        <v>-0.4152480401888661</v>
      </c>
      <c r="CI46" s="53">
        <f t="shared" si="38"/>
        <v>0.4192848011048078</v>
      </c>
      <c r="CJ46" s="53">
        <f t="shared" si="39"/>
        <v>0.05674468202527108</v>
      </c>
      <c r="CK46" s="53">
        <f t="shared" si="40"/>
        <v>-11.345331705658644</v>
      </c>
      <c r="CL46" s="53">
        <f t="shared" si="41"/>
        <v>-3.4624243487888293</v>
      </c>
      <c r="CM46" s="53">
        <f t="shared" si="42"/>
        <v>-0.7397145318307272</v>
      </c>
      <c r="CO46" s="53">
        <f t="shared" si="46"/>
        <v>1.6776102635286954</v>
      </c>
      <c r="CP46" s="53">
        <f t="shared" si="47"/>
        <v>0</v>
      </c>
      <c r="CQ46" s="53">
        <f t="shared" si="43"/>
        <v>37.611759616875204</v>
      </c>
    </row>
    <row r="47" spans="1:95" ht="15">
      <c r="A47" s="54" t="s">
        <v>118</v>
      </c>
      <c r="B47" s="70">
        <v>6</v>
      </c>
      <c r="C47" s="53">
        <v>8540781.453015</v>
      </c>
      <c r="D47" s="51">
        <v>0.5741797364776423</v>
      </c>
      <c r="E47" s="16">
        <f t="shared" si="14"/>
        <v>4903943.644005287</v>
      </c>
      <c r="F47" s="51">
        <v>0.6103592</v>
      </c>
      <c r="G47" s="16">
        <f>F47*C47</f>
        <v>5212944.535037072</v>
      </c>
      <c r="H47" s="51">
        <v>0.43790575129359643</v>
      </c>
      <c r="I47" s="52">
        <f t="shared" si="44"/>
        <v>-0.09197879124613735</v>
      </c>
      <c r="J47" s="52">
        <f t="shared" si="45"/>
        <v>-0.028101360301519884</v>
      </c>
      <c r="K47" s="52">
        <f t="shared" si="48"/>
        <v>0.40980439099207655</v>
      </c>
      <c r="L47" s="16">
        <f t="shared" si="15"/>
        <v>3500049.7419492346</v>
      </c>
      <c r="M47" s="16">
        <f>IF(D47&gt;0,C47-E47,"Over front")</f>
        <v>3636837.809009712</v>
      </c>
      <c r="N47" s="52">
        <f t="shared" si="17"/>
        <v>0.10245109774801914</v>
      </c>
      <c r="O47" s="51">
        <f t="shared" si="18"/>
        <v>0.05</v>
      </c>
      <c r="P47" s="16">
        <f t="shared" si="19"/>
        <v>427039.07265075</v>
      </c>
      <c r="Q47" s="51"/>
      <c r="R47" s="16">
        <f t="shared" si="20"/>
        <v>5337537.2</v>
      </c>
      <c r="S47" s="16">
        <f t="shared" si="21"/>
        <v>5855910.668104743</v>
      </c>
      <c r="T47" s="16">
        <f t="shared" si="22"/>
        <v>6022168.724057796</v>
      </c>
      <c r="U47" s="16">
        <f t="shared" si="23"/>
        <v>7045693.490603</v>
      </c>
      <c r="V47" s="16">
        <f t="shared" si="24"/>
        <v>7564066.958707742</v>
      </c>
      <c r="W47" s="16">
        <f t="shared" si="25"/>
        <v>7730325.014660796</v>
      </c>
      <c r="X47" s="54"/>
      <c r="Y47" s="53">
        <v>34</v>
      </c>
      <c r="Z47" s="53">
        <v>9</v>
      </c>
      <c r="AA47" s="53">
        <v>82</v>
      </c>
      <c r="AB47" s="53">
        <v>35</v>
      </c>
      <c r="AC47" s="53">
        <v>9</v>
      </c>
      <c r="AD47" s="53">
        <v>10</v>
      </c>
      <c r="AE47" s="53">
        <v>0</v>
      </c>
      <c r="AF47" s="53">
        <v>0</v>
      </c>
      <c r="AG47" s="53">
        <v>39</v>
      </c>
      <c r="AH47" s="53">
        <v>0</v>
      </c>
      <c r="AI47" s="53">
        <v>0</v>
      </c>
      <c r="AJ47" s="53">
        <v>47</v>
      </c>
      <c r="AK47" s="53">
        <v>976</v>
      </c>
      <c r="AL47" s="53">
        <v>5</v>
      </c>
      <c r="AM47" s="53">
        <v>802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13</v>
      </c>
      <c r="AU47" s="53">
        <v>35535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3744</v>
      </c>
      <c r="BD47" s="53">
        <v>455715</v>
      </c>
      <c r="BE47" s="53">
        <v>453500</v>
      </c>
      <c r="BF47" s="53">
        <f t="shared" si="51"/>
        <v>2339312</v>
      </c>
      <c r="BG47" s="53">
        <f t="shared" si="52"/>
        <v>1916651</v>
      </c>
      <c r="BH47" s="53">
        <f t="shared" si="53"/>
        <v>175799</v>
      </c>
      <c r="BI47" s="53">
        <f t="shared" si="54"/>
        <v>0</v>
      </c>
      <c r="BJ47" s="53">
        <f t="shared" si="55"/>
        <v>0</v>
      </c>
      <c r="BK47" s="53">
        <f>SUMIF(Renseanlæg!$A:$A,SPILDEVAND!A47,Renseanlæg!$I:$I)</f>
        <v>0</v>
      </c>
      <c r="BL47" s="53">
        <f t="shared" si="56"/>
        <v>0</v>
      </c>
      <c r="BM47" s="53">
        <f t="shared" si="57"/>
        <v>452275.2</v>
      </c>
      <c r="BN47" s="53">
        <v>35.632404628776435</v>
      </c>
      <c r="BO47" s="53">
        <f t="shared" si="58"/>
        <v>0.020916201117318435</v>
      </c>
      <c r="BP47" s="53">
        <f t="shared" si="59"/>
        <v>5337537.2</v>
      </c>
      <c r="BQ47" s="53">
        <f t="shared" si="60"/>
        <v>5855910.668104743</v>
      </c>
      <c r="BR47" s="53">
        <f t="shared" si="61"/>
        <v>6022168.724057796</v>
      </c>
      <c r="BS47" s="53">
        <v>7014577</v>
      </c>
      <c r="BT47" s="53"/>
      <c r="BU47" s="53">
        <f t="shared" si="26"/>
        <v>47.89709627928305</v>
      </c>
      <c r="BV47" s="53">
        <f t="shared" si="27"/>
        <v>39.243169564719935</v>
      </c>
      <c r="BW47" s="53">
        <f t="shared" si="28"/>
        <v>3.59946070844833</v>
      </c>
      <c r="BX47" s="53">
        <f t="shared" si="29"/>
        <v>0</v>
      </c>
      <c r="BY47" s="53">
        <f t="shared" si="30"/>
        <v>0</v>
      </c>
      <c r="BZ47" s="53">
        <f t="shared" si="31"/>
        <v>0</v>
      </c>
      <c r="CA47" s="53">
        <f t="shared" si="32"/>
        <v>0</v>
      </c>
      <c r="CB47" s="53">
        <f t="shared" si="33"/>
        <v>9.260273447548679</v>
      </c>
      <c r="CD47" s="53">
        <f t="shared" si="34"/>
        <v>60.75683043528006</v>
      </c>
      <c r="CF47" s="53">
        <f t="shared" si="35"/>
        <v>-26.272460496941612</v>
      </c>
      <c r="CG47" s="53">
        <f t="shared" si="36"/>
        <v>-19.092216770610282</v>
      </c>
      <c r="CH47" s="53">
        <f t="shared" si="37"/>
        <v>-1.5682799106534393</v>
      </c>
      <c r="CI47" s="53">
        <f t="shared" si="38"/>
        <v>1.4907963903710586</v>
      </c>
      <c r="CJ47" s="53">
        <f t="shared" si="39"/>
        <v>0.05674468202527108</v>
      </c>
      <c r="CK47" s="53">
        <f t="shared" si="40"/>
        <v>34.20166474852884</v>
      </c>
      <c r="CL47" s="53">
        <f t="shared" si="41"/>
        <v>13.378819580148498</v>
      </c>
      <c r="CM47" s="53">
        <f t="shared" si="42"/>
        <v>-2.1950682228683354</v>
      </c>
      <c r="CO47" s="53">
        <f t="shared" si="46"/>
        <v>-30.03580863046339</v>
      </c>
      <c r="CP47" s="53">
        <f t="shared" si="47"/>
        <v>-2.8101360301519884</v>
      </c>
      <c r="CQ47" s="53">
        <f t="shared" si="43"/>
        <v>100</v>
      </c>
    </row>
    <row r="48" spans="1:95" ht="15">
      <c r="A48" s="54" t="s">
        <v>19</v>
      </c>
      <c r="B48" s="70">
        <v>6</v>
      </c>
      <c r="C48" s="16">
        <v>21180203.352789667</v>
      </c>
      <c r="D48" s="51">
        <v>0</v>
      </c>
      <c r="E48" s="16">
        <f t="shared" si="14"/>
        <v>0</v>
      </c>
      <c r="F48" s="51"/>
      <c r="G48" s="16"/>
      <c r="H48" s="51">
        <v>0</v>
      </c>
      <c r="I48" s="52">
        <f t="shared" si="44"/>
        <v>0</v>
      </c>
      <c r="J48" s="52">
        <f t="shared" si="45"/>
        <v>0</v>
      </c>
      <c r="K48" s="52">
        <f t="shared" si="48"/>
        <v>0</v>
      </c>
      <c r="L48" s="16">
        <f t="shared" si="15"/>
        <v>0</v>
      </c>
      <c r="M48" s="16">
        <v>22913420</v>
      </c>
      <c r="N48" s="52">
        <f t="shared" si="17"/>
        <v>0</v>
      </c>
      <c r="O48" s="51">
        <f t="shared" si="18"/>
        <v>0</v>
      </c>
      <c r="P48" s="16">
        <f t="shared" si="19"/>
        <v>0</v>
      </c>
      <c r="Q48" s="51"/>
      <c r="R48" s="16">
        <f t="shared" si="20"/>
        <v>29218447.220483717</v>
      </c>
      <c r="S48" s="16">
        <f t="shared" si="21"/>
        <v>29403822.816216413</v>
      </c>
      <c r="T48" s="16">
        <f t="shared" si="22"/>
        <v>39013948.394306034</v>
      </c>
      <c r="U48" s="16">
        <f t="shared" si="23"/>
        <v>33454487.89104165</v>
      </c>
      <c r="V48" s="16">
        <f t="shared" si="24"/>
        <v>33639863.48677435</v>
      </c>
      <c r="W48" s="16">
        <f t="shared" si="25"/>
        <v>43249989.064863965</v>
      </c>
      <c r="X48" s="54"/>
      <c r="Y48" s="53">
        <v>295</v>
      </c>
      <c r="Z48" s="53">
        <v>136</v>
      </c>
      <c r="AA48" s="53">
        <v>169</v>
      </c>
      <c r="AB48" s="53">
        <v>201</v>
      </c>
      <c r="AC48" s="53">
        <v>0</v>
      </c>
      <c r="AD48" s="53">
        <v>0</v>
      </c>
      <c r="AE48" s="53">
        <v>0</v>
      </c>
      <c r="AF48" s="53">
        <v>0</v>
      </c>
      <c r="AG48" s="53">
        <v>7</v>
      </c>
      <c r="AH48" s="53">
        <v>0</v>
      </c>
      <c r="AI48" s="53">
        <v>0</v>
      </c>
      <c r="AJ48" s="53">
        <v>210</v>
      </c>
      <c r="AK48" s="53">
        <v>11000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19</v>
      </c>
      <c r="AU48" s="53">
        <v>16415</v>
      </c>
      <c r="AV48" s="53">
        <v>17</v>
      </c>
      <c r="AW48" s="53">
        <v>18201</v>
      </c>
      <c r="AX48" s="53">
        <v>1220</v>
      </c>
      <c r="AY48" s="53">
        <v>0</v>
      </c>
      <c r="AZ48" s="53">
        <v>91</v>
      </c>
      <c r="BA48" s="53">
        <v>0</v>
      </c>
      <c r="BB48" s="53">
        <v>0</v>
      </c>
      <c r="BC48" s="53">
        <v>25227</v>
      </c>
      <c r="BD48" s="53">
        <v>4108603</v>
      </c>
      <c r="BF48" s="53">
        <f t="shared" si="51"/>
        <v>3427479</v>
      </c>
      <c r="BG48" s="53">
        <f t="shared" si="52"/>
        <v>5157166</v>
      </c>
      <c r="BH48" s="53">
        <f t="shared" si="53"/>
        <v>256937</v>
      </c>
      <c r="BI48" s="53">
        <f t="shared" si="54"/>
        <v>359287.74</v>
      </c>
      <c r="BJ48" s="53">
        <f t="shared" si="55"/>
        <v>0</v>
      </c>
      <c r="BK48" s="53">
        <f>SUMIF(Renseanlæg!$A:$A,SPILDEVAND!A48,Renseanlæg!$I:$I)</f>
        <v>11700327.180483716</v>
      </c>
      <c r="BL48" s="53">
        <f t="shared" si="56"/>
        <v>5269828.7</v>
      </c>
      <c r="BM48" s="53">
        <f t="shared" si="57"/>
        <v>3047421.6</v>
      </c>
      <c r="BN48" s="53">
        <v>29.959029447505035</v>
      </c>
      <c r="BO48" s="53">
        <f t="shared" si="58"/>
        <v>0.03149438202247191</v>
      </c>
      <c r="BP48" s="53">
        <f t="shared" si="59"/>
        <v>29218447.220483717</v>
      </c>
      <c r="BQ48" s="53">
        <f t="shared" si="60"/>
        <v>29403822.816216413</v>
      </c>
      <c r="BR48" s="53">
        <f t="shared" si="61"/>
        <v>39013948.394306034</v>
      </c>
      <c r="BS48" s="53">
        <v>22569921</v>
      </c>
      <c r="BT48" s="53"/>
      <c r="BU48" s="53">
        <f t="shared" si="26"/>
        <v>11.730530969479963</v>
      </c>
      <c r="BV48" s="53">
        <f t="shared" si="27"/>
        <v>17.650376698952527</v>
      </c>
      <c r="BW48" s="53">
        <f t="shared" si="28"/>
        <v>0.8793656899736726</v>
      </c>
      <c r="BX48" s="53">
        <f t="shared" si="29"/>
        <v>1.229660622581339</v>
      </c>
      <c r="BY48" s="53">
        <f t="shared" si="30"/>
        <v>0</v>
      </c>
      <c r="BZ48" s="53">
        <f t="shared" si="31"/>
        <v>40.04431547026617</v>
      </c>
      <c r="CA48" s="53">
        <f t="shared" si="32"/>
        <v>18.035964266799105</v>
      </c>
      <c r="CB48" s="53">
        <f t="shared" si="33"/>
        <v>10.429786281947221</v>
      </c>
      <c r="CD48" s="53">
        <f t="shared" si="34"/>
        <v>23.039682941400855</v>
      </c>
      <c r="CF48" s="53">
        <f t="shared" si="35"/>
        <v>9.894104812861473</v>
      </c>
      <c r="CG48" s="53">
        <f t="shared" si="36"/>
        <v>2.5005760951571254</v>
      </c>
      <c r="CH48" s="53">
        <f t="shared" si="37"/>
        <v>1.151815107821218</v>
      </c>
      <c r="CI48" s="53">
        <f t="shared" si="38"/>
        <v>0.2611357677897197</v>
      </c>
      <c r="CJ48" s="53">
        <f t="shared" si="39"/>
        <v>0.05674468202527108</v>
      </c>
      <c r="CK48" s="53">
        <f t="shared" si="40"/>
        <v>-5.8426507217373285</v>
      </c>
      <c r="CL48" s="53">
        <f t="shared" si="41"/>
        <v>-4.657144686650607</v>
      </c>
      <c r="CM48" s="53">
        <f t="shared" si="42"/>
        <v>-3.3645810572668777</v>
      </c>
      <c r="CO48" s="53">
        <f t="shared" si="46"/>
        <v>7.681338863415814</v>
      </c>
      <c r="CP48" s="53">
        <f t="shared" si="47"/>
        <v>0</v>
      </c>
      <c r="CQ48" s="53">
        <f t="shared" si="43"/>
        <v>41.919720262934725</v>
      </c>
    </row>
    <row r="49" spans="1:95" ht="15">
      <c r="A49" s="54" t="s">
        <v>82</v>
      </c>
      <c r="B49" s="70">
        <v>6</v>
      </c>
      <c r="C49" s="16">
        <v>25214997.13747907</v>
      </c>
      <c r="D49" s="51">
        <v>0.2809114918774053</v>
      </c>
      <c r="E49" s="16">
        <f t="shared" si="14"/>
        <v>7083182.463573749</v>
      </c>
      <c r="F49" s="51">
        <v>0.3081653</v>
      </c>
      <c r="G49" s="16">
        <f>F49*C49</f>
        <v>7770387.157370378</v>
      </c>
      <c r="H49" s="51">
        <v>0.14463747452422926</v>
      </c>
      <c r="I49" s="52">
        <f t="shared" si="44"/>
        <v>0</v>
      </c>
      <c r="J49" s="52">
        <f t="shared" si="45"/>
        <v>0</v>
      </c>
      <c r="K49" s="52">
        <f t="shared" si="48"/>
        <v>0</v>
      </c>
      <c r="L49" s="16">
        <f t="shared" si="15"/>
        <v>3647033.506100643</v>
      </c>
      <c r="M49" s="16">
        <f t="shared" si="16"/>
        <v>18131814.67390532</v>
      </c>
      <c r="N49" s="52">
        <f t="shared" si="17"/>
        <v>0.036159368631057315</v>
      </c>
      <c r="O49" s="51">
        <f t="shared" si="18"/>
        <v>0.036159368631057315</v>
      </c>
      <c r="P49" s="16">
        <f t="shared" si="19"/>
        <v>911758.3765251607</v>
      </c>
      <c r="Q49" s="51"/>
      <c r="R49" s="16">
        <f t="shared" si="20"/>
        <v>26610820.242147062</v>
      </c>
      <c r="S49" s="16">
        <f t="shared" si="21"/>
        <v>27469531.50150588</v>
      </c>
      <c r="T49" s="16">
        <f t="shared" si="22"/>
        <v>26610820.242147062</v>
      </c>
      <c r="U49" s="16">
        <f t="shared" si="23"/>
        <v>31653819.669642877</v>
      </c>
      <c r="V49" s="16">
        <f t="shared" si="24"/>
        <v>32512530.929001696</v>
      </c>
      <c r="W49" s="16">
        <f t="shared" si="25"/>
        <v>31653819.669642877</v>
      </c>
      <c r="X49" s="54"/>
      <c r="Y49" s="53">
        <v>1</v>
      </c>
      <c r="Z49" s="53">
        <v>8</v>
      </c>
      <c r="AA49" s="53">
        <v>0</v>
      </c>
      <c r="AB49" s="53">
        <v>2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1</v>
      </c>
      <c r="AS49" s="53">
        <v>3113</v>
      </c>
      <c r="AT49" s="53">
        <v>0</v>
      </c>
      <c r="AU49" s="53">
        <v>0</v>
      </c>
      <c r="AV49" s="53">
        <v>0</v>
      </c>
      <c r="AW49" s="53">
        <v>0</v>
      </c>
      <c r="AX49" s="53">
        <v>1619</v>
      </c>
      <c r="AY49" s="53">
        <v>0</v>
      </c>
      <c r="AZ49" s="53">
        <v>0</v>
      </c>
      <c r="BA49" s="53">
        <v>0</v>
      </c>
      <c r="BB49" s="53">
        <v>0</v>
      </c>
      <c r="BC49" s="53">
        <v>26169</v>
      </c>
      <c r="BD49" s="53">
        <v>4975702</v>
      </c>
      <c r="BE49" s="53">
        <f>613825+464400*0.85</f>
        <v>1008565</v>
      </c>
      <c r="BF49" s="53">
        <f t="shared" si="51"/>
        <v>47069</v>
      </c>
      <c r="BG49" s="53">
        <f t="shared" si="52"/>
        <v>1861574</v>
      </c>
      <c r="BH49" s="53">
        <f t="shared" si="53"/>
        <v>0</v>
      </c>
      <c r="BI49" s="53">
        <f t="shared" si="54"/>
        <v>0</v>
      </c>
      <c r="BJ49" s="53">
        <f t="shared" si="55"/>
        <v>0</v>
      </c>
      <c r="BK49" s="53">
        <f>SUMIF(Renseanlæg!$A:$A,SPILDEVAND!A49,Renseanlæg!$I:$I)</f>
        <v>14112414.442147063</v>
      </c>
      <c r="BL49" s="53">
        <f t="shared" si="56"/>
        <v>6419982.600000001</v>
      </c>
      <c r="BM49" s="53">
        <f t="shared" si="57"/>
        <v>3161215.1999999997</v>
      </c>
      <c r="BN49" s="53">
        <v>31.579328238346545</v>
      </c>
      <c r="BO49" s="53">
        <f t="shared" si="58"/>
        <v>2.379</v>
      </c>
      <c r="BP49" s="53">
        <f t="shared" si="59"/>
        <v>26610820.242147062</v>
      </c>
      <c r="BQ49" s="53">
        <f t="shared" si="60"/>
        <v>27469531.50150588</v>
      </c>
      <c r="BR49" s="53">
        <f>BP49</f>
        <v>26610820.242147062</v>
      </c>
      <c r="BS49" s="53">
        <f>23049337-613896</f>
        <v>22435441</v>
      </c>
      <c r="BT49" s="53"/>
      <c r="BU49" s="53">
        <f t="shared" si="26"/>
        <v>0.18384708516816073</v>
      </c>
      <c r="BV49" s="53">
        <f t="shared" si="27"/>
        <v>7.271132884166513</v>
      </c>
      <c r="BW49" s="53">
        <f t="shared" si="28"/>
        <v>0</v>
      </c>
      <c r="BX49" s="53">
        <f t="shared" si="29"/>
        <v>0</v>
      </c>
      <c r="BY49" s="53">
        <f t="shared" si="30"/>
        <v>0</v>
      </c>
      <c r="BZ49" s="53">
        <f t="shared" si="31"/>
        <v>55.121762941082075</v>
      </c>
      <c r="CA49" s="53">
        <f t="shared" si="32"/>
        <v>25.075847964484264</v>
      </c>
      <c r="CB49" s="53">
        <f t="shared" si="33"/>
        <v>12.347409125098986</v>
      </c>
      <c r="CD49" s="53">
        <f t="shared" si="34"/>
        <v>12.531256210267147</v>
      </c>
      <c r="CF49" s="53">
        <f t="shared" si="35"/>
        <v>21.440788697173275</v>
      </c>
      <c r="CG49" s="53">
        <f t="shared" si="36"/>
        <v>12.87981990994314</v>
      </c>
      <c r="CH49" s="53">
        <f t="shared" si="37"/>
        <v>2.0311807977948906</v>
      </c>
      <c r="CI49" s="53">
        <f t="shared" si="38"/>
        <v>1.4907963903710586</v>
      </c>
      <c r="CJ49" s="53">
        <f t="shared" si="39"/>
        <v>0.05674468202527108</v>
      </c>
      <c r="CK49" s="53">
        <f t="shared" si="40"/>
        <v>-20.920098192553233</v>
      </c>
      <c r="CL49" s="53">
        <f t="shared" si="41"/>
        <v>-11.697028384335766</v>
      </c>
      <c r="CM49" s="53">
        <f t="shared" si="42"/>
        <v>-5.282203900418643</v>
      </c>
      <c r="CO49" s="53">
        <f t="shared" si="46"/>
        <v>18.18976559454952</v>
      </c>
      <c r="CP49" s="53">
        <f t="shared" si="47"/>
        <v>0</v>
      </c>
      <c r="CQ49" s="53">
        <f t="shared" si="43"/>
        <v>19.80238909443366</v>
      </c>
    </row>
    <row r="50" spans="1:95" ht="15">
      <c r="A50" s="54" t="s">
        <v>83</v>
      </c>
      <c r="B50" s="70">
        <v>6</v>
      </c>
      <c r="C50" s="16">
        <v>16707584.303969996</v>
      </c>
      <c r="D50" s="51">
        <v>0.4587820122438634</v>
      </c>
      <c r="E50" s="16">
        <f t="shared" si="14"/>
        <v>7665139.1467093425</v>
      </c>
      <c r="F50" s="51"/>
      <c r="G50" s="16"/>
      <c r="H50" s="51">
        <v>0.322508002947718</v>
      </c>
      <c r="I50" s="52">
        <f t="shared" si="44"/>
        <v>-0.006070175708477023</v>
      </c>
      <c r="J50" s="52">
        <f t="shared" si="45"/>
        <v>-0.0018545600824539004</v>
      </c>
      <c r="K50" s="52">
        <f t="shared" si="48"/>
        <v>0.3206534428652641</v>
      </c>
      <c r="L50" s="16">
        <f t="shared" si="15"/>
        <v>5357344.429029626</v>
      </c>
      <c r="M50" s="16">
        <f t="shared" si="16"/>
        <v>9042445.157260653</v>
      </c>
      <c r="N50" s="52">
        <f t="shared" si="17"/>
        <v>0.08016336071631602</v>
      </c>
      <c r="O50" s="51">
        <f t="shared" si="18"/>
        <v>0.05</v>
      </c>
      <c r="P50" s="16">
        <f t="shared" si="19"/>
        <v>835379.2151984998</v>
      </c>
      <c r="Q50" s="57"/>
      <c r="R50" s="16">
        <f t="shared" si="20"/>
        <v>13270975.979999999</v>
      </c>
      <c r="S50" s="16">
        <f t="shared" si="21"/>
        <v>13515494.313169146</v>
      </c>
      <c r="T50" s="16">
        <f t="shared" si="22"/>
        <v>13971856.299851257</v>
      </c>
      <c r="U50" s="16">
        <f t="shared" si="23"/>
        <v>16612492.840793997</v>
      </c>
      <c r="V50" s="16">
        <f t="shared" si="24"/>
        <v>16857011.173963144</v>
      </c>
      <c r="W50" s="16">
        <f t="shared" si="25"/>
        <v>17313373.160645258</v>
      </c>
      <c r="X50" s="54"/>
      <c r="Y50" s="53">
        <v>229</v>
      </c>
      <c r="Z50" s="53">
        <v>124</v>
      </c>
      <c r="AA50" s="53">
        <v>323</v>
      </c>
      <c r="AB50" s="53">
        <v>224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76</v>
      </c>
      <c r="AI50" s="53">
        <v>504</v>
      </c>
      <c r="AJ50" s="53">
        <v>143</v>
      </c>
      <c r="AK50" s="53">
        <v>5536</v>
      </c>
      <c r="AL50" s="53">
        <v>14</v>
      </c>
      <c r="AM50" s="53">
        <v>2360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90</v>
      </c>
      <c r="AU50" s="53">
        <v>377995</v>
      </c>
      <c r="AV50" s="53">
        <v>24</v>
      </c>
      <c r="AW50" s="53">
        <v>18847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15354</v>
      </c>
      <c r="BD50" s="53">
        <v>1008069</v>
      </c>
      <c r="BF50" s="53">
        <f t="shared" si="51"/>
        <v>3851100</v>
      </c>
      <c r="BG50" s="53">
        <f t="shared" si="52"/>
        <v>5976003</v>
      </c>
      <c r="BH50" s="53">
        <f t="shared" si="53"/>
        <v>1217070</v>
      </c>
      <c r="BI50" s="53">
        <f t="shared" si="54"/>
        <v>372039.77999999997</v>
      </c>
      <c r="BJ50" s="53">
        <f t="shared" si="55"/>
        <v>0</v>
      </c>
      <c r="BK50" s="53">
        <f>SUMIF(Renseanlæg!$A:$A,SPILDEVAND!A50,Renseanlæg!$I:$I)</f>
        <v>0</v>
      </c>
      <c r="BL50" s="53">
        <f t="shared" si="56"/>
        <v>0</v>
      </c>
      <c r="BM50" s="53">
        <f t="shared" si="57"/>
        <v>1854763.2</v>
      </c>
      <c r="BN50" s="53">
        <v>30.714065329189275</v>
      </c>
      <c r="BO50" s="53">
        <f t="shared" si="58"/>
        <v>0.01706</v>
      </c>
      <c r="BP50" s="53">
        <f t="shared" si="59"/>
        <v>13270975.979999999</v>
      </c>
      <c r="BQ50" s="53">
        <f t="shared" si="60"/>
        <v>13515494.313169146</v>
      </c>
      <c r="BR50" s="53">
        <f t="shared" si="61"/>
        <v>13971856.299851257</v>
      </c>
      <c r="BS50" s="53">
        <v>16200865</v>
      </c>
      <c r="BT50" s="53"/>
      <c r="BU50" s="53">
        <f t="shared" si="26"/>
        <v>29.01896594345279</v>
      </c>
      <c r="BV50" s="53">
        <f t="shared" si="27"/>
        <v>45.03062177948423</v>
      </c>
      <c r="BW50" s="53">
        <f t="shared" si="28"/>
        <v>9.170915551608136</v>
      </c>
      <c r="BX50" s="53">
        <f t="shared" si="29"/>
        <v>2.803409339001757</v>
      </c>
      <c r="BY50" s="53">
        <f t="shared" si="30"/>
        <v>0</v>
      </c>
      <c r="BZ50" s="53">
        <f t="shared" si="31"/>
        <v>0</v>
      </c>
      <c r="CA50" s="53">
        <f t="shared" si="32"/>
        <v>0</v>
      </c>
      <c r="CB50" s="53">
        <f t="shared" si="33"/>
        <v>13.976087386453095</v>
      </c>
      <c r="CD50" s="53">
        <f t="shared" si="34"/>
        <v>52.165968881514026</v>
      </c>
      <c r="CF50" s="53">
        <f t="shared" si="35"/>
        <v>-7.394330161111355</v>
      </c>
      <c r="CG50" s="53">
        <f t="shared" si="36"/>
        <v>-24.879668985374575</v>
      </c>
      <c r="CH50" s="53">
        <f t="shared" si="37"/>
        <v>-7.139734753813245</v>
      </c>
      <c r="CI50" s="53">
        <f t="shared" si="38"/>
        <v>-1.3126129486306986</v>
      </c>
      <c r="CJ50" s="53">
        <f t="shared" si="39"/>
        <v>0.05674468202527108</v>
      </c>
      <c r="CK50" s="53">
        <f t="shared" si="40"/>
        <v>34.20166474852884</v>
      </c>
      <c r="CL50" s="53">
        <f t="shared" si="41"/>
        <v>13.378819580148498</v>
      </c>
      <c r="CM50" s="53">
        <f t="shared" si="42"/>
        <v>-6.910882161772752</v>
      </c>
      <c r="CO50" s="53">
        <f t="shared" si="46"/>
        <v>-21.444947076697357</v>
      </c>
      <c r="CP50" s="53">
        <f t="shared" si="47"/>
        <v>-0.18545600824539005</v>
      </c>
      <c r="CQ50" s="53">
        <f t="shared" si="43"/>
        <v>100</v>
      </c>
    </row>
    <row r="51" spans="1:95" ht="15">
      <c r="A51" s="54" t="s">
        <v>61</v>
      </c>
      <c r="B51" s="70">
        <v>2</v>
      </c>
      <c r="C51" s="16">
        <v>104543893.30918497</v>
      </c>
      <c r="D51" s="51">
        <v>0.19197946758901607</v>
      </c>
      <c r="E51" s="16">
        <f t="shared" si="14"/>
        <v>20070280.97718023</v>
      </c>
      <c r="F51" s="51">
        <v>0.302919</v>
      </c>
      <c r="G51" s="16">
        <f>F51*C51</f>
        <v>31668331.617325</v>
      </c>
      <c r="H51" s="51">
        <v>0.07878066491109048</v>
      </c>
      <c r="I51" s="52">
        <f t="shared" si="44"/>
        <v>-0.15066322902164248</v>
      </c>
      <c r="J51" s="52">
        <f t="shared" si="45"/>
        <v>-0.04603062973069221</v>
      </c>
      <c r="K51" s="52">
        <f t="shared" si="48"/>
        <v>0.03275003518039827</v>
      </c>
      <c r="L51" s="16">
        <f t="shared" si="15"/>
        <v>3423816.183771611</v>
      </c>
      <c r="M51" s="16">
        <f t="shared" si="16"/>
        <v>84473612.33200474</v>
      </c>
      <c r="N51" s="52">
        <f t="shared" si="17"/>
        <v>0.008187508795099567</v>
      </c>
      <c r="O51" s="51">
        <f t="shared" si="18"/>
        <v>0</v>
      </c>
      <c r="P51" s="16">
        <f t="shared" si="19"/>
        <v>0</v>
      </c>
      <c r="Q51" s="51"/>
      <c r="R51" s="16">
        <f t="shared" si="20"/>
        <v>96889643.17899999</v>
      </c>
      <c r="S51" s="16">
        <f t="shared" si="21"/>
        <v>153665199.24337995</v>
      </c>
      <c r="T51" s="16">
        <f t="shared" si="22"/>
        <v>131832092.00529025</v>
      </c>
      <c r="U51" s="16">
        <f t="shared" si="23"/>
        <v>117798421.84083699</v>
      </c>
      <c r="V51" s="16">
        <f t="shared" si="24"/>
        <v>174573977.90521693</v>
      </c>
      <c r="W51" s="16">
        <f t="shared" si="25"/>
        <v>152740870.66712725</v>
      </c>
      <c r="X51" s="54"/>
      <c r="Y51" s="71">
        <f>840/1000</f>
        <v>0.84</v>
      </c>
      <c r="Z51" s="71">
        <f>10585/1000</f>
        <v>10.585</v>
      </c>
      <c r="AA51" s="71">
        <f>107872/1000</f>
        <v>107.872</v>
      </c>
      <c r="AB51" s="71">
        <f>384416/1000</f>
        <v>384.416</v>
      </c>
      <c r="AC51" s="71">
        <f>55646/1000</f>
        <v>55.646</v>
      </c>
      <c r="AD51" s="71">
        <f>293478/1000</f>
        <v>293.478</v>
      </c>
      <c r="AE51" s="71">
        <f>25537/1000</f>
        <v>25.537</v>
      </c>
      <c r="AF51" s="71">
        <f>191398/1000</f>
        <v>191.398</v>
      </c>
      <c r="AG51" s="53">
        <v>0</v>
      </c>
      <c r="AH51" s="53">
        <v>6</v>
      </c>
      <c r="AI51" s="53">
        <v>15</v>
      </c>
      <c r="AJ51" s="53">
        <v>37</v>
      </c>
      <c r="AK51" s="53">
        <v>1681</v>
      </c>
      <c r="AL51" s="53">
        <v>13</v>
      </c>
      <c r="AM51" s="53">
        <v>2019</v>
      </c>
      <c r="AN51" s="53">
        <v>13</v>
      </c>
      <c r="AO51" s="53">
        <v>6027</v>
      </c>
      <c r="AP51" s="53">
        <v>6</v>
      </c>
      <c r="AQ51" s="53">
        <v>4960</v>
      </c>
      <c r="AR51" s="53">
        <v>9</v>
      </c>
      <c r="AS51" s="53">
        <v>31200</v>
      </c>
      <c r="AT51" s="53">
        <v>0</v>
      </c>
      <c r="AU51" s="53">
        <v>0</v>
      </c>
      <c r="AV51" s="53">
        <v>17</v>
      </c>
      <c r="AW51" s="53">
        <v>132469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35080</v>
      </c>
      <c r="BD51" s="53">
        <v>7139249</v>
      </c>
      <c r="BE51" s="53">
        <f>3283831+5289057+4445000+103960+180900</f>
        <v>13302748</v>
      </c>
      <c r="BF51" s="53">
        <f t="shared" si="51"/>
        <v>51452334.118999995</v>
      </c>
      <c r="BG51" s="53">
        <f t="shared" si="52"/>
        <v>25281959</v>
      </c>
      <c r="BH51" s="53">
        <f t="shared" si="53"/>
        <v>0</v>
      </c>
      <c r="BI51" s="53">
        <f t="shared" si="54"/>
        <v>2614938.0599999996</v>
      </c>
      <c r="BJ51" s="53">
        <f t="shared" si="55"/>
        <v>0</v>
      </c>
      <c r="BK51" s="53">
        <f>SUMIF(Renseanlæg!$A:$A,SPILDEVAND!A51,Renseanlæg!$I:$I)</f>
        <v>0</v>
      </c>
      <c r="BL51" s="53">
        <f t="shared" si="56"/>
        <v>0</v>
      </c>
      <c r="BM51" s="53">
        <f t="shared" si="57"/>
        <v>4237664</v>
      </c>
      <c r="BN51" s="53">
        <v>66.18635511594955</v>
      </c>
      <c r="BO51" s="53">
        <f t="shared" si="58"/>
        <v>0.03279203419046301</v>
      </c>
      <c r="BP51" s="53">
        <f t="shared" si="59"/>
        <v>96889643.17899999</v>
      </c>
      <c r="BQ51" s="53">
        <f t="shared" si="60"/>
        <v>153665199.24337995</v>
      </c>
      <c r="BR51" s="53">
        <f t="shared" si="61"/>
        <v>131832092.00529025</v>
      </c>
      <c r="BS51" s="53">
        <v>84343395</v>
      </c>
      <c r="BT51" s="53"/>
      <c r="BU51" s="53">
        <f t="shared" si="26"/>
        <v>61.55550341810837</v>
      </c>
      <c r="BV51" s="53">
        <f t="shared" si="27"/>
        <v>30.24631905020409</v>
      </c>
      <c r="BW51" s="53">
        <f t="shared" si="28"/>
        <v>0</v>
      </c>
      <c r="BX51" s="53">
        <f t="shared" si="29"/>
        <v>3.128406736965348</v>
      </c>
      <c r="BY51" s="53">
        <f t="shared" si="30"/>
        <v>0</v>
      </c>
      <c r="BZ51" s="53">
        <f t="shared" si="31"/>
        <v>0</v>
      </c>
      <c r="CA51" s="53">
        <f t="shared" si="32"/>
        <v>0</v>
      </c>
      <c r="CB51" s="53">
        <f t="shared" si="33"/>
        <v>5.069770794722199</v>
      </c>
      <c r="CD51" s="53">
        <f t="shared" si="34"/>
        <v>66.62527421283058</v>
      </c>
      <c r="CF51" s="53">
        <f t="shared" si="35"/>
        <v>-39.93086763576694</v>
      </c>
      <c r="CG51" s="53">
        <f t="shared" si="36"/>
        <v>-10.095366256094437</v>
      </c>
      <c r="CH51" s="53">
        <f t="shared" si="37"/>
        <v>2.0311807977948906</v>
      </c>
      <c r="CI51" s="53">
        <f t="shared" si="38"/>
        <v>-1.6376103465942893</v>
      </c>
      <c r="CJ51" s="53">
        <f t="shared" si="39"/>
        <v>0.05674468202527108</v>
      </c>
      <c r="CK51" s="53">
        <f t="shared" si="40"/>
        <v>34.20166474852884</v>
      </c>
      <c r="CL51" s="53">
        <f t="shared" si="41"/>
        <v>13.378819580148498</v>
      </c>
      <c r="CM51" s="53">
        <f t="shared" si="42"/>
        <v>1.9954344299581441</v>
      </c>
      <c r="CO51" s="53">
        <f t="shared" si="46"/>
        <v>-35.9042524080139</v>
      </c>
      <c r="CP51" s="53">
        <f t="shared" si="47"/>
        <v>-4.603062973069221</v>
      </c>
      <c r="CQ51" s="53">
        <f t="shared" si="43"/>
        <v>100.00000000000001</v>
      </c>
    </row>
    <row r="52" spans="1:95" ht="15">
      <c r="A52" s="54" t="s">
        <v>89</v>
      </c>
      <c r="B52" s="70">
        <v>6</v>
      </c>
      <c r="C52" s="16">
        <v>14104973</v>
      </c>
      <c r="D52" s="51">
        <v>0.411047420065623</v>
      </c>
      <c r="E52" s="16">
        <f t="shared" si="14"/>
        <v>5797812.76174527</v>
      </c>
      <c r="F52" s="51"/>
      <c r="G52" s="16"/>
      <c r="H52" s="51">
        <v>0.2935846927073379</v>
      </c>
      <c r="I52" s="52">
        <f t="shared" si="44"/>
        <v>0</v>
      </c>
      <c r="J52" s="52">
        <f t="shared" si="45"/>
        <v>0</v>
      </c>
      <c r="K52" s="52">
        <f t="shared" si="48"/>
        <v>0</v>
      </c>
      <c r="L52" s="16">
        <f t="shared" si="15"/>
        <v>4141004.1638502977</v>
      </c>
      <c r="M52" s="16">
        <f t="shared" si="16"/>
        <v>8307160.23825473</v>
      </c>
      <c r="N52" s="52">
        <f t="shared" si="17"/>
        <v>0.07339617317683447</v>
      </c>
      <c r="O52" s="51">
        <f t="shared" si="18"/>
        <v>0.05</v>
      </c>
      <c r="P52" s="16">
        <f t="shared" si="19"/>
        <v>705248.65</v>
      </c>
      <c r="Q52" s="51"/>
      <c r="R52" s="16">
        <f t="shared" si="20"/>
        <v>11589067.858083999</v>
      </c>
      <c r="S52" s="16">
        <f t="shared" si="21"/>
        <v>12446028.287557289</v>
      </c>
      <c r="T52" s="16">
        <f t="shared" si="22"/>
        <v>14144336.269806605</v>
      </c>
      <c r="U52" s="16">
        <f t="shared" si="23"/>
        <v>14410062.458083998</v>
      </c>
      <c r="V52" s="16">
        <f t="shared" si="24"/>
        <v>15267022.887557289</v>
      </c>
      <c r="W52" s="16">
        <f t="shared" si="25"/>
        <v>16965330.869806606</v>
      </c>
      <c r="X52" s="54"/>
      <c r="Y52" s="53">
        <v>98</v>
      </c>
      <c r="Z52" s="53">
        <v>38</v>
      </c>
      <c r="AA52" s="53">
        <v>149</v>
      </c>
      <c r="AB52" s="53">
        <v>117</v>
      </c>
      <c r="AC52" s="53">
        <v>0</v>
      </c>
      <c r="AD52" s="53">
        <v>0</v>
      </c>
      <c r="AE52" s="53">
        <v>0</v>
      </c>
      <c r="AF52" s="53">
        <v>0</v>
      </c>
      <c r="AG52" s="53">
        <v>177</v>
      </c>
      <c r="AH52" s="53">
        <v>30</v>
      </c>
      <c r="AI52" s="53">
        <v>182</v>
      </c>
      <c r="AJ52" s="53">
        <v>46</v>
      </c>
      <c r="AK52" s="53">
        <v>1213</v>
      </c>
      <c r="AL52" s="53">
        <v>7</v>
      </c>
      <c r="AM52" s="53">
        <v>1220</v>
      </c>
      <c r="AN52" s="53">
        <v>4</v>
      </c>
      <c r="AO52" s="53">
        <v>1667</v>
      </c>
      <c r="AP52" s="53">
        <v>0</v>
      </c>
      <c r="AQ52" s="53">
        <v>0</v>
      </c>
      <c r="AR52" s="53">
        <v>0</v>
      </c>
      <c r="AS52" s="53">
        <v>0</v>
      </c>
      <c r="AT52" s="53">
        <v>34</v>
      </c>
      <c r="AU52" s="53">
        <v>45887</v>
      </c>
      <c r="AV52" s="53">
        <v>5</v>
      </c>
      <c r="AW52" s="53">
        <v>4188</v>
      </c>
      <c r="AX52" s="53">
        <v>400</v>
      </c>
      <c r="AY52" s="53">
        <v>0</v>
      </c>
      <c r="AZ52" s="53">
        <v>0</v>
      </c>
      <c r="BA52" s="53">
        <v>5</v>
      </c>
      <c r="BB52" s="53">
        <v>30</v>
      </c>
      <c r="BC52" s="53">
        <v>10303</v>
      </c>
      <c r="BD52" s="53">
        <v>2392942</v>
      </c>
      <c r="BF52" s="53">
        <f t="shared" si="51"/>
        <v>1720158</v>
      </c>
      <c r="BG52" s="53">
        <f t="shared" si="52"/>
        <v>3840892</v>
      </c>
      <c r="BH52" s="53">
        <f t="shared" si="53"/>
        <v>459782</v>
      </c>
      <c r="BI52" s="53">
        <f t="shared" si="54"/>
        <v>82671.12</v>
      </c>
      <c r="BJ52" s="53">
        <f t="shared" si="55"/>
        <v>12700</v>
      </c>
      <c r="BK52" s="53">
        <f>SUMIF(Renseanlæg!$A:$A,SPILDEVAND!A52,Renseanlæg!$I:$I)</f>
        <v>2642102.3380839988</v>
      </c>
      <c r="BL52" s="53">
        <f t="shared" si="56"/>
        <v>1586160</v>
      </c>
      <c r="BM52" s="53">
        <f t="shared" si="57"/>
        <v>1244602.4</v>
      </c>
      <c r="BN52" s="53">
        <v>34.18409920866454</v>
      </c>
      <c r="BO52" s="53">
        <f t="shared" si="58"/>
        <v>0.025629353233830844</v>
      </c>
      <c r="BP52" s="53">
        <f t="shared" si="59"/>
        <v>11589067.858083999</v>
      </c>
      <c r="BQ52" s="53">
        <f t="shared" si="60"/>
        <v>12446028.287557289</v>
      </c>
      <c r="BR52" s="53">
        <f t="shared" si="61"/>
        <v>14144336.269806605</v>
      </c>
      <c r="BS52" s="53">
        <v>14937168</v>
      </c>
      <c r="BT52" s="53"/>
      <c r="BU52" s="53">
        <f t="shared" si="26"/>
        <v>14.842936645677652</v>
      </c>
      <c r="BV52" s="53">
        <f t="shared" si="27"/>
        <v>33.14237216516746</v>
      </c>
      <c r="BW52" s="53">
        <f t="shared" si="28"/>
        <v>3.9673768902757547</v>
      </c>
      <c r="BX52" s="53">
        <f t="shared" si="29"/>
        <v>0.7133543526741233</v>
      </c>
      <c r="BY52" s="53">
        <f t="shared" si="30"/>
        <v>0.10958603535262817</v>
      </c>
      <c r="BZ52" s="53">
        <f t="shared" si="31"/>
        <v>22.79822993909722</v>
      </c>
      <c r="CA52" s="53">
        <f t="shared" si="32"/>
        <v>13.686691798025569</v>
      </c>
      <c r="CB52" s="53">
        <f t="shared" si="33"/>
        <v>10.739452173729596</v>
      </c>
      <c r="CD52" s="53">
        <f t="shared" si="34"/>
        <v>29.549765709683</v>
      </c>
      <c r="CF52" s="53">
        <f t="shared" si="35"/>
        <v>6.781699136663784</v>
      </c>
      <c r="CG52" s="53">
        <f t="shared" si="36"/>
        <v>-12.991419371057805</v>
      </c>
      <c r="CH52" s="53">
        <f t="shared" si="37"/>
        <v>-1.936196092480864</v>
      </c>
      <c r="CI52" s="53">
        <f t="shared" si="38"/>
        <v>0.7774420376969353</v>
      </c>
      <c r="CJ52" s="53">
        <f t="shared" si="39"/>
        <v>-0.05284135332735709</v>
      </c>
      <c r="CK52" s="53">
        <f t="shared" si="40"/>
        <v>11.403434809431623</v>
      </c>
      <c r="CL52" s="53">
        <f t="shared" si="41"/>
        <v>-0.30787221787707075</v>
      </c>
      <c r="CM52" s="53">
        <f t="shared" si="42"/>
        <v>-3.6742469490492526</v>
      </c>
      <c r="CO52" s="53">
        <f t="shared" si="46"/>
        <v>1.1712560951336677</v>
      </c>
      <c r="CP52" s="53">
        <f t="shared" si="47"/>
        <v>0</v>
      </c>
      <c r="CQ52" s="53">
        <f t="shared" si="43"/>
        <v>63.40549222752458</v>
      </c>
    </row>
    <row r="53" spans="1:95" ht="15">
      <c r="A53" s="54" t="s">
        <v>116</v>
      </c>
      <c r="B53" s="70">
        <v>2</v>
      </c>
      <c r="C53" s="16">
        <v>64594647.17648416</v>
      </c>
      <c r="D53" s="51">
        <v>0.34306079994316385</v>
      </c>
      <c r="E53" s="16">
        <f t="shared" si="14"/>
        <v>22159891.332411088</v>
      </c>
      <c r="F53" s="51"/>
      <c r="G53" s="16"/>
      <c r="H53" s="51">
        <v>0.2067867924743958</v>
      </c>
      <c r="I53" s="52">
        <f t="shared" si="44"/>
        <v>0</v>
      </c>
      <c r="J53" s="52">
        <f t="shared" si="45"/>
        <v>0</v>
      </c>
      <c r="K53" s="52">
        <f t="shared" si="48"/>
        <v>0</v>
      </c>
      <c r="L53" s="16">
        <f t="shared" si="15"/>
        <v>13357319.900640447</v>
      </c>
      <c r="M53" s="16">
        <f t="shared" si="16"/>
        <v>42434755.84407307</v>
      </c>
      <c r="N53" s="52">
        <f t="shared" si="17"/>
        <v>0.05169669811859895</v>
      </c>
      <c r="O53" s="51">
        <f t="shared" si="18"/>
        <v>0.05</v>
      </c>
      <c r="P53" s="16">
        <f>C53*O53</f>
        <v>3229732.3588242084</v>
      </c>
      <c r="Q53" s="51"/>
      <c r="R53" s="16">
        <f t="shared" si="20"/>
        <v>62278579.226315156</v>
      </c>
      <c r="S53" s="16">
        <f t="shared" si="21"/>
        <v>66421805.87372691</v>
      </c>
      <c r="T53" s="16">
        <f t="shared" si="22"/>
        <v>68006036.93733056</v>
      </c>
      <c r="U53" s="16">
        <f t="shared" si="23"/>
        <v>75197508.66161199</v>
      </c>
      <c r="V53" s="16">
        <f t="shared" si="24"/>
        <v>79340735.30902374</v>
      </c>
      <c r="W53" s="16">
        <f t="shared" si="25"/>
        <v>80924966.37262739</v>
      </c>
      <c r="X53" s="54"/>
      <c r="Y53" s="53">
        <v>435</v>
      </c>
      <c r="Z53" s="53">
        <v>112</v>
      </c>
      <c r="AA53" s="53">
        <v>678</v>
      </c>
      <c r="AB53" s="53">
        <v>420</v>
      </c>
      <c r="AC53" s="53">
        <v>25</v>
      </c>
      <c r="AD53" s="53">
        <v>37</v>
      </c>
      <c r="AE53" s="53">
        <v>0</v>
      </c>
      <c r="AF53" s="53">
        <v>0</v>
      </c>
      <c r="AG53" s="53">
        <v>693</v>
      </c>
      <c r="AH53" s="53">
        <v>84</v>
      </c>
      <c r="AI53" s="53">
        <v>529</v>
      </c>
      <c r="AJ53" s="53">
        <v>120</v>
      </c>
      <c r="AK53" s="53">
        <v>3328</v>
      </c>
      <c r="AL53" s="53">
        <v>3</v>
      </c>
      <c r="AM53" s="53">
        <v>621</v>
      </c>
      <c r="AN53" s="53">
        <v>0</v>
      </c>
      <c r="AO53" s="53">
        <v>0</v>
      </c>
      <c r="AP53" s="53">
        <v>0</v>
      </c>
      <c r="AQ53" s="53">
        <v>0</v>
      </c>
      <c r="AR53" s="53">
        <v>2</v>
      </c>
      <c r="AS53" s="53">
        <v>2900</v>
      </c>
      <c r="AT53" s="53">
        <v>130</v>
      </c>
      <c r="AU53" s="53">
        <v>535056</v>
      </c>
      <c r="AV53" s="53">
        <v>39</v>
      </c>
      <c r="AW53" s="53">
        <v>30895</v>
      </c>
      <c r="AX53" s="53">
        <v>1784</v>
      </c>
      <c r="AY53" s="53">
        <v>739</v>
      </c>
      <c r="AZ53" s="53">
        <v>0</v>
      </c>
      <c r="BA53" s="53">
        <v>33</v>
      </c>
      <c r="BB53" s="53">
        <v>165</v>
      </c>
      <c r="BC53" s="53">
        <v>32537</v>
      </c>
      <c r="BD53" s="53">
        <v>8490440</v>
      </c>
      <c r="BF53" s="53">
        <f t="shared" si="51"/>
        <v>12438411</v>
      </c>
      <c r="BG53" s="53">
        <f t="shared" si="52"/>
        <v>10723280</v>
      </c>
      <c r="BH53" s="53">
        <f t="shared" si="53"/>
        <v>1757990</v>
      </c>
      <c r="BI53" s="53">
        <f t="shared" si="54"/>
        <v>609867.2999999999</v>
      </c>
      <c r="BJ53" s="53">
        <f t="shared" si="55"/>
        <v>83820</v>
      </c>
      <c r="BK53" s="53">
        <f>SUMIF(Renseanlæg!$A:$A,SPILDEVAND!A53,Renseanlæg!$I:$I)</f>
        <v>22151917.426315155</v>
      </c>
      <c r="BL53" s="53">
        <f t="shared" si="56"/>
        <v>10582823.9</v>
      </c>
      <c r="BM53" s="53">
        <f t="shared" si="57"/>
        <v>3930469.6</v>
      </c>
      <c r="BN53" s="53">
        <v>33.7204571769328</v>
      </c>
      <c r="BO53" s="53">
        <f t="shared" si="58"/>
        <v>0.019060925600468657</v>
      </c>
      <c r="BP53" s="53">
        <f t="shared" si="59"/>
        <v>62278579.226315156</v>
      </c>
      <c r="BQ53" s="53">
        <f t="shared" si="60"/>
        <v>66421805.87372691</v>
      </c>
      <c r="BR53" s="53">
        <f t="shared" si="61"/>
        <v>68006036.93733056</v>
      </c>
      <c r="BS53" s="53">
        <v>54486454</v>
      </c>
      <c r="BT53" s="53"/>
      <c r="BU53" s="53">
        <f t="shared" si="26"/>
        <v>19.972213808538974</v>
      </c>
      <c r="BV53" s="53">
        <f t="shared" si="27"/>
        <v>17.21824764343531</v>
      </c>
      <c r="BW53" s="53">
        <f t="shared" si="28"/>
        <v>2.8227843695849435</v>
      </c>
      <c r="BX53" s="53">
        <f t="shared" si="29"/>
        <v>0.9792569252162819</v>
      </c>
      <c r="BY53" s="53">
        <f t="shared" si="30"/>
        <v>0.1345888121426231</v>
      </c>
      <c r="BZ53" s="53">
        <f t="shared" si="31"/>
        <v>35.56907961213588</v>
      </c>
      <c r="CA53" s="53">
        <f t="shared" si="32"/>
        <v>16.99271889543739</v>
      </c>
      <c r="CB53" s="53">
        <f t="shared" si="33"/>
        <v>6.311109933508602</v>
      </c>
      <c r="CD53" s="53">
        <f t="shared" si="34"/>
        <v>29.106108111632523</v>
      </c>
      <c r="CF53" s="53">
        <f t="shared" si="35"/>
        <v>1.6524219738024613</v>
      </c>
      <c r="CG53" s="53">
        <f t="shared" si="36"/>
        <v>2.9327051506743445</v>
      </c>
      <c r="CH53" s="53">
        <f t="shared" si="37"/>
        <v>-0.7916035717900529</v>
      </c>
      <c r="CI53" s="53">
        <f t="shared" si="38"/>
        <v>0.5115394651547767</v>
      </c>
      <c r="CJ53" s="53">
        <f t="shared" si="39"/>
        <v>-0.07784413011735203</v>
      </c>
      <c r="CK53" s="53">
        <f t="shared" si="40"/>
        <v>-1.3674148636070385</v>
      </c>
      <c r="CL53" s="53">
        <f t="shared" si="41"/>
        <v>-3.61389931528889</v>
      </c>
      <c r="CM53" s="53">
        <f t="shared" si="42"/>
        <v>0.7540952911717413</v>
      </c>
      <c r="CO53" s="53">
        <f t="shared" si="46"/>
        <v>1.6149136931841461</v>
      </c>
      <c r="CP53" s="53">
        <f t="shared" si="47"/>
        <v>0</v>
      </c>
      <c r="CQ53" s="53">
        <f t="shared" si="43"/>
        <v>47.30361268028412</v>
      </c>
    </row>
    <row r="54" spans="1:95" ht="15">
      <c r="A54" s="54" t="s">
        <v>72</v>
      </c>
      <c r="B54" s="70">
        <v>2</v>
      </c>
      <c r="C54" s="16">
        <v>38923604.386064984</v>
      </c>
      <c r="D54" s="51">
        <v>0.4207136651557293</v>
      </c>
      <c r="E54" s="16">
        <f t="shared" si="14"/>
        <v>16375692.262333019</v>
      </c>
      <c r="F54" s="51"/>
      <c r="G54" s="16"/>
      <c r="H54" s="51">
        <v>0.2844396605149363</v>
      </c>
      <c r="I54" s="52">
        <f t="shared" si="44"/>
        <v>0</v>
      </c>
      <c r="J54" s="52">
        <f t="shared" si="45"/>
        <v>0</v>
      </c>
      <c r="K54" s="52">
        <f t="shared" si="48"/>
        <v>0</v>
      </c>
      <c r="L54" s="16">
        <f t="shared" si="15"/>
        <v>11071416.81759001</v>
      </c>
      <c r="M54" s="16">
        <f t="shared" si="16"/>
        <v>22547912.123731963</v>
      </c>
      <c r="N54" s="52">
        <f t="shared" si="17"/>
        <v>0.07110991512873407</v>
      </c>
      <c r="O54" s="51">
        <f t="shared" si="18"/>
        <v>0.05</v>
      </c>
      <c r="P54" s="16">
        <f t="shared" si="19"/>
        <v>1946180.2193032494</v>
      </c>
      <c r="Q54" s="51"/>
      <c r="R54" s="16">
        <f t="shared" si="20"/>
        <v>33092022.78773511</v>
      </c>
      <c r="S54" s="16">
        <f t="shared" si="21"/>
        <v>36714039.76912488</v>
      </c>
      <c r="T54" s="16">
        <f t="shared" si="22"/>
        <v>33683947.316249564</v>
      </c>
      <c r="U54" s="16">
        <f t="shared" si="23"/>
        <v>40876743.664948106</v>
      </c>
      <c r="V54" s="16">
        <f t="shared" si="24"/>
        <v>44498760.64633788</v>
      </c>
      <c r="W54" s="16">
        <f t="shared" si="25"/>
        <v>41468668.193462566</v>
      </c>
      <c r="X54" s="54"/>
      <c r="Y54" s="53">
        <v>52</v>
      </c>
      <c r="Z54" s="53">
        <v>187</v>
      </c>
      <c r="AA54" s="53">
        <v>448</v>
      </c>
      <c r="AB54" s="53">
        <v>416</v>
      </c>
      <c r="AC54" s="53">
        <v>5</v>
      </c>
      <c r="AD54" s="53">
        <v>19</v>
      </c>
      <c r="AE54" s="53">
        <v>0</v>
      </c>
      <c r="AF54" s="53">
        <v>0</v>
      </c>
      <c r="AG54" s="53">
        <v>92</v>
      </c>
      <c r="AH54" s="53">
        <v>3</v>
      </c>
      <c r="AI54" s="53">
        <v>24</v>
      </c>
      <c r="AJ54" s="53">
        <v>133</v>
      </c>
      <c r="AK54" s="53">
        <v>5277</v>
      </c>
      <c r="AL54" s="53">
        <v>4</v>
      </c>
      <c r="AM54" s="53">
        <v>1098</v>
      </c>
      <c r="AN54" s="53">
        <v>1</v>
      </c>
      <c r="AO54" s="53">
        <v>450</v>
      </c>
      <c r="AP54" s="53">
        <v>3</v>
      </c>
      <c r="AQ54" s="53">
        <v>2220</v>
      </c>
      <c r="AR54" s="53">
        <v>1</v>
      </c>
      <c r="AS54" s="53">
        <v>1810</v>
      </c>
      <c r="AT54" s="53">
        <v>49</v>
      </c>
      <c r="AU54" s="53">
        <v>271274</v>
      </c>
      <c r="AV54" s="53">
        <v>11</v>
      </c>
      <c r="AW54" s="53">
        <v>8150</v>
      </c>
      <c r="AX54" s="53">
        <v>0</v>
      </c>
      <c r="AY54" s="53">
        <v>0</v>
      </c>
      <c r="AZ54" s="53">
        <v>1081</v>
      </c>
      <c r="BA54" s="53">
        <v>4</v>
      </c>
      <c r="BB54" s="53">
        <v>40</v>
      </c>
      <c r="BC54" s="53">
        <v>17215</v>
      </c>
      <c r="BD54" s="53">
        <v>3930695</v>
      </c>
      <c r="BF54" s="53">
        <f t="shared" si="51"/>
        <v>6809849</v>
      </c>
      <c r="BG54" s="53">
        <f t="shared" si="52"/>
        <v>6812530</v>
      </c>
      <c r="BH54" s="53">
        <f t="shared" si="53"/>
        <v>662627</v>
      </c>
      <c r="BI54" s="53">
        <f t="shared" si="54"/>
        <v>160881</v>
      </c>
      <c r="BJ54" s="53">
        <f t="shared" si="55"/>
        <v>10160</v>
      </c>
      <c r="BK54" s="53">
        <f>SUMIF(Renseanlæg!$A:$A,SPILDEVAND!A54,Renseanlæg!$I:$I)</f>
        <v>11424140.087735107</v>
      </c>
      <c r="BL54" s="53">
        <f t="shared" si="56"/>
        <v>5132263.7</v>
      </c>
      <c r="BM54" s="53">
        <f t="shared" si="57"/>
        <v>2079572</v>
      </c>
      <c r="BN54" s="53">
        <v>36.403304588734976</v>
      </c>
      <c r="BO54" s="53">
        <f t="shared" si="58"/>
        <v>0.015275066548358474</v>
      </c>
      <c r="BP54" s="53">
        <f t="shared" si="59"/>
        <v>33092022.78773511</v>
      </c>
      <c r="BQ54" s="53">
        <f t="shared" si="60"/>
        <v>36714039.76912488</v>
      </c>
      <c r="BR54" s="53">
        <f t="shared" si="61"/>
        <v>33683947.316249564</v>
      </c>
      <c r="BS54" s="53">
        <v>37456966</v>
      </c>
      <c r="BT54" s="53"/>
      <c r="BU54" s="53">
        <f t="shared" si="26"/>
        <v>20.578521426994584</v>
      </c>
      <c r="BV54" s="53">
        <f t="shared" si="27"/>
        <v>20.586623077405008</v>
      </c>
      <c r="BW54" s="53">
        <f t="shared" si="28"/>
        <v>2.002376839428472</v>
      </c>
      <c r="BX54" s="53">
        <f t="shared" si="29"/>
        <v>0.48616248402810636</v>
      </c>
      <c r="BY54" s="53">
        <f t="shared" si="30"/>
        <v>0.03070226339794979</v>
      </c>
      <c r="BZ54" s="53">
        <f t="shared" si="31"/>
        <v>34.5223383925906</v>
      </c>
      <c r="CA54" s="53">
        <f t="shared" si="32"/>
        <v>15.50906613633232</v>
      </c>
      <c r="CB54" s="53">
        <f t="shared" si="33"/>
        <v>6.284209379822957</v>
      </c>
      <c r="CD54" s="53">
        <f t="shared" si="34"/>
        <v>28.865107646246013</v>
      </c>
      <c r="CF54" s="53">
        <f t="shared" si="35"/>
        <v>1.0461143553468517</v>
      </c>
      <c r="CG54" s="53">
        <f t="shared" si="36"/>
        <v>-0.4356702832953552</v>
      </c>
      <c r="CH54" s="53">
        <f t="shared" si="37"/>
        <v>0.02880395836641858</v>
      </c>
      <c r="CI54" s="53">
        <f t="shared" si="38"/>
        <v>1.0046339063429524</v>
      </c>
      <c r="CJ54" s="53">
        <f t="shared" si="39"/>
        <v>0.02604241862732129</v>
      </c>
      <c r="CK54" s="53">
        <f t="shared" si="40"/>
        <v>-0.32067364406175614</v>
      </c>
      <c r="CL54" s="53">
        <f t="shared" si="41"/>
        <v>-2.130246556183822</v>
      </c>
      <c r="CM54" s="53">
        <f t="shared" si="42"/>
        <v>0.7809958448573866</v>
      </c>
      <c r="CO54" s="53">
        <f t="shared" si="46"/>
        <v>1.8559141585706556</v>
      </c>
      <c r="CP54" s="53">
        <f t="shared" si="47"/>
        <v>0</v>
      </c>
      <c r="CQ54" s="53">
        <f t="shared" si="43"/>
        <v>49.937893207679124</v>
      </c>
    </row>
    <row r="55" spans="1:95" ht="15">
      <c r="A55" s="54" t="s">
        <v>102</v>
      </c>
      <c r="B55" s="70">
        <v>2</v>
      </c>
      <c r="C55" s="16">
        <v>11909794.271571735</v>
      </c>
      <c r="D55" s="51">
        <v>0.01538844</v>
      </c>
      <c r="E55" s="16">
        <f t="shared" si="14"/>
        <v>183273.15456042535</v>
      </c>
      <c r="F55" s="51"/>
      <c r="G55" s="16"/>
      <c r="H55" s="51">
        <v>0</v>
      </c>
      <c r="I55" s="52">
        <f t="shared" si="44"/>
        <v>0</v>
      </c>
      <c r="J55" s="52">
        <f t="shared" si="45"/>
        <v>0</v>
      </c>
      <c r="K55" s="52">
        <f t="shared" si="48"/>
        <v>0</v>
      </c>
      <c r="L55" s="16">
        <f t="shared" si="15"/>
        <v>0</v>
      </c>
      <c r="M55" s="16">
        <f t="shared" si="16"/>
        <v>11726521.117011309</v>
      </c>
      <c r="N55" s="52">
        <f t="shared" si="17"/>
        <v>0</v>
      </c>
      <c r="O55" s="51">
        <f t="shared" si="18"/>
        <v>0</v>
      </c>
      <c r="P55" s="16">
        <f t="shared" si="19"/>
        <v>0</v>
      </c>
      <c r="Q55" s="51"/>
      <c r="R55" s="16">
        <f t="shared" si="20"/>
        <v>16381918.749955134</v>
      </c>
      <c r="S55" s="16">
        <f t="shared" si="21"/>
        <v>17114174.958049364</v>
      </c>
      <c r="T55" s="16">
        <f t="shared" si="22"/>
        <v>19966371.523819067</v>
      </c>
      <c r="U55" s="16">
        <f t="shared" si="23"/>
        <v>18763877.604269482</v>
      </c>
      <c r="V55" s="16">
        <f t="shared" si="24"/>
        <v>19496133.81236371</v>
      </c>
      <c r="W55" s="16">
        <f t="shared" si="25"/>
        <v>22348330.378133412</v>
      </c>
      <c r="X55" s="54"/>
      <c r="Y55" s="53">
        <v>247</v>
      </c>
      <c r="Z55" s="53">
        <v>32</v>
      </c>
      <c r="AA55" s="53">
        <v>12</v>
      </c>
      <c r="AB55" s="53">
        <v>44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289</v>
      </c>
      <c r="AI55" s="53">
        <v>867</v>
      </c>
      <c r="AJ55" s="53">
        <v>83</v>
      </c>
      <c r="AK55" s="53">
        <v>1660</v>
      </c>
      <c r="AL55" s="53">
        <v>3</v>
      </c>
      <c r="AM55" s="53">
        <v>429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53">
        <v>0</v>
      </c>
      <c r="AT55" s="53">
        <v>19</v>
      </c>
      <c r="AU55" s="53">
        <v>41458</v>
      </c>
      <c r="AV55" s="53">
        <v>12</v>
      </c>
      <c r="AW55" s="53">
        <v>4888</v>
      </c>
      <c r="AX55" s="53">
        <v>293</v>
      </c>
      <c r="AY55" s="53">
        <v>0</v>
      </c>
      <c r="AZ55" s="53">
        <v>0</v>
      </c>
      <c r="BA55" s="53">
        <v>8</v>
      </c>
      <c r="BB55" s="53">
        <v>70</v>
      </c>
      <c r="BC55" s="53">
        <v>8557</v>
      </c>
      <c r="BD55" s="53">
        <v>2199075</v>
      </c>
      <c r="BF55" s="53">
        <f t="shared" si="51"/>
        <v>1433465</v>
      </c>
      <c r="BG55" s="53">
        <f t="shared" si="52"/>
        <v>6343062</v>
      </c>
      <c r="BH55" s="53">
        <f t="shared" si="53"/>
        <v>256937</v>
      </c>
      <c r="BI55" s="53">
        <f t="shared" si="54"/>
        <v>96489.12</v>
      </c>
      <c r="BJ55" s="53">
        <f t="shared" si="55"/>
        <v>20320</v>
      </c>
      <c r="BK55" s="53">
        <f>SUMIF(Renseanlæg!$A:$A,SPILDEVAND!A55,Renseanlæg!$I:$I)</f>
        <v>6036097.829955135</v>
      </c>
      <c r="BL55" s="53">
        <f t="shared" si="56"/>
        <v>1161862.2</v>
      </c>
      <c r="BM55" s="53">
        <f t="shared" si="57"/>
        <v>1033685.6</v>
      </c>
      <c r="BN55" s="53">
        <v>32.3561906356598</v>
      </c>
      <c r="BO55" s="53">
        <f t="shared" si="58"/>
        <v>0.025543283582089554</v>
      </c>
      <c r="BP55" s="53">
        <f t="shared" si="59"/>
        <v>16381918.749955134</v>
      </c>
      <c r="BQ55" s="53">
        <f t="shared" si="60"/>
        <v>17114174.958049364</v>
      </c>
      <c r="BR55" s="53">
        <f t="shared" si="61"/>
        <v>19966371.523819067</v>
      </c>
      <c r="BS55" s="53">
        <v>11509392</v>
      </c>
      <c r="BT55" s="53"/>
      <c r="BU55" s="53">
        <f t="shared" si="26"/>
        <v>8.750287569360127</v>
      </c>
      <c r="BV55" s="53">
        <f t="shared" si="27"/>
        <v>38.71989659341566</v>
      </c>
      <c r="BW55" s="53">
        <f t="shared" si="28"/>
        <v>1.5684182294012639</v>
      </c>
      <c r="BX55" s="53">
        <f t="shared" si="29"/>
        <v>0.5889976715960958</v>
      </c>
      <c r="BY55" s="53">
        <f t="shared" si="30"/>
        <v>0.12403919412709606</v>
      </c>
      <c r="BZ55" s="53">
        <f t="shared" si="31"/>
        <v>36.84609795767462</v>
      </c>
      <c r="CA55" s="53">
        <f t="shared" si="32"/>
        <v>7.092345028284199</v>
      </c>
      <c r="CB55" s="53">
        <f t="shared" si="33"/>
        <v>6.309917756140934</v>
      </c>
      <c r="CD55" s="53">
        <f t="shared" si="34"/>
        <v>16.628623554902326</v>
      </c>
      <c r="CF55" s="53">
        <f t="shared" si="35"/>
        <v>12.874348212981308</v>
      </c>
      <c r="CG55" s="53">
        <f t="shared" si="36"/>
        <v>-18.56894379930601</v>
      </c>
      <c r="CH55" s="53">
        <f t="shared" si="37"/>
        <v>0.4627625683936267</v>
      </c>
      <c r="CI55" s="53">
        <f t="shared" si="38"/>
        <v>0.9017987187749628</v>
      </c>
      <c r="CJ55" s="53">
        <f t="shared" si="39"/>
        <v>-0.06729451210182498</v>
      </c>
      <c r="CK55" s="53">
        <f t="shared" si="40"/>
        <v>-2.644433209145781</v>
      </c>
      <c r="CL55" s="53">
        <f t="shared" si="41"/>
        <v>6.286474551864299</v>
      </c>
      <c r="CM55" s="53">
        <f t="shared" si="42"/>
        <v>0.7552874685394091</v>
      </c>
      <c r="CO55" s="53">
        <f t="shared" si="46"/>
        <v>14.092398249914343</v>
      </c>
      <c r="CP55" s="53">
        <f t="shared" si="47"/>
        <v>0</v>
      </c>
      <c r="CQ55" s="53">
        <f t="shared" si="43"/>
        <v>55.937517819914085</v>
      </c>
    </row>
    <row r="56" spans="1:95" ht="15">
      <c r="A56" s="54" t="s">
        <v>154</v>
      </c>
      <c r="B56" s="70">
        <v>10</v>
      </c>
      <c r="C56" s="16">
        <v>20178577</v>
      </c>
      <c r="D56" s="51">
        <v>0.41357330923644353</v>
      </c>
      <c r="E56" s="16">
        <f t="shared" si="14"/>
        <v>8345320.865572387</v>
      </c>
      <c r="F56" s="51"/>
      <c r="G56" s="16"/>
      <c r="H56" s="51">
        <v>0.27729932160351356</v>
      </c>
      <c r="I56" s="52">
        <f t="shared" si="44"/>
        <v>0</v>
      </c>
      <c r="J56" s="52">
        <f t="shared" si="45"/>
        <v>0</v>
      </c>
      <c r="K56" s="52">
        <f t="shared" si="48"/>
        <v>0</v>
      </c>
      <c r="L56" s="16">
        <f t="shared" si="15"/>
        <v>5595505.713024261</v>
      </c>
      <c r="M56" s="16">
        <f t="shared" si="16"/>
        <v>11833256.134427613</v>
      </c>
      <c r="N56" s="52">
        <f t="shared" si="17"/>
        <v>0.06932483040087839</v>
      </c>
      <c r="O56" s="51">
        <f t="shared" si="18"/>
        <v>0.05</v>
      </c>
      <c r="P56" s="16">
        <f t="shared" si="19"/>
        <v>1008928.8500000001</v>
      </c>
      <c r="Q56" s="51"/>
      <c r="R56" s="16">
        <f t="shared" si="20"/>
        <v>17366857.529915027</v>
      </c>
      <c r="S56" s="16">
        <f t="shared" si="21"/>
        <v>18053115.623370934</v>
      </c>
      <c r="T56" s="16">
        <f t="shared" si="22"/>
        <v>19529104.24921023</v>
      </c>
      <c r="U56" s="16">
        <f t="shared" si="23"/>
        <v>21402572.929915026</v>
      </c>
      <c r="V56" s="16">
        <f t="shared" si="24"/>
        <v>22088831.023370937</v>
      </c>
      <c r="W56" s="16">
        <f t="shared" si="25"/>
        <v>23564819.64921023</v>
      </c>
      <c r="X56" s="54"/>
      <c r="Y56" s="53">
        <v>187</v>
      </c>
      <c r="Z56" s="53">
        <v>75</v>
      </c>
      <c r="AA56" s="53">
        <v>158</v>
      </c>
      <c r="AB56" s="53">
        <v>78.7</v>
      </c>
      <c r="AC56" s="53">
        <v>0</v>
      </c>
      <c r="AD56" s="53">
        <v>0</v>
      </c>
      <c r="AE56" s="53">
        <v>0</v>
      </c>
      <c r="AF56" s="53">
        <v>0</v>
      </c>
      <c r="AG56" s="53">
        <v>33</v>
      </c>
      <c r="AH56" s="53">
        <v>47</v>
      </c>
      <c r="AI56" s="53">
        <v>470</v>
      </c>
      <c r="AJ56" s="53">
        <v>57</v>
      </c>
      <c r="AK56" s="53">
        <v>1140</v>
      </c>
      <c r="AL56" s="53">
        <v>4</v>
      </c>
      <c r="AM56" s="53">
        <v>100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35</v>
      </c>
      <c r="AU56" s="53">
        <v>101507</v>
      </c>
      <c r="AV56" s="53">
        <v>10</v>
      </c>
      <c r="AW56" s="53">
        <v>15351</v>
      </c>
      <c r="AX56" s="53">
        <v>486</v>
      </c>
      <c r="AY56" s="53">
        <v>0</v>
      </c>
      <c r="AZ56" s="53">
        <v>0</v>
      </c>
      <c r="BA56" s="53">
        <v>0</v>
      </c>
      <c r="BB56" s="53">
        <v>0</v>
      </c>
      <c r="BC56" s="53">
        <v>10335</v>
      </c>
      <c r="BD56" s="53">
        <v>2386378</v>
      </c>
      <c r="BF56" s="53">
        <f t="shared" si="51"/>
        <v>2133937.3</v>
      </c>
      <c r="BG56" s="53">
        <f t="shared" si="52"/>
        <v>2670266</v>
      </c>
      <c r="BH56" s="53">
        <f t="shared" si="53"/>
        <v>473305</v>
      </c>
      <c r="BI56" s="53">
        <f t="shared" si="54"/>
        <v>303028.74</v>
      </c>
      <c r="BJ56" s="53">
        <f t="shared" si="55"/>
        <v>0</v>
      </c>
      <c r="BK56" s="53">
        <f>SUMIF(Renseanlæg!$A:$A,SPILDEVAND!A56,Renseanlæg!$I:$I)</f>
        <v>8610668.089915024</v>
      </c>
      <c r="BL56" s="53">
        <f t="shared" si="56"/>
        <v>1927184.4000000001</v>
      </c>
      <c r="BM56" s="53">
        <f t="shared" si="57"/>
        <v>1248468</v>
      </c>
      <c r="BN56" s="53">
        <v>32.03221167737816</v>
      </c>
      <c r="BO56" s="53">
        <f t="shared" si="58"/>
        <v>0.02072388209344295</v>
      </c>
      <c r="BP56" s="53">
        <f t="shared" si="59"/>
        <v>17366857.529915027</v>
      </c>
      <c r="BQ56" s="53">
        <f t="shared" si="60"/>
        <v>18053115.623370934</v>
      </c>
      <c r="BR56" s="53">
        <f t="shared" si="61"/>
        <v>19529104.24921023</v>
      </c>
      <c r="BS56" s="53">
        <v>19097653</v>
      </c>
      <c r="BT56" s="53"/>
      <c r="BU56" s="53">
        <f t="shared" si="26"/>
        <v>12.287411791823692</v>
      </c>
      <c r="BV56" s="53">
        <f t="shared" si="27"/>
        <v>15.375642918705196</v>
      </c>
      <c r="BW56" s="53">
        <f t="shared" si="28"/>
        <v>2.725334731310575</v>
      </c>
      <c r="BX56" s="53">
        <f t="shared" si="29"/>
        <v>1.7448680020436758</v>
      </c>
      <c r="BY56" s="53">
        <f t="shared" si="30"/>
        <v>0</v>
      </c>
      <c r="BZ56" s="53">
        <f t="shared" si="31"/>
        <v>49.58103718581697</v>
      </c>
      <c r="CA56" s="53">
        <f t="shared" si="32"/>
        <v>11.09690913672987</v>
      </c>
      <c r="CB56" s="53">
        <f t="shared" si="33"/>
        <v>7.188796233570003</v>
      </c>
      <c r="CD56" s="53">
        <f t="shared" si="34"/>
        <v>22.20154275670427</v>
      </c>
      <c r="CF56" s="53">
        <f t="shared" si="35"/>
        <v>9.337223990517744</v>
      </c>
      <c r="CG56" s="53">
        <f t="shared" si="36"/>
        <v>4.7753098754044565</v>
      </c>
      <c r="CH56" s="53">
        <f t="shared" si="37"/>
        <v>-0.6941539335156843</v>
      </c>
      <c r="CI56" s="53">
        <f t="shared" si="38"/>
        <v>-0.25407161167261716</v>
      </c>
      <c r="CJ56" s="53">
        <f t="shared" si="39"/>
        <v>0.05674468202527108</v>
      </c>
      <c r="CK56" s="53">
        <f t="shared" si="40"/>
        <v>-15.379372437288126</v>
      </c>
      <c r="CL56" s="53">
        <f t="shared" si="41"/>
        <v>2.281910443418628</v>
      </c>
      <c r="CM56" s="53">
        <f t="shared" si="42"/>
        <v>-0.1235910088896599</v>
      </c>
      <c r="CO56" s="53">
        <f t="shared" si="46"/>
        <v>8.519479048112398</v>
      </c>
      <c r="CP56" s="53">
        <f t="shared" si="47"/>
        <v>0</v>
      </c>
      <c r="CQ56" s="53">
        <f t="shared" si="43"/>
        <v>39.32205367745314</v>
      </c>
    </row>
    <row r="57" spans="1:95" ht="15">
      <c r="A57" s="54" t="s">
        <v>21</v>
      </c>
      <c r="B57" s="70">
        <v>6</v>
      </c>
      <c r="C57" s="16">
        <v>24246142</v>
      </c>
      <c r="D57" s="51">
        <v>0.31480874103702283</v>
      </c>
      <c r="E57" s="16">
        <f t="shared" si="14"/>
        <v>7632897.438024883</v>
      </c>
      <c r="F57" s="51">
        <v>0.3176639</v>
      </c>
      <c r="G57" s="16">
        <f>F57*C57</f>
        <v>7702124.0276738</v>
      </c>
      <c r="H57" s="51">
        <v>0.1785347230359713</v>
      </c>
      <c r="I57" s="52">
        <f t="shared" si="44"/>
        <v>0</v>
      </c>
      <c r="J57" s="52">
        <f t="shared" si="45"/>
        <v>0</v>
      </c>
      <c r="K57" s="52">
        <f t="shared" si="48"/>
        <v>0</v>
      </c>
      <c r="L57" s="16">
        <f t="shared" si="15"/>
        <v>4328778.246660831</v>
      </c>
      <c r="M57" s="16">
        <f t="shared" si="16"/>
        <v>16613244.561975118</v>
      </c>
      <c r="N57" s="52">
        <f t="shared" si="17"/>
        <v>0.04463368075899282</v>
      </c>
      <c r="O57" s="51">
        <f t="shared" si="18"/>
        <v>0.04463368075899282</v>
      </c>
      <c r="P57" s="16">
        <f t="shared" si="19"/>
        <v>1082194.5616652078</v>
      </c>
      <c r="Q57" s="51"/>
      <c r="R57" s="16">
        <f t="shared" si="20"/>
        <v>24382119.159104772</v>
      </c>
      <c r="S57" s="16">
        <f t="shared" si="21"/>
        <v>22874543.500948753</v>
      </c>
      <c r="T57" s="16">
        <f t="shared" si="22"/>
        <v>28048065.536017228</v>
      </c>
      <c r="U57" s="16">
        <f t="shared" si="23"/>
        <v>29231347.55910477</v>
      </c>
      <c r="V57" s="16">
        <f t="shared" si="24"/>
        <v>27723771.900948755</v>
      </c>
      <c r="W57" s="16">
        <f t="shared" si="25"/>
        <v>32897293.93601723</v>
      </c>
      <c r="X57" s="54"/>
      <c r="Y57" s="53">
        <v>137</v>
      </c>
      <c r="Z57" s="53">
        <v>38</v>
      </c>
      <c r="AA57" s="53">
        <v>219</v>
      </c>
      <c r="AB57" s="53">
        <v>73</v>
      </c>
      <c r="AC57" s="53">
        <v>0</v>
      </c>
      <c r="AD57" s="53">
        <v>0</v>
      </c>
      <c r="AE57" s="53">
        <v>0</v>
      </c>
      <c r="AF57" s="53">
        <v>0</v>
      </c>
      <c r="AG57" s="53">
        <v>83</v>
      </c>
      <c r="AH57" s="53">
        <v>17</v>
      </c>
      <c r="AI57" s="53">
        <v>85</v>
      </c>
      <c r="AJ57" s="53">
        <v>152</v>
      </c>
      <c r="AK57" s="53">
        <v>6840</v>
      </c>
      <c r="AL57" s="53">
        <v>2</v>
      </c>
      <c r="AM57" s="53">
        <v>320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32</v>
      </c>
      <c r="AU57" s="53">
        <v>79705</v>
      </c>
      <c r="AV57" s="53">
        <v>1</v>
      </c>
      <c r="AW57" s="53">
        <v>120</v>
      </c>
      <c r="AX57" s="53">
        <v>555</v>
      </c>
      <c r="AY57" s="53">
        <v>243</v>
      </c>
      <c r="AZ57" s="53">
        <v>0</v>
      </c>
      <c r="BA57" s="53">
        <v>12</v>
      </c>
      <c r="BB57" s="53">
        <v>57</v>
      </c>
      <c r="BC57" s="53">
        <v>10295</v>
      </c>
      <c r="BD57" s="53">
        <v>3210568</v>
      </c>
      <c r="BE57" s="53">
        <v>101600</v>
      </c>
      <c r="BF57" s="53">
        <f t="shared" si="51"/>
        <v>1998293</v>
      </c>
      <c r="BG57" s="53">
        <f t="shared" si="52"/>
        <v>4691223</v>
      </c>
      <c r="BH57" s="53">
        <f t="shared" si="53"/>
        <v>432736</v>
      </c>
      <c r="BI57" s="53">
        <f t="shared" si="54"/>
        <v>2368.7999999999997</v>
      </c>
      <c r="BJ57" s="53">
        <f t="shared" si="55"/>
        <v>30480</v>
      </c>
      <c r="BK57" s="53">
        <f>SUMIF(Renseanlæg!$A:$A,SPILDEVAND!A57,Renseanlæg!$I:$I)</f>
        <v>12527294.259104775</v>
      </c>
      <c r="BL57" s="53">
        <f t="shared" si="56"/>
        <v>3354488.0999999996</v>
      </c>
      <c r="BM57" s="53">
        <f t="shared" si="57"/>
        <v>1243636</v>
      </c>
      <c r="BN57" s="53">
        <v>25.698050071759607</v>
      </c>
      <c r="BO57" s="53">
        <f t="shared" si="58"/>
        <v>0.022044967880085652</v>
      </c>
      <c r="BP57" s="53">
        <f t="shared" si="59"/>
        <v>24382119.159104772</v>
      </c>
      <c r="BQ57" s="53">
        <f t="shared" si="60"/>
        <v>22874543.500948753</v>
      </c>
      <c r="BR57" s="53">
        <f t="shared" si="61"/>
        <v>28048065.536017228</v>
      </c>
      <c r="BS57" s="53">
        <v>17773581</v>
      </c>
      <c r="BT57" s="53"/>
      <c r="BU57" s="53">
        <f t="shared" si="26"/>
        <v>8.230025836373747</v>
      </c>
      <c r="BV57" s="53">
        <f t="shared" si="27"/>
        <v>19.32093366397758</v>
      </c>
      <c r="BW57" s="53">
        <f t="shared" si="28"/>
        <v>1.7822353680511462</v>
      </c>
      <c r="BX57" s="53">
        <f t="shared" si="29"/>
        <v>0.009755969320416037</v>
      </c>
      <c r="BY57" s="53">
        <f t="shared" si="30"/>
        <v>0.12553273593645764</v>
      </c>
      <c r="BZ57" s="53">
        <f t="shared" si="31"/>
        <v>51.59401319640753</v>
      </c>
      <c r="CA57" s="53">
        <f t="shared" si="32"/>
        <v>13.815553440265402</v>
      </c>
      <c r="CB57" s="53">
        <f t="shared" si="33"/>
        <v>5.121949789667731</v>
      </c>
      <c r="CD57" s="53">
        <f t="shared" si="34"/>
        <v>15.134210994092625</v>
      </c>
      <c r="CF57" s="53">
        <f t="shared" si="35"/>
        <v>13.394609945967689</v>
      </c>
      <c r="CG57" s="53">
        <f t="shared" si="36"/>
        <v>0.8300191301320723</v>
      </c>
      <c r="CH57" s="53">
        <f t="shared" si="37"/>
        <v>0.24894542974374434</v>
      </c>
      <c r="CI57" s="53">
        <f t="shared" si="38"/>
        <v>1.4810404210506425</v>
      </c>
      <c r="CJ57" s="53">
        <f t="shared" si="39"/>
        <v>-0.06878805391118656</v>
      </c>
      <c r="CK57" s="53">
        <f t="shared" si="40"/>
        <v>-17.39234844787869</v>
      </c>
      <c r="CL57" s="53">
        <f t="shared" si="41"/>
        <v>-0.4367338601169042</v>
      </c>
      <c r="CM57" s="53">
        <f t="shared" si="42"/>
        <v>1.9432554350126123</v>
      </c>
      <c r="CO57" s="53">
        <f t="shared" si="46"/>
        <v>15.586810810724044</v>
      </c>
      <c r="CP57" s="53">
        <f t="shared" si="47"/>
        <v>0</v>
      </c>
      <c r="CQ57" s="53">
        <f t="shared" si="43"/>
        <v>34.46490062739062</v>
      </c>
    </row>
    <row r="58" spans="1:95" ht="15">
      <c r="A58" s="54" t="s">
        <v>75</v>
      </c>
      <c r="B58" s="70">
        <v>6</v>
      </c>
      <c r="C58" s="16">
        <v>33532608</v>
      </c>
      <c r="D58" s="51">
        <v>0.17022415317916728</v>
      </c>
      <c r="E58" s="16">
        <f t="shared" si="14"/>
        <v>5708059.80068897</v>
      </c>
      <c r="F58" s="51"/>
      <c r="G58" s="16"/>
      <c r="H58" s="51">
        <v>0.033950164231212554</v>
      </c>
      <c r="I58" s="52">
        <f t="shared" si="44"/>
        <v>0</v>
      </c>
      <c r="J58" s="52">
        <f t="shared" si="45"/>
        <v>0</v>
      </c>
      <c r="K58" s="52">
        <f t="shared" si="48"/>
        <v>0</v>
      </c>
      <c r="L58" s="16">
        <f t="shared" si="15"/>
        <v>1138437.5487008719</v>
      </c>
      <c r="M58" s="16">
        <f t="shared" si="16"/>
        <v>27824548.19931103</v>
      </c>
      <c r="N58" s="52">
        <f t="shared" si="17"/>
        <v>0.008487541057803139</v>
      </c>
      <c r="O58" s="51">
        <f t="shared" si="18"/>
        <v>0</v>
      </c>
      <c r="P58" s="16">
        <f t="shared" si="19"/>
        <v>0</v>
      </c>
      <c r="Q58" s="59"/>
      <c r="R58" s="16">
        <f t="shared" si="20"/>
        <v>40836179.711905606</v>
      </c>
      <c r="S58" s="16">
        <f t="shared" si="21"/>
        <v>43798949.526245005</v>
      </c>
      <c r="T58" s="16">
        <f t="shared" si="22"/>
        <v>47012567.416289225</v>
      </c>
      <c r="U58" s="16">
        <f t="shared" si="23"/>
        <v>47542701.31190561</v>
      </c>
      <c r="V58" s="16">
        <f t="shared" si="24"/>
        <v>50505471.12624501</v>
      </c>
      <c r="W58" s="16">
        <f t="shared" si="25"/>
        <v>53719089.01628923</v>
      </c>
      <c r="X58" s="54"/>
      <c r="Y58" s="53">
        <v>348</v>
      </c>
      <c r="Z58" s="53">
        <v>233</v>
      </c>
      <c r="AA58" s="53">
        <v>204</v>
      </c>
      <c r="AB58" s="53">
        <v>307</v>
      </c>
      <c r="AC58" s="53">
        <v>0</v>
      </c>
      <c r="AD58" s="53">
        <v>0</v>
      </c>
      <c r="AE58" s="53">
        <v>0</v>
      </c>
      <c r="AF58" s="53">
        <v>0</v>
      </c>
      <c r="AG58" s="53">
        <v>312</v>
      </c>
      <c r="AH58" s="53">
        <v>418</v>
      </c>
      <c r="AI58" s="53">
        <v>3380</v>
      </c>
      <c r="AJ58" s="53">
        <v>194</v>
      </c>
      <c r="AK58" s="53">
        <v>4959</v>
      </c>
      <c r="AL58" s="53">
        <v>18</v>
      </c>
      <c r="AM58" s="53">
        <v>2711</v>
      </c>
      <c r="AN58" s="53">
        <v>1</v>
      </c>
      <c r="AO58" s="53">
        <v>500</v>
      </c>
      <c r="AP58" s="53">
        <v>0</v>
      </c>
      <c r="AQ58" s="53">
        <v>0</v>
      </c>
      <c r="AR58" s="53">
        <v>0</v>
      </c>
      <c r="AS58" s="53">
        <v>0</v>
      </c>
      <c r="AT58" s="53">
        <v>12</v>
      </c>
      <c r="AU58" s="53">
        <v>43550</v>
      </c>
      <c r="AV58" s="53">
        <v>19</v>
      </c>
      <c r="AW58" s="53">
        <v>1752</v>
      </c>
      <c r="AX58" s="53">
        <v>1039</v>
      </c>
      <c r="AY58" s="53">
        <v>0</v>
      </c>
      <c r="AZ58" s="53">
        <v>0</v>
      </c>
      <c r="BA58" s="53">
        <v>7</v>
      </c>
      <c r="BB58" s="53">
        <v>135</v>
      </c>
      <c r="BC58" s="53">
        <v>24123</v>
      </c>
      <c r="BD58" s="53">
        <v>5041162</v>
      </c>
      <c r="BF58" s="53">
        <f t="shared" si="51"/>
        <v>4672668</v>
      </c>
      <c r="BG58" s="53">
        <f t="shared" si="52"/>
        <v>14550168</v>
      </c>
      <c r="BH58" s="53">
        <f t="shared" si="53"/>
        <v>162276</v>
      </c>
      <c r="BI58" s="53">
        <f t="shared" si="54"/>
        <v>34584.479999999996</v>
      </c>
      <c r="BJ58" s="53">
        <f t="shared" si="55"/>
        <v>17780</v>
      </c>
      <c r="BK58" s="53">
        <f>SUMIF(Renseanlæg!$A:$A,SPILDEVAND!A58,Renseanlæg!$I:$I)</f>
        <v>14364594.231905608</v>
      </c>
      <c r="BL58" s="53">
        <f t="shared" si="56"/>
        <v>4120050.6</v>
      </c>
      <c r="BM58" s="53">
        <f t="shared" si="57"/>
        <v>2914058.4</v>
      </c>
      <c r="BN58" s="53">
        <v>34.09703566671973</v>
      </c>
      <c r="BO58" s="53">
        <f t="shared" si="58"/>
        <v>0.02209065934065934</v>
      </c>
      <c r="BP58" s="53">
        <f t="shared" si="59"/>
        <v>40836179.711905606</v>
      </c>
      <c r="BQ58" s="53">
        <f t="shared" si="60"/>
        <v>43798949.526245005</v>
      </c>
      <c r="BR58" s="53">
        <f t="shared" si="61"/>
        <v>47012567.416289225</v>
      </c>
      <c r="BS58" s="53">
        <v>30249237</v>
      </c>
      <c r="BT58" s="53"/>
      <c r="BU58" s="53">
        <f t="shared" si="26"/>
        <v>11.442470948470492</v>
      </c>
      <c r="BV58" s="53">
        <f t="shared" si="27"/>
        <v>35.630580780694245</v>
      </c>
      <c r="BW58" s="53">
        <f t="shared" si="28"/>
        <v>0.3973829117827326</v>
      </c>
      <c r="BX58" s="53">
        <f t="shared" si="29"/>
        <v>0.08469078215442628</v>
      </c>
      <c r="BY58" s="53">
        <f t="shared" si="30"/>
        <v>0.043539822102448826</v>
      </c>
      <c r="BZ58" s="53">
        <f t="shared" si="31"/>
        <v>35.176146087234685</v>
      </c>
      <c r="CA58" s="53">
        <f t="shared" si="32"/>
        <v>10.089216545393</v>
      </c>
      <c r="CB58" s="53">
        <f t="shared" si="33"/>
        <v>7.135972122167979</v>
      </c>
      <c r="CD58" s="53">
        <f t="shared" si="34"/>
        <v>18.975825982421203</v>
      </c>
      <c r="CF58" s="53">
        <f t="shared" si="35"/>
        <v>10.182164833870944</v>
      </c>
      <c r="CG58" s="53">
        <f t="shared" si="36"/>
        <v>-15.479627986584592</v>
      </c>
      <c r="CH58" s="53">
        <f t="shared" si="37"/>
        <v>1.633797886012158</v>
      </c>
      <c r="CI58" s="53">
        <f t="shared" si="38"/>
        <v>1.4061056082166323</v>
      </c>
      <c r="CJ58" s="53">
        <f t="shared" si="39"/>
        <v>0.013204859922822255</v>
      </c>
      <c r="CK58" s="53">
        <f t="shared" si="40"/>
        <v>-0.9744813387058429</v>
      </c>
      <c r="CL58" s="53">
        <f t="shared" si="41"/>
        <v>3.2896030347554976</v>
      </c>
      <c r="CM58" s="53">
        <f t="shared" si="42"/>
        <v>-0.0707668974876352</v>
      </c>
      <c r="CO58" s="53">
        <f t="shared" si="46"/>
        <v>11.745195822395466</v>
      </c>
      <c r="CP58" s="53">
        <f t="shared" si="47"/>
        <v>0</v>
      </c>
      <c r="CQ58" s="53">
        <f t="shared" si="43"/>
        <v>54.691097545269876</v>
      </c>
    </row>
    <row r="59" spans="1:95" ht="15">
      <c r="A59" s="54" t="s">
        <v>57</v>
      </c>
      <c r="B59" s="70">
        <v>2</v>
      </c>
      <c r="C59" s="16">
        <v>166793929</v>
      </c>
      <c r="D59" s="51">
        <v>0.4126126311775671</v>
      </c>
      <c r="E59" s="16">
        <f t="shared" si="14"/>
        <v>68821281.90913431</v>
      </c>
      <c r="F59" s="51"/>
      <c r="G59" s="16"/>
      <c r="H59" s="51">
        <v>0.2763386292208172</v>
      </c>
      <c r="I59" s="52">
        <f t="shared" si="44"/>
        <v>0</v>
      </c>
      <c r="J59" s="52">
        <f t="shared" si="45"/>
        <v>0</v>
      </c>
      <c r="K59" s="52">
        <f t="shared" si="48"/>
        <v>0</v>
      </c>
      <c r="L59" s="16">
        <f t="shared" si="15"/>
        <v>46091605.70221431</v>
      </c>
      <c r="M59" s="16">
        <f t="shared" si="16"/>
        <v>97972647.09086569</v>
      </c>
      <c r="N59" s="52">
        <f t="shared" si="17"/>
        <v>0.0690846573052043</v>
      </c>
      <c r="O59" s="51">
        <f t="shared" si="18"/>
        <v>0.05</v>
      </c>
      <c r="P59" s="16">
        <f t="shared" si="19"/>
        <v>8339696.45</v>
      </c>
      <c r="Q59" s="59"/>
      <c r="R59" s="16">
        <f t="shared" si="20"/>
        <v>143787730.7101564</v>
      </c>
      <c r="S59" s="16">
        <f t="shared" si="21"/>
        <v>75776134.08425243</v>
      </c>
      <c r="T59" s="16">
        <f t="shared" si="22"/>
        <v>143787730.7101564</v>
      </c>
      <c r="U59" s="16">
        <f t="shared" si="23"/>
        <v>177146516.51015642</v>
      </c>
      <c r="V59" s="16">
        <f t="shared" si="24"/>
        <v>109134919.88425243</v>
      </c>
      <c r="W59" s="16">
        <f t="shared" si="25"/>
        <v>177146516.51015642</v>
      </c>
      <c r="X59" s="54"/>
      <c r="Y59" s="53">
        <v>0</v>
      </c>
      <c r="Z59" s="53">
        <v>0</v>
      </c>
      <c r="AA59" s="53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  <c r="AU59" s="53">
        <v>0</v>
      </c>
      <c r="AV59" s="53">
        <v>0</v>
      </c>
      <c r="AW59" s="53">
        <v>0</v>
      </c>
      <c r="AX59" s="53">
        <v>0</v>
      </c>
      <c r="AY59" s="53">
        <v>0</v>
      </c>
      <c r="AZ59" s="53">
        <v>16908</v>
      </c>
      <c r="BA59" s="53">
        <v>0</v>
      </c>
      <c r="BB59" s="53">
        <v>0</v>
      </c>
      <c r="BC59" s="53">
        <v>0</v>
      </c>
      <c r="BD59" s="53" t="s">
        <v>137</v>
      </c>
      <c r="BF59" s="53">
        <f t="shared" si="51"/>
        <v>0</v>
      </c>
      <c r="BG59" s="53">
        <f t="shared" si="52"/>
        <v>0</v>
      </c>
      <c r="BH59" s="53">
        <f t="shared" si="53"/>
        <v>0</v>
      </c>
      <c r="BI59" s="53">
        <f t="shared" si="54"/>
        <v>0</v>
      </c>
      <c r="BJ59" s="53">
        <f t="shared" si="55"/>
        <v>0</v>
      </c>
      <c r="BK59" s="53">
        <f>SUMIF(Renseanlæg!$A:$A,SPILDEVAND!A59,Renseanlæg!$I:$I)</f>
        <v>63513619.110156424</v>
      </c>
      <c r="BL59" s="53">
        <f t="shared" si="56"/>
        <v>80274111.6</v>
      </c>
      <c r="BM59" s="53">
        <f t="shared" si="57"/>
        <v>0</v>
      </c>
      <c r="BN59" s="53">
        <v>0</v>
      </c>
      <c r="BO59" s="53" t="e">
        <f t="shared" si="58"/>
        <v>#DIV/0!</v>
      </c>
      <c r="BP59" s="53">
        <f t="shared" si="59"/>
        <v>143787730.7101564</v>
      </c>
      <c r="BQ59" s="53">
        <f t="shared" si="60"/>
        <v>75776134.08425243</v>
      </c>
      <c r="BR59" s="53">
        <f>BP59</f>
        <v>143787730.7101564</v>
      </c>
      <c r="BS59" s="53">
        <v>145125786</v>
      </c>
      <c r="BT59" s="53"/>
      <c r="BU59" s="53">
        <f t="shared" si="26"/>
        <v>0</v>
      </c>
      <c r="BV59" s="53">
        <f t="shared" si="27"/>
        <v>0</v>
      </c>
      <c r="BW59" s="53">
        <f t="shared" si="28"/>
        <v>0</v>
      </c>
      <c r="BX59" s="53">
        <f t="shared" si="29"/>
        <v>0</v>
      </c>
      <c r="BY59" s="53">
        <f t="shared" si="30"/>
        <v>0</v>
      </c>
      <c r="BZ59" s="53">
        <f t="shared" si="31"/>
        <v>44.17179323748112</v>
      </c>
      <c r="CA59" s="53">
        <f t="shared" si="32"/>
        <v>55.828206762518896</v>
      </c>
      <c r="CB59" s="53">
        <f t="shared" si="33"/>
        <v>0</v>
      </c>
      <c r="CD59" s="53">
        <f t="shared" si="34"/>
        <v>0</v>
      </c>
      <c r="CF59" s="53">
        <f t="shared" si="35"/>
        <v>21.624635782341436</v>
      </c>
      <c r="CG59" s="53">
        <f t="shared" si="36"/>
        <v>20.150952794109653</v>
      </c>
      <c r="CH59" s="53">
        <f t="shared" si="37"/>
        <v>2.0311807977948906</v>
      </c>
      <c r="CI59" s="53">
        <f t="shared" si="38"/>
        <v>1.4907963903710586</v>
      </c>
      <c r="CJ59" s="53">
        <f t="shared" si="39"/>
        <v>0.05674468202527108</v>
      </c>
      <c r="CK59" s="53">
        <f t="shared" si="40"/>
        <v>-9.970128488952277</v>
      </c>
      <c r="CL59" s="53">
        <f t="shared" si="41"/>
        <v>-42.4493871823704</v>
      </c>
      <c r="CM59" s="53">
        <f t="shared" si="42"/>
        <v>7.065205224680343</v>
      </c>
      <c r="CO59" s="53">
        <f t="shared" si="46"/>
        <v>30.72102180481667</v>
      </c>
      <c r="CP59" s="53">
        <f t="shared" si="47"/>
        <v>0</v>
      </c>
      <c r="CQ59" s="53">
        <f t="shared" si="43"/>
        <v>0</v>
      </c>
    </row>
    <row r="60" spans="1:95" ht="15">
      <c r="A60" s="54" t="s">
        <v>99</v>
      </c>
      <c r="B60" s="70">
        <v>2</v>
      </c>
      <c r="C60" s="16">
        <v>14771100.242801934</v>
      </c>
      <c r="D60" s="51">
        <v>0.24984155</v>
      </c>
      <c r="E60" s="16">
        <f t="shared" si="14"/>
        <v>3690434.5798670114</v>
      </c>
      <c r="F60" s="51"/>
      <c r="G60" s="16"/>
      <c r="H60" s="51">
        <v>0.136642742</v>
      </c>
      <c r="I60" s="52">
        <f t="shared" si="44"/>
        <v>-0.3949485000359795</v>
      </c>
      <c r="J60" s="52">
        <f t="shared" si="45"/>
        <v>-0.12066466573099247</v>
      </c>
      <c r="K60" s="52">
        <f t="shared" si="48"/>
        <v>0.015978076269007546</v>
      </c>
      <c r="L60" s="16">
        <f t="shared" si="15"/>
        <v>236013.7662566452</v>
      </c>
      <c r="M60" s="16">
        <f t="shared" si="16"/>
        <v>11080665.662934924</v>
      </c>
      <c r="N60" s="52">
        <f t="shared" si="17"/>
        <v>0.0039945190672518865</v>
      </c>
      <c r="O60" s="51">
        <f t="shared" si="18"/>
        <v>0</v>
      </c>
      <c r="P60" s="16">
        <f t="shared" si="19"/>
        <v>0</v>
      </c>
      <c r="Q60" s="59"/>
      <c r="R60" s="16">
        <f t="shared" si="20"/>
        <v>14565877.26</v>
      </c>
      <c r="S60" s="16">
        <f t="shared" si="21"/>
        <v>20056005.146152604</v>
      </c>
      <c r="T60" s="16">
        <f t="shared" si="22"/>
        <v>17690026.463324826</v>
      </c>
      <c r="U60" s="16">
        <f t="shared" si="23"/>
        <v>17520097.308560386</v>
      </c>
      <c r="V60" s="16">
        <f t="shared" si="24"/>
        <v>23010225.194712993</v>
      </c>
      <c r="W60" s="16">
        <f t="shared" si="25"/>
        <v>20644246.511885215</v>
      </c>
      <c r="X60" s="54"/>
      <c r="Y60" s="53">
        <v>11.52</v>
      </c>
      <c r="Z60" s="53">
        <v>26.88</v>
      </c>
      <c r="AA60" s="53">
        <v>123.81</v>
      </c>
      <c r="AB60" s="53">
        <v>164.13</v>
      </c>
      <c r="AC60" s="53">
        <v>36.08</v>
      </c>
      <c r="AD60" s="53">
        <v>84.18</v>
      </c>
      <c r="AE60" s="53">
        <v>0</v>
      </c>
      <c r="AF60" s="53">
        <v>0</v>
      </c>
      <c r="AG60" s="53">
        <v>2</v>
      </c>
      <c r="AH60" s="53">
        <v>5</v>
      </c>
      <c r="AI60" s="53">
        <v>38.3</v>
      </c>
      <c r="AJ60" s="53">
        <v>25</v>
      </c>
      <c r="AK60" s="53">
        <v>817.9</v>
      </c>
      <c r="AL60" s="53">
        <v>1</v>
      </c>
      <c r="AM60" s="53">
        <v>137</v>
      </c>
      <c r="AN60" s="53">
        <v>2</v>
      </c>
      <c r="AO60" s="53">
        <v>750</v>
      </c>
      <c r="AP60" s="53">
        <v>0</v>
      </c>
      <c r="AQ60" s="53">
        <v>0</v>
      </c>
      <c r="AR60" s="53">
        <v>0</v>
      </c>
      <c r="AS60" s="53">
        <v>0</v>
      </c>
      <c r="AT60" s="53">
        <v>2</v>
      </c>
      <c r="AU60" s="53">
        <v>4850</v>
      </c>
      <c r="AV60" s="53">
        <v>28</v>
      </c>
      <c r="AW60" s="53">
        <v>15368</v>
      </c>
      <c r="AX60" s="53">
        <v>0</v>
      </c>
      <c r="AY60" s="53">
        <v>0</v>
      </c>
      <c r="AZ60" s="53">
        <v>0</v>
      </c>
      <c r="BA60" s="53">
        <v>0</v>
      </c>
      <c r="BB60" s="53">
        <v>0</v>
      </c>
      <c r="BC60" s="53">
        <v>11309</v>
      </c>
      <c r="BD60" s="53">
        <v>214945</v>
      </c>
      <c r="BF60" s="53">
        <f t="shared" si="51"/>
        <v>11869611.74</v>
      </c>
      <c r="BG60" s="53">
        <f t="shared" si="52"/>
        <v>999728</v>
      </c>
      <c r="BH60" s="53">
        <f t="shared" si="53"/>
        <v>27046</v>
      </c>
      <c r="BI60" s="53">
        <f t="shared" si="54"/>
        <v>303364.31999999995</v>
      </c>
      <c r="BJ60" s="53">
        <f t="shared" si="55"/>
        <v>0</v>
      </c>
      <c r="BK60" s="53">
        <f>SUMIF(Renseanlæg!$A:$A,SPILDEVAND!A60,Renseanlæg!$I:$I)</f>
        <v>0</v>
      </c>
      <c r="BL60" s="53">
        <f t="shared" si="56"/>
        <v>0</v>
      </c>
      <c r="BM60" s="53">
        <f t="shared" si="57"/>
        <v>1366127.2</v>
      </c>
      <c r="BN60" s="53">
        <v>53.11981733555317</v>
      </c>
      <c r="BO60" s="53">
        <f t="shared" si="58"/>
        <v>0.02532243618450515</v>
      </c>
      <c r="BP60" s="53">
        <f t="shared" si="59"/>
        <v>14565877.26</v>
      </c>
      <c r="BQ60" s="53">
        <f t="shared" si="60"/>
        <v>20056005.146152604</v>
      </c>
      <c r="BR60" s="53">
        <f t="shared" si="61"/>
        <v>17690026.463324826</v>
      </c>
      <c r="BS60" s="53">
        <v>15136824</v>
      </c>
      <c r="BT60" s="53"/>
      <c r="BU60" s="53">
        <f t="shared" si="26"/>
        <v>81.48916490320612</v>
      </c>
      <c r="BV60" s="53">
        <f t="shared" si="27"/>
        <v>6.863493232538745</v>
      </c>
      <c r="BW60" s="53">
        <f t="shared" si="28"/>
        <v>0.1856805430749593</v>
      </c>
      <c r="BX60" s="53">
        <f t="shared" si="29"/>
        <v>2.0827054531969877</v>
      </c>
      <c r="BY60" s="53">
        <f t="shared" si="30"/>
        <v>0</v>
      </c>
      <c r="BZ60" s="53">
        <f t="shared" si="31"/>
        <v>0</v>
      </c>
      <c r="CA60" s="53">
        <f t="shared" si="32"/>
        <v>0</v>
      </c>
      <c r="CB60" s="53">
        <f t="shared" si="33"/>
        <v>9.378955867983196</v>
      </c>
      <c r="CD60" s="53">
        <f t="shared" si="34"/>
        <v>91.05380131426428</v>
      </c>
      <c r="CF60" s="53">
        <f t="shared" si="35"/>
        <v>-59.86452912086468</v>
      </c>
      <c r="CG60" s="53">
        <f t="shared" si="36"/>
        <v>13.287459561570909</v>
      </c>
      <c r="CH60" s="53">
        <f t="shared" si="37"/>
        <v>1.8455002547199313</v>
      </c>
      <c r="CI60" s="53">
        <f t="shared" si="38"/>
        <v>-0.5919090628259291</v>
      </c>
      <c r="CJ60" s="53">
        <f t="shared" si="39"/>
        <v>0.05674468202527108</v>
      </c>
      <c r="CK60" s="53">
        <f t="shared" si="40"/>
        <v>34.20166474852884</v>
      </c>
      <c r="CL60" s="53">
        <f t="shared" si="41"/>
        <v>13.378819580148498</v>
      </c>
      <c r="CM60" s="53">
        <f t="shared" si="42"/>
        <v>-2.3137506433028525</v>
      </c>
      <c r="CO60" s="53">
        <f t="shared" si="46"/>
        <v>-60.332779509447604</v>
      </c>
      <c r="CP60" s="53">
        <f t="shared" si="47"/>
        <v>-12.066466573099246</v>
      </c>
      <c r="CQ60" s="53">
        <f t="shared" si="43"/>
        <v>100.00000000000001</v>
      </c>
    </row>
    <row r="61" spans="1:95" ht="15">
      <c r="A61" s="54" t="s">
        <v>24</v>
      </c>
      <c r="B61" s="70">
        <v>6</v>
      </c>
      <c r="C61" s="16">
        <v>978136.6785823248</v>
      </c>
      <c r="D61" s="51">
        <v>0</v>
      </c>
      <c r="E61" s="16">
        <f t="shared" si="14"/>
        <v>0</v>
      </c>
      <c r="F61" s="51"/>
      <c r="G61" s="16"/>
      <c r="H61" s="51">
        <v>0</v>
      </c>
      <c r="I61" s="52">
        <f t="shared" si="44"/>
        <v>0</v>
      </c>
      <c r="J61" s="52">
        <f t="shared" si="45"/>
        <v>0</v>
      </c>
      <c r="K61" s="52">
        <f t="shared" si="48"/>
        <v>0</v>
      </c>
      <c r="L61" s="16">
        <f t="shared" si="15"/>
        <v>0</v>
      </c>
      <c r="M61" s="16">
        <v>1761124</v>
      </c>
      <c r="N61" s="52">
        <f t="shared" si="17"/>
        <v>0</v>
      </c>
      <c r="O61" s="51">
        <f t="shared" si="18"/>
        <v>0</v>
      </c>
      <c r="P61" s="16">
        <f t="shared" si="19"/>
        <v>0</v>
      </c>
      <c r="Q61" s="59"/>
      <c r="R61" s="16">
        <f t="shared" si="20"/>
        <v>1769088.5324086812</v>
      </c>
      <c r="S61" s="16">
        <f t="shared" si="21"/>
        <v>1819783.7896847161</v>
      </c>
      <c r="T61" s="16">
        <f t="shared" si="22"/>
        <v>2998608.529846238</v>
      </c>
      <c r="U61" s="16">
        <f t="shared" si="23"/>
        <v>1964715.8681251463</v>
      </c>
      <c r="V61" s="16">
        <f t="shared" si="24"/>
        <v>2015411.1254011812</v>
      </c>
      <c r="W61" s="16">
        <f t="shared" si="25"/>
        <v>3194235.865562703</v>
      </c>
      <c r="X61" s="54"/>
      <c r="Y61" s="53">
        <v>13</v>
      </c>
      <c r="Z61" s="53">
        <v>7</v>
      </c>
      <c r="AA61" s="53">
        <v>11</v>
      </c>
      <c r="AB61" s="53">
        <v>19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33</v>
      </c>
      <c r="AI61" s="53">
        <v>198</v>
      </c>
      <c r="AJ61" s="53">
        <v>4</v>
      </c>
      <c r="AK61" s="53">
        <v>62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  <c r="AU61" s="53">
        <v>0</v>
      </c>
      <c r="AV61" s="53">
        <v>4</v>
      </c>
      <c r="AW61" s="53">
        <v>120</v>
      </c>
      <c r="AX61" s="53">
        <v>0</v>
      </c>
      <c r="AY61" s="53">
        <v>0</v>
      </c>
      <c r="AZ61" s="53">
        <v>0</v>
      </c>
      <c r="BA61" s="53">
        <v>0</v>
      </c>
      <c r="BB61" s="53">
        <v>0</v>
      </c>
      <c r="BC61" s="53">
        <v>2494</v>
      </c>
      <c r="BD61" s="53">
        <v>136198</v>
      </c>
      <c r="BF61" s="53">
        <f t="shared" si="51"/>
        <v>213950</v>
      </c>
      <c r="BG61" s="53">
        <f t="shared" si="52"/>
        <v>555751</v>
      </c>
      <c r="BH61" s="53">
        <f t="shared" si="53"/>
        <v>0</v>
      </c>
      <c r="BI61" s="53">
        <f t="shared" si="54"/>
        <v>2368.7999999999997</v>
      </c>
      <c r="BJ61" s="53">
        <f t="shared" si="55"/>
        <v>0</v>
      </c>
      <c r="BK61" s="53">
        <f>SUMIF(Renseanlæg!$A:$A,SPILDEVAND!A61,Renseanlæg!$I:$I)</f>
        <v>695743.5324086812</v>
      </c>
      <c r="BL61" s="53">
        <f t="shared" si="56"/>
        <v>0</v>
      </c>
      <c r="BM61" s="53">
        <f t="shared" si="57"/>
        <v>301275.2</v>
      </c>
      <c r="BN61" s="53">
        <v>39.99731912103603</v>
      </c>
      <c r="BO61" s="53">
        <f t="shared" si="58"/>
        <v>0.04988</v>
      </c>
      <c r="BP61" s="53">
        <f t="shared" si="59"/>
        <v>1769088.5324086812</v>
      </c>
      <c r="BQ61" s="53">
        <f>(0.527+0.016*BN62)*BP61</f>
        <v>1819783.7896847161</v>
      </c>
      <c r="BR61" s="53">
        <f t="shared" si="61"/>
        <v>2998608.529846238</v>
      </c>
      <c r="BS61" s="53">
        <v>1728796</v>
      </c>
      <c r="BT61" s="53"/>
      <c r="BU61" s="53">
        <f t="shared" si="26"/>
        <v>12.093798364556632</v>
      </c>
      <c r="BV61" s="53">
        <f t="shared" si="27"/>
        <v>31.414538606687138</v>
      </c>
      <c r="BW61" s="53">
        <f t="shared" si="28"/>
        <v>0</v>
      </c>
      <c r="BX61" s="53">
        <f t="shared" si="29"/>
        <v>0.13389946046254614</v>
      </c>
      <c r="BY61" s="53">
        <f t="shared" si="30"/>
        <v>0</v>
      </c>
      <c r="BZ61" s="53">
        <f t="shared" si="31"/>
        <v>39.327796187870824</v>
      </c>
      <c r="CA61" s="53">
        <f t="shared" si="32"/>
        <v>0</v>
      </c>
      <c r="CB61" s="53">
        <f t="shared" si="33"/>
        <v>17.029967380422868</v>
      </c>
      <c r="CD61" s="53">
        <f t="shared" si="34"/>
        <v>29.1237657449795</v>
      </c>
      <c r="CF61" s="53">
        <f t="shared" si="35"/>
        <v>9.530837417784804</v>
      </c>
      <c r="CG61" s="53">
        <f t="shared" si="36"/>
        <v>-11.263585812577485</v>
      </c>
      <c r="CH61" s="53">
        <f t="shared" si="37"/>
        <v>2.0311807977948906</v>
      </c>
      <c r="CI61" s="53">
        <f t="shared" si="38"/>
        <v>1.3568969299085125</v>
      </c>
      <c r="CJ61" s="53">
        <f t="shared" si="39"/>
        <v>0.05674468202527108</v>
      </c>
      <c r="CK61" s="53">
        <f t="shared" si="40"/>
        <v>-5.126131439341982</v>
      </c>
      <c r="CL61" s="53">
        <f t="shared" si="41"/>
        <v>13.378819580148498</v>
      </c>
      <c r="CM61" s="53">
        <f t="shared" si="42"/>
        <v>-9.964762155742523</v>
      </c>
      <c r="CO61" s="53">
        <f t="shared" si="46"/>
        <v>1.597256059837168</v>
      </c>
      <c r="CP61" s="53">
        <f t="shared" si="47"/>
        <v>0</v>
      </c>
      <c r="CQ61" s="53">
        <f t="shared" si="43"/>
        <v>60.67220381212918</v>
      </c>
    </row>
    <row r="62" spans="1:95" ht="15">
      <c r="A62" s="54" t="s">
        <v>9</v>
      </c>
      <c r="B62" s="70">
        <v>2</v>
      </c>
      <c r="C62" s="16">
        <v>32776934.387870576</v>
      </c>
      <c r="D62" s="51">
        <v>0.38711870032903684</v>
      </c>
      <c r="E62" s="16">
        <f t="shared" si="14"/>
        <v>12688564.241002573</v>
      </c>
      <c r="F62" s="51">
        <v>0.4137275</v>
      </c>
      <c r="G62" s="16">
        <f>F62*C62</f>
        <v>13560719.121957725</v>
      </c>
      <c r="H62" s="51">
        <v>0.25084469503168816</v>
      </c>
      <c r="I62" s="52">
        <f t="shared" si="44"/>
        <v>0</v>
      </c>
      <c r="J62" s="52">
        <f t="shared" si="45"/>
        <v>0</v>
      </c>
      <c r="K62" s="52">
        <f t="shared" si="48"/>
        <v>0</v>
      </c>
      <c r="L62" s="16">
        <f t="shared" si="15"/>
        <v>8221920.1105990475</v>
      </c>
      <c r="M62" s="16">
        <f t="shared" si="16"/>
        <v>20088370.146868005</v>
      </c>
      <c r="N62" s="52">
        <f t="shared" si="17"/>
        <v>0.06271117375792204</v>
      </c>
      <c r="O62" s="51">
        <f t="shared" si="18"/>
        <v>0.05</v>
      </c>
      <c r="P62" s="16">
        <f t="shared" si="19"/>
        <v>1638846.719393529</v>
      </c>
      <c r="Q62" s="59"/>
      <c r="R62" s="16">
        <f t="shared" si="20"/>
        <v>29482322.483365722</v>
      </c>
      <c r="S62" s="16">
        <f t="shared" si="21"/>
        <v>30327172.187611036</v>
      </c>
      <c r="T62" s="16">
        <f t="shared" si="22"/>
        <v>30684127.834075373</v>
      </c>
      <c r="U62" s="16">
        <f t="shared" si="23"/>
        <v>36037709.36093984</v>
      </c>
      <c r="V62" s="16">
        <f t="shared" si="24"/>
        <v>36882559.06518515</v>
      </c>
      <c r="W62" s="16">
        <f t="shared" si="25"/>
        <v>37239514.71164949</v>
      </c>
      <c r="X62" s="54"/>
      <c r="Y62" s="53">
        <v>218</v>
      </c>
      <c r="Z62" s="53">
        <v>109</v>
      </c>
      <c r="AA62" s="53">
        <v>358</v>
      </c>
      <c r="AB62" s="53">
        <v>211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226</v>
      </c>
      <c r="AI62" s="53">
        <v>1359</v>
      </c>
      <c r="AJ62" s="53">
        <v>69</v>
      </c>
      <c r="AK62" s="53">
        <v>1810</v>
      </c>
      <c r="AL62" s="53">
        <v>1</v>
      </c>
      <c r="AM62" s="53">
        <v>153</v>
      </c>
      <c r="AN62" s="53">
        <v>1</v>
      </c>
      <c r="AO62" s="53">
        <v>400</v>
      </c>
      <c r="AP62" s="53">
        <v>0</v>
      </c>
      <c r="AQ62" s="53">
        <v>0</v>
      </c>
      <c r="AR62" s="53">
        <v>0</v>
      </c>
      <c r="AS62" s="53">
        <v>0</v>
      </c>
      <c r="AT62" s="53">
        <v>33</v>
      </c>
      <c r="AU62" s="53">
        <v>185946</v>
      </c>
      <c r="AV62" s="53">
        <v>8</v>
      </c>
      <c r="AW62" s="53">
        <v>2975</v>
      </c>
      <c r="AX62" s="53">
        <f>3994/5</f>
        <v>798.8</v>
      </c>
      <c r="AY62" s="53">
        <v>0</v>
      </c>
      <c r="AZ62" s="53">
        <f>509/5</f>
        <v>101.8</v>
      </c>
      <c r="BA62" s="53">
        <v>0</v>
      </c>
      <c r="BB62" s="53">
        <v>0</v>
      </c>
      <c r="BC62" s="53">
        <v>14734</v>
      </c>
      <c r="BD62" s="53">
        <v>3698054</v>
      </c>
      <c r="BE62" s="53">
        <v>1280000</v>
      </c>
      <c r="BF62" s="53">
        <f t="shared" si="51"/>
        <v>3833984</v>
      </c>
      <c r="BG62" s="53">
        <f t="shared" si="52"/>
        <v>5024347</v>
      </c>
      <c r="BH62" s="53">
        <f t="shared" si="53"/>
        <v>446259</v>
      </c>
      <c r="BI62" s="53">
        <f t="shared" si="54"/>
        <v>58726.49999999999</v>
      </c>
      <c r="BJ62" s="53">
        <f t="shared" si="55"/>
        <v>0</v>
      </c>
      <c r="BK62" s="53">
        <f>SUMIF(Renseanlæg!$A:$A,SPILDEVAND!A62,Renseanlæg!$I:$I)</f>
        <v>13408261.403365722</v>
      </c>
      <c r="BL62" s="53">
        <f t="shared" si="56"/>
        <v>3650877.38</v>
      </c>
      <c r="BM62" s="53">
        <f t="shared" si="57"/>
        <v>1779867.2</v>
      </c>
      <c r="BN62" s="53">
        <v>31.353509054497806</v>
      </c>
      <c r="BO62" s="53">
        <f t="shared" si="58"/>
        <v>0.01644419642857143</v>
      </c>
      <c r="BP62" s="53">
        <f t="shared" si="59"/>
        <v>29482322.483365722</v>
      </c>
      <c r="BQ62" s="53">
        <f aca="true" t="shared" si="62" ref="BQ62:BQ73">(0.527+0.016*BN62)*BP62</f>
        <v>30327172.187611036</v>
      </c>
      <c r="BR62" s="53">
        <f t="shared" si="61"/>
        <v>30684127.834075373</v>
      </c>
      <c r="BS62" s="53">
        <v>32981158</v>
      </c>
      <c r="BT62" s="53"/>
      <c r="BU62" s="53">
        <f t="shared" si="26"/>
        <v>13.594568327701943</v>
      </c>
      <c r="BV62" s="53">
        <f t="shared" si="27"/>
        <v>17.81536610314082</v>
      </c>
      <c r="BW62" s="53">
        <f t="shared" si="28"/>
        <v>1.5823484050407985</v>
      </c>
      <c r="BX62" s="53">
        <f t="shared" si="29"/>
        <v>0.20823285044924236</v>
      </c>
      <c r="BY62" s="53">
        <f t="shared" si="30"/>
        <v>0</v>
      </c>
      <c r="BZ62" s="53">
        <f t="shared" si="31"/>
        <v>47.5431107181835</v>
      </c>
      <c r="CA62" s="53">
        <f t="shared" si="32"/>
        <v>12.945307543920748</v>
      </c>
      <c r="CB62" s="53">
        <f t="shared" si="33"/>
        <v>6.311066051562952</v>
      </c>
      <c r="CD62" s="53">
        <f t="shared" si="34"/>
        <v>21.487982784305693</v>
      </c>
      <c r="CF62" s="53">
        <f t="shared" si="35"/>
        <v>8.030067454639493</v>
      </c>
      <c r="CG62" s="53">
        <f t="shared" si="36"/>
        <v>2.3355866909688316</v>
      </c>
      <c r="CH62" s="53">
        <f t="shared" si="37"/>
        <v>0.44883239275409204</v>
      </c>
      <c r="CI62" s="53">
        <f t="shared" si="38"/>
        <v>1.2825635399218163</v>
      </c>
      <c r="CJ62" s="53">
        <f t="shared" si="39"/>
        <v>0.05674468202527108</v>
      </c>
      <c r="CK62" s="53">
        <f t="shared" si="40"/>
        <v>-13.341445969654657</v>
      </c>
      <c r="CL62" s="53">
        <f t="shared" si="41"/>
        <v>0.43351203622775003</v>
      </c>
      <c r="CM62" s="53">
        <f t="shared" si="42"/>
        <v>0.754139173117391</v>
      </c>
      <c r="CO62" s="53">
        <f t="shared" si="46"/>
        <v>9.233039020510976</v>
      </c>
      <c r="CP62" s="53">
        <f t="shared" si="47"/>
        <v>0</v>
      </c>
      <c r="CQ62" s="53">
        <f t="shared" si="43"/>
        <v>39.51158173789576</v>
      </c>
    </row>
    <row r="63" spans="1:95" ht="15">
      <c r="A63" s="54" t="s">
        <v>95</v>
      </c>
      <c r="B63" s="70">
        <v>6</v>
      </c>
      <c r="C63" s="16">
        <v>24649148</v>
      </c>
      <c r="D63" s="51">
        <v>0.3211244752186738</v>
      </c>
      <c r="E63" s="16">
        <f t="shared" si="14"/>
        <v>7915444.716087423</v>
      </c>
      <c r="F63" s="51"/>
      <c r="G63" s="16"/>
      <c r="H63" s="51">
        <v>0.1848504630218477</v>
      </c>
      <c r="I63" s="52">
        <f t="shared" si="44"/>
        <v>0</v>
      </c>
      <c r="J63" s="52">
        <f t="shared" si="45"/>
        <v>0</v>
      </c>
      <c r="K63" s="52">
        <f t="shared" si="48"/>
        <v>0</v>
      </c>
      <c r="L63" s="16">
        <f t="shared" si="15"/>
        <v>4556406.420894052</v>
      </c>
      <c r="M63" s="16">
        <f t="shared" si="16"/>
        <v>16733703.283912577</v>
      </c>
      <c r="N63" s="52">
        <f t="shared" si="17"/>
        <v>0.04621261575546193</v>
      </c>
      <c r="O63" s="51">
        <f t="shared" si="18"/>
        <v>0.04621261575546193</v>
      </c>
      <c r="P63" s="16">
        <f t="shared" si="19"/>
        <v>1139101.605223513</v>
      </c>
      <c r="Q63" s="59"/>
      <c r="R63" s="16">
        <f t="shared" si="20"/>
        <v>24558908.037708737</v>
      </c>
      <c r="S63" s="16">
        <f t="shared" si="21"/>
        <v>25186493.2288634</v>
      </c>
      <c r="T63" s="16">
        <f t="shared" si="22"/>
        <v>27971125.20834579</v>
      </c>
      <c r="U63" s="16">
        <f t="shared" si="23"/>
        <v>29488737.63770874</v>
      </c>
      <c r="V63" s="16">
        <f t="shared" si="24"/>
        <v>30116322.8288634</v>
      </c>
      <c r="W63" s="16">
        <f t="shared" si="25"/>
        <v>32900954.80834579</v>
      </c>
      <c r="X63" s="54"/>
      <c r="Y63" s="53">
        <v>39</v>
      </c>
      <c r="Z63" s="53">
        <v>238</v>
      </c>
      <c r="AA63" s="53">
        <v>116</v>
      </c>
      <c r="AB63" s="53">
        <v>287</v>
      </c>
      <c r="AC63" s="53">
        <v>3</v>
      </c>
      <c r="AD63" s="53">
        <v>8</v>
      </c>
      <c r="AE63" s="53">
        <v>0</v>
      </c>
      <c r="AF63" s="53">
        <v>0</v>
      </c>
      <c r="AG63" s="53">
        <v>79</v>
      </c>
      <c r="AH63" s="53">
        <v>39</v>
      </c>
      <c r="AI63" s="53">
        <v>260</v>
      </c>
      <c r="AJ63" s="53">
        <v>106</v>
      </c>
      <c r="AK63" s="53">
        <v>3208</v>
      </c>
      <c r="AL63" s="53">
        <v>6</v>
      </c>
      <c r="AM63" s="53">
        <v>1154</v>
      </c>
      <c r="AN63" s="53">
        <v>0</v>
      </c>
      <c r="AO63" s="53">
        <v>0</v>
      </c>
      <c r="AP63" s="53">
        <v>1</v>
      </c>
      <c r="AQ63" s="53">
        <v>660</v>
      </c>
      <c r="AR63" s="53">
        <v>1</v>
      </c>
      <c r="AS63" s="53">
        <v>1500</v>
      </c>
      <c r="AT63" s="53">
        <v>49</v>
      </c>
      <c r="AU63" s="53">
        <v>116766</v>
      </c>
      <c r="AV63" s="53">
        <v>9</v>
      </c>
      <c r="AW63" s="53">
        <v>7880</v>
      </c>
      <c r="AX63" s="53">
        <v>661</v>
      </c>
      <c r="AY63" s="53">
        <v>0</v>
      </c>
      <c r="AZ63" s="53">
        <v>36</v>
      </c>
      <c r="BA63" s="53">
        <v>52</v>
      </c>
      <c r="BB63" s="53">
        <v>112</v>
      </c>
      <c r="BC63" s="53">
        <v>14830</v>
      </c>
      <c r="BD63" s="53">
        <v>2948000</v>
      </c>
      <c r="BF63" s="53">
        <f t="shared" si="51"/>
        <v>3867688</v>
      </c>
      <c r="BG63" s="53">
        <f t="shared" si="52"/>
        <v>5553947</v>
      </c>
      <c r="BH63" s="53">
        <f t="shared" si="53"/>
        <v>662627</v>
      </c>
      <c r="BI63" s="53">
        <f t="shared" si="54"/>
        <v>155551.19999999998</v>
      </c>
      <c r="BJ63" s="53">
        <f t="shared" si="55"/>
        <v>132080</v>
      </c>
      <c r="BK63" s="53">
        <f>SUMIF(Renseanlæg!$A:$A,SPILDEVAND!A63,Renseanlæg!$I:$I)</f>
        <v>9603504.237708734</v>
      </c>
      <c r="BL63" s="53">
        <f t="shared" si="56"/>
        <v>2792046.6</v>
      </c>
      <c r="BM63" s="53">
        <f t="shared" si="57"/>
        <v>1791464</v>
      </c>
      <c r="BN63" s="53">
        <v>31.15964244570403</v>
      </c>
      <c r="BO63" s="53">
        <f t="shared" si="58"/>
        <v>0.0214616497829233</v>
      </c>
      <c r="BP63" s="53">
        <f t="shared" si="59"/>
        <v>24558908.037708737</v>
      </c>
      <c r="BQ63" s="53">
        <f t="shared" si="62"/>
        <v>25186493.2288634</v>
      </c>
      <c r="BR63" s="53">
        <f t="shared" si="61"/>
        <v>27971125.20834579</v>
      </c>
      <c r="BS63" s="53">
        <v>23788109</v>
      </c>
      <c r="BT63" s="53"/>
      <c r="BU63" s="53">
        <f t="shared" si="26"/>
        <v>15.748615508724557</v>
      </c>
      <c r="BV63" s="53">
        <f t="shared" si="27"/>
        <v>22.61479619318679</v>
      </c>
      <c r="BW63" s="53">
        <f t="shared" si="28"/>
        <v>2.698112631809915</v>
      </c>
      <c r="BX63" s="53">
        <f t="shared" si="29"/>
        <v>0.6333799522403862</v>
      </c>
      <c r="BY63" s="53">
        <f t="shared" si="30"/>
        <v>0.5378089278122588</v>
      </c>
      <c r="BZ63" s="53">
        <f t="shared" si="31"/>
        <v>39.10395455271516</v>
      </c>
      <c r="CA63" s="53">
        <f t="shared" si="32"/>
        <v>11.368773382403564</v>
      </c>
      <c r="CB63" s="53">
        <f t="shared" si="33"/>
        <v>7.294558851107362</v>
      </c>
      <c r="CD63" s="53">
        <f t="shared" si="34"/>
        <v>25.741286991641832</v>
      </c>
      <c r="CF63" s="53">
        <f t="shared" si="35"/>
        <v>5.876020273616879</v>
      </c>
      <c r="CG63" s="53">
        <f t="shared" si="36"/>
        <v>-2.4638433990771382</v>
      </c>
      <c r="CH63" s="53">
        <f t="shared" si="37"/>
        <v>-0.6669318340150245</v>
      </c>
      <c r="CI63" s="53">
        <f t="shared" si="38"/>
        <v>0.8574164381306724</v>
      </c>
      <c r="CJ63" s="53">
        <f t="shared" si="39"/>
        <v>-0.4810642457869877</v>
      </c>
      <c r="CK63" s="53">
        <f t="shared" si="40"/>
        <v>-4.902289804186317</v>
      </c>
      <c r="CL63" s="53">
        <f t="shared" si="41"/>
        <v>2.010046197744934</v>
      </c>
      <c r="CM63" s="53">
        <f t="shared" si="42"/>
        <v>-0.2293536264270184</v>
      </c>
      <c r="CO63" s="53">
        <f t="shared" si="46"/>
        <v>4.9797348131748365</v>
      </c>
      <c r="CP63" s="53">
        <f t="shared" si="47"/>
        <v>0</v>
      </c>
      <c r="CQ63" s="53">
        <f t="shared" si="43"/>
        <v>48.98946313706901</v>
      </c>
    </row>
    <row r="64" spans="1:95" ht="15">
      <c r="A64" s="54" t="s">
        <v>13</v>
      </c>
      <c r="B64" s="70">
        <v>6</v>
      </c>
      <c r="C64" s="16">
        <v>21289196.00470505</v>
      </c>
      <c r="D64" s="51">
        <v>0.24191958870085473</v>
      </c>
      <c r="E64" s="16">
        <f t="shared" si="14"/>
        <v>5150273.541230125</v>
      </c>
      <c r="F64" s="51"/>
      <c r="G64" s="16"/>
      <c r="H64" s="51">
        <v>0.10564559396221229</v>
      </c>
      <c r="I64" s="52">
        <f t="shared" si="44"/>
        <v>0</v>
      </c>
      <c r="J64" s="52">
        <f t="shared" si="45"/>
        <v>0</v>
      </c>
      <c r="K64" s="52">
        <f t="shared" si="48"/>
        <v>0</v>
      </c>
      <c r="L64" s="16">
        <f t="shared" si="15"/>
        <v>2249109.756895022</v>
      </c>
      <c r="M64" s="16">
        <f t="shared" si="16"/>
        <v>16138922.463474924</v>
      </c>
      <c r="N64" s="52">
        <f t="shared" si="17"/>
        <v>0.026411398490553073</v>
      </c>
      <c r="O64" s="51">
        <f t="shared" si="18"/>
        <v>0.026411398490553073</v>
      </c>
      <c r="P64" s="16">
        <f t="shared" si="19"/>
        <v>562277.4392237555</v>
      </c>
      <c r="Q64" s="51"/>
      <c r="R64" s="16">
        <f t="shared" si="20"/>
        <v>23685988.990590803</v>
      </c>
      <c r="S64" s="16">
        <f t="shared" si="21"/>
        <v>25139748.547188204</v>
      </c>
      <c r="T64" s="16">
        <f t="shared" si="22"/>
        <v>22839065.907972038</v>
      </c>
      <c r="U64" s="16">
        <f t="shared" si="23"/>
        <v>27943828.191531815</v>
      </c>
      <c r="V64" s="16">
        <f t="shared" si="24"/>
        <v>29397587.748129215</v>
      </c>
      <c r="W64" s="16">
        <f t="shared" si="25"/>
        <v>27096905.10891305</v>
      </c>
      <c r="X64" s="54"/>
      <c r="Y64" s="53">
        <v>271</v>
      </c>
      <c r="Z64" s="53">
        <v>102</v>
      </c>
      <c r="AA64" s="53">
        <v>175</v>
      </c>
      <c r="AB64" s="53">
        <v>108</v>
      </c>
      <c r="AC64" s="53">
        <v>0</v>
      </c>
      <c r="AD64" s="53">
        <v>0</v>
      </c>
      <c r="AE64" s="53">
        <v>0</v>
      </c>
      <c r="AF64" s="53">
        <v>0</v>
      </c>
      <c r="AG64" s="53">
        <v>380</v>
      </c>
      <c r="AH64" s="53">
        <v>69</v>
      </c>
      <c r="AI64" s="53">
        <v>345</v>
      </c>
      <c r="AJ64" s="53">
        <v>103</v>
      </c>
      <c r="AK64" s="53">
        <v>1545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4</v>
      </c>
      <c r="AU64" s="53">
        <v>14100</v>
      </c>
      <c r="AV64" s="53">
        <v>0</v>
      </c>
      <c r="AW64" s="53">
        <v>0</v>
      </c>
      <c r="AX64" s="53">
        <v>0</v>
      </c>
      <c r="AY64" s="53">
        <v>427</v>
      </c>
      <c r="AZ64" s="53">
        <v>0</v>
      </c>
      <c r="BA64" s="53">
        <v>0</v>
      </c>
      <c r="BB64" s="53">
        <v>0</v>
      </c>
      <c r="BC64" s="53">
        <v>8222</v>
      </c>
      <c r="BD64" s="53">
        <v>2764501</v>
      </c>
      <c r="BF64" s="53">
        <f t="shared" si="51"/>
        <v>2807024</v>
      </c>
      <c r="BG64" s="53">
        <f t="shared" si="52"/>
        <v>5983830</v>
      </c>
      <c r="BH64" s="53">
        <f t="shared" si="53"/>
        <v>54092</v>
      </c>
      <c r="BI64" s="53">
        <f t="shared" si="54"/>
        <v>0</v>
      </c>
      <c r="BJ64" s="53">
        <f t="shared" si="55"/>
        <v>0</v>
      </c>
      <c r="BK64" s="53">
        <f>SUMIF(Renseanlæg!$A:$A,SPILDEVAND!A64,Renseanlæg!$I:$I)</f>
        <v>11820557.490590803</v>
      </c>
      <c r="BL64" s="53">
        <f t="shared" si="56"/>
        <v>2027267.9</v>
      </c>
      <c r="BM64" s="53">
        <f t="shared" si="57"/>
        <v>993217.6</v>
      </c>
      <c r="BN64" s="53">
        <v>33.398521891398815</v>
      </c>
      <c r="BO64" s="53">
        <f t="shared" si="58"/>
        <v>0.012533536585365854</v>
      </c>
      <c r="BP64" s="53">
        <f t="shared" si="59"/>
        <v>23685988.990590803</v>
      </c>
      <c r="BQ64" s="53">
        <f t="shared" si="62"/>
        <v>25139748.547188204</v>
      </c>
      <c r="BR64" s="53">
        <f>(0.719+19.567*BO64)*BP64</f>
        <v>22839065.907972038</v>
      </c>
      <c r="BS64" s="53">
        <v>19742193</v>
      </c>
      <c r="BT64" s="53"/>
      <c r="BU64" s="53">
        <f t="shared" si="26"/>
        <v>11.850989211871553</v>
      </c>
      <c r="BV64" s="53">
        <f t="shared" si="27"/>
        <v>25.2631629710588</v>
      </c>
      <c r="BW64" s="53">
        <f t="shared" si="28"/>
        <v>0.2283712958808176</v>
      </c>
      <c r="BX64" s="53">
        <f t="shared" si="29"/>
        <v>0</v>
      </c>
      <c r="BY64" s="53">
        <f t="shared" si="30"/>
        <v>0</v>
      </c>
      <c r="BZ64" s="53">
        <f t="shared" si="31"/>
        <v>49.90527309324719</v>
      </c>
      <c r="CA64" s="53">
        <f t="shared" si="32"/>
        <v>8.558932881398057</v>
      </c>
      <c r="CB64" s="53">
        <f t="shared" si="33"/>
        <v>4.193270546543584</v>
      </c>
      <c r="CD64" s="53">
        <f t="shared" si="34"/>
        <v>16.272631054295957</v>
      </c>
      <c r="CF64" s="53">
        <f t="shared" si="35"/>
        <v>9.773646570469882</v>
      </c>
      <c r="CG64" s="53">
        <f t="shared" si="36"/>
        <v>-5.112210176949148</v>
      </c>
      <c r="CH64" s="53">
        <f t="shared" si="37"/>
        <v>1.802809501914073</v>
      </c>
      <c r="CI64" s="53">
        <f t="shared" si="38"/>
        <v>1.4907963903710586</v>
      </c>
      <c r="CJ64" s="53">
        <f t="shared" si="39"/>
        <v>0.05674468202527108</v>
      </c>
      <c r="CK64" s="53">
        <f t="shared" si="40"/>
        <v>-15.703608344718347</v>
      </c>
      <c r="CL64" s="53">
        <f t="shared" si="41"/>
        <v>4.819886698750441</v>
      </c>
      <c r="CM64" s="53">
        <f t="shared" si="42"/>
        <v>2.8719346781367596</v>
      </c>
      <c r="CO64" s="53">
        <f t="shared" si="46"/>
        <v>14.448390750520712</v>
      </c>
      <c r="CP64" s="53">
        <f t="shared" si="47"/>
        <v>0</v>
      </c>
      <c r="CQ64" s="53">
        <f t="shared" si="43"/>
        <v>41.53579402535476</v>
      </c>
    </row>
    <row r="65" spans="1:95" ht="15">
      <c r="A65" s="54" t="s">
        <v>136</v>
      </c>
      <c r="B65" s="70">
        <v>2</v>
      </c>
      <c r="C65" s="16">
        <v>31503854</v>
      </c>
      <c r="D65" s="51">
        <v>0.5063914373092255</v>
      </c>
      <c r="E65" s="16">
        <f t="shared" si="14"/>
        <v>15953281.907839995</v>
      </c>
      <c r="F65" s="51"/>
      <c r="G65" s="16"/>
      <c r="H65" s="51">
        <v>0.3786405125364144</v>
      </c>
      <c r="I65" s="52">
        <f t="shared" si="44"/>
        <v>0</v>
      </c>
      <c r="J65" s="52">
        <f t="shared" si="45"/>
        <v>0</v>
      </c>
      <c r="K65" s="52">
        <f t="shared" si="48"/>
        <v>0</v>
      </c>
      <c r="L65" s="16">
        <f t="shared" si="15"/>
        <v>11928635.42543237</v>
      </c>
      <c r="M65" s="16">
        <f t="shared" si="16"/>
        <v>15550572.092160005</v>
      </c>
      <c r="N65" s="52">
        <f t="shared" si="17"/>
        <v>0.0946601281341036</v>
      </c>
      <c r="O65" s="51">
        <f t="shared" si="18"/>
        <v>0.05</v>
      </c>
      <c r="P65" s="16">
        <f t="shared" si="19"/>
        <v>1575192.7000000002</v>
      </c>
      <c r="Q65" s="60"/>
      <c r="R65" s="16">
        <f t="shared" si="20"/>
        <v>22428434.299606923</v>
      </c>
      <c r="S65" s="16">
        <f t="shared" si="21"/>
        <v>28327112.52040354</v>
      </c>
      <c r="T65" s="16">
        <f t="shared" si="22"/>
        <v>22428434.299606923</v>
      </c>
      <c r="U65" s="16">
        <f t="shared" si="23"/>
        <v>28729205.099606924</v>
      </c>
      <c r="V65" s="16">
        <f t="shared" si="24"/>
        <v>34627883.320403546</v>
      </c>
      <c r="W65" s="16">
        <f t="shared" si="25"/>
        <v>28729205.099606924</v>
      </c>
      <c r="X65" s="54"/>
      <c r="Y65" s="53">
        <v>0</v>
      </c>
      <c r="Z65" s="53">
        <v>0</v>
      </c>
      <c r="AA65" s="53">
        <f>1517/1000-1.517</f>
        <v>0</v>
      </c>
      <c r="AB65" s="53">
        <f>12281/1000-12.281</f>
        <v>0</v>
      </c>
      <c r="AC65" s="53">
        <v>0</v>
      </c>
      <c r="AD65" s="53">
        <v>0</v>
      </c>
      <c r="AE65" s="53">
        <v>1.517</v>
      </c>
      <c r="AF65" s="53">
        <v>12.281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91.2</v>
      </c>
      <c r="AZ65" s="53">
        <v>1951</v>
      </c>
      <c r="BA65" s="53">
        <v>0</v>
      </c>
      <c r="BB65" s="53">
        <v>0</v>
      </c>
      <c r="BC65" s="53">
        <v>0</v>
      </c>
      <c r="BD65" s="53">
        <v>5025905</v>
      </c>
      <c r="BF65" s="53">
        <f t="shared" si="51"/>
        <v>1201640.224</v>
      </c>
      <c r="BG65" s="53">
        <f t="shared" si="52"/>
        <v>0</v>
      </c>
      <c r="BH65" s="53">
        <f t="shared" si="53"/>
        <v>0</v>
      </c>
      <c r="BI65" s="53">
        <f t="shared" si="54"/>
        <v>0</v>
      </c>
      <c r="BJ65" s="53">
        <f t="shared" si="55"/>
        <v>0</v>
      </c>
      <c r="BK65" s="53">
        <f>SUMIF(Renseanlæg!$A:$A,SPILDEVAND!A65,Renseanlæg!$I:$I)</f>
        <v>11531041.135606924</v>
      </c>
      <c r="BL65" s="53">
        <f t="shared" si="56"/>
        <v>9695752.94</v>
      </c>
      <c r="BM65" s="53">
        <f t="shared" si="57"/>
        <v>0</v>
      </c>
      <c r="BN65" s="53">
        <v>46</v>
      </c>
      <c r="BO65" s="53">
        <f t="shared" si="58"/>
        <v>0</v>
      </c>
      <c r="BP65" s="53">
        <f t="shared" si="59"/>
        <v>22428434.299606923</v>
      </c>
      <c r="BQ65" s="53">
        <f t="shared" si="62"/>
        <v>28327112.52040354</v>
      </c>
      <c r="BR65" s="53">
        <f>BP65</f>
        <v>22428434.299606923</v>
      </c>
      <c r="BS65" s="53">
        <v>29163228</v>
      </c>
      <c r="BT65" s="53"/>
      <c r="BU65" s="53">
        <f t="shared" si="26"/>
        <v>5.357664328896377</v>
      </c>
      <c r="BV65" s="53">
        <f t="shared" si="27"/>
        <v>0</v>
      </c>
      <c r="BW65" s="53">
        <f t="shared" si="28"/>
        <v>0</v>
      </c>
      <c r="BX65" s="53">
        <f t="shared" si="29"/>
        <v>0</v>
      </c>
      <c r="BY65" s="53">
        <f t="shared" si="30"/>
        <v>0</v>
      </c>
      <c r="BZ65" s="53">
        <f t="shared" si="31"/>
        <v>51.412599656182934</v>
      </c>
      <c r="CA65" s="53">
        <f t="shared" si="32"/>
        <v>43.2297360149207</v>
      </c>
      <c r="CB65" s="53">
        <f t="shared" si="33"/>
        <v>0</v>
      </c>
      <c r="CD65" s="53">
        <f t="shared" si="34"/>
        <v>5.357664328896377</v>
      </c>
      <c r="CF65" s="53">
        <f t="shared" si="35"/>
        <v>16.26697145344506</v>
      </c>
      <c r="CG65" s="53">
        <f t="shared" si="36"/>
        <v>20.150952794109653</v>
      </c>
      <c r="CH65" s="53">
        <f t="shared" si="37"/>
        <v>2.0311807977948906</v>
      </c>
      <c r="CI65" s="53">
        <f t="shared" si="38"/>
        <v>1.4907963903710586</v>
      </c>
      <c r="CJ65" s="53">
        <f t="shared" si="39"/>
        <v>0.05674468202527108</v>
      </c>
      <c r="CK65" s="53">
        <f t="shared" si="40"/>
        <v>-17.210934907654092</v>
      </c>
      <c r="CL65" s="53">
        <f t="shared" si="41"/>
        <v>-29.8509164347722</v>
      </c>
      <c r="CM65" s="53">
        <f t="shared" si="42"/>
        <v>7.065205224680343</v>
      </c>
      <c r="CO65" s="53">
        <f t="shared" si="46"/>
        <v>25.363357475920292</v>
      </c>
      <c r="CP65" s="53">
        <f t="shared" si="47"/>
        <v>0</v>
      </c>
      <c r="CQ65" s="53">
        <f>SUM(BU65:BX65)+CB65</f>
        <v>5.357664328896377</v>
      </c>
    </row>
    <row r="66" spans="1:95" ht="15">
      <c r="A66" s="54" t="s">
        <v>134</v>
      </c>
      <c r="B66" s="70">
        <v>6</v>
      </c>
      <c r="C66" s="16">
        <v>12387345.623022817</v>
      </c>
      <c r="D66" s="51">
        <v>0</v>
      </c>
      <c r="E66" s="16">
        <f t="shared" si="14"/>
        <v>0</v>
      </c>
      <c r="F66" s="51"/>
      <c r="G66" s="16"/>
      <c r="H66" s="51">
        <v>0</v>
      </c>
      <c r="I66" s="52">
        <f t="shared" si="44"/>
        <v>0</v>
      </c>
      <c r="J66" s="52">
        <f t="shared" si="45"/>
        <v>0</v>
      </c>
      <c r="K66" s="52">
        <f t="shared" si="48"/>
        <v>0</v>
      </c>
      <c r="L66" s="16">
        <f t="shared" si="15"/>
        <v>0</v>
      </c>
      <c r="M66" s="16">
        <v>13541293</v>
      </c>
      <c r="N66" s="52">
        <f t="shared" si="17"/>
        <v>0</v>
      </c>
      <c r="O66" s="51">
        <f t="shared" si="18"/>
        <v>0</v>
      </c>
      <c r="P66" s="16">
        <f t="shared" si="19"/>
        <v>0</v>
      </c>
      <c r="Q66" s="60"/>
      <c r="R66" s="16">
        <f t="shared" si="20"/>
        <v>19873627.174539432</v>
      </c>
      <c r="S66" s="16">
        <f t="shared" si="21"/>
        <v>10473401.52098228</v>
      </c>
      <c r="T66" s="16">
        <f t="shared" si="22"/>
        <v>19873627.174539432</v>
      </c>
      <c r="U66" s="16">
        <f t="shared" si="23"/>
        <v>22351096.299143996</v>
      </c>
      <c r="V66" s="16">
        <f t="shared" si="24"/>
        <v>12950870.645586845</v>
      </c>
      <c r="W66" s="16">
        <f t="shared" si="25"/>
        <v>22351096.299143996</v>
      </c>
      <c r="X66" s="54"/>
      <c r="Y66" s="53">
        <v>0</v>
      </c>
      <c r="Z66" s="53">
        <v>0</v>
      </c>
      <c r="AA66" s="53">
        <v>0</v>
      </c>
      <c r="AB66" s="53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1</v>
      </c>
      <c r="AW66" s="53">
        <v>964</v>
      </c>
      <c r="AX66" s="53">
        <v>0</v>
      </c>
      <c r="AY66" s="53">
        <v>2870</v>
      </c>
      <c r="AZ66" s="53">
        <v>0</v>
      </c>
      <c r="BA66" s="53">
        <v>0</v>
      </c>
      <c r="BB66" s="53">
        <v>0</v>
      </c>
      <c r="BC66" s="53">
        <v>6</v>
      </c>
      <c r="BD66" s="53">
        <v>2394047</v>
      </c>
      <c r="BF66" s="53">
        <f t="shared" si="51"/>
        <v>0</v>
      </c>
      <c r="BG66" s="53">
        <f t="shared" si="52"/>
        <v>0</v>
      </c>
      <c r="BH66" s="53">
        <f t="shared" si="53"/>
        <v>0</v>
      </c>
      <c r="BI66" s="53">
        <f t="shared" si="54"/>
        <v>19029.359999999997</v>
      </c>
      <c r="BJ66" s="53">
        <f t="shared" si="55"/>
        <v>0</v>
      </c>
      <c r="BK66" s="53">
        <f>SUMIF(Renseanlæg!$A:$A,SPILDEVAND!A66,Renseanlæg!$I:$I)</f>
        <v>6227974.014539431</v>
      </c>
      <c r="BL66" s="53">
        <f t="shared" si="56"/>
        <v>13625899</v>
      </c>
      <c r="BM66" s="53">
        <f t="shared" si="57"/>
        <v>724.8</v>
      </c>
      <c r="BN66" s="53">
        <v>0</v>
      </c>
      <c r="BO66" s="53" t="e">
        <f t="shared" si="58"/>
        <v>#DIV/0!</v>
      </c>
      <c r="BP66" s="53">
        <f t="shared" si="59"/>
        <v>19873627.174539432</v>
      </c>
      <c r="BQ66" s="53">
        <f t="shared" si="62"/>
        <v>10473401.52098228</v>
      </c>
      <c r="BR66" s="53">
        <f>BP66</f>
        <v>19873627.174539432</v>
      </c>
      <c r="BS66" s="53">
        <v>14126025</v>
      </c>
      <c r="BT66" s="53"/>
      <c r="BU66" s="53">
        <f t="shared" si="26"/>
        <v>0</v>
      </c>
      <c r="BV66" s="53">
        <f t="shared" si="27"/>
        <v>0</v>
      </c>
      <c r="BW66" s="53">
        <f t="shared" si="28"/>
        <v>0</v>
      </c>
      <c r="BX66" s="53">
        <f t="shared" si="29"/>
        <v>0.09575182141073349</v>
      </c>
      <c r="BY66" s="53">
        <f t="shared" si="30"/>
        <v>0</v>
      </c>
      <c r="BZ66" s="53">
        <f t="shared" si="31"/>
        <v>31.337882913081078</v>
      </c>
      <c r="CA66" s="53">
        <f t="shared" si="32"/>
        <v>68.56271822114313</v>
      </c>
      <c r="CB66" s="53">
        <f t="shared" si="33"/>
        <v>0.0036470443650495677</v>
      </c>
      <c r="CD66" s="53">
        <f t="shared" si="34"/>
        <v>0.0036470443650495677</v>
      </c>
      <c r="CF66" s="53">
        <f t="shared" si="35"/>
        <v>21.624635782341436</v>
      </c>
      <c r="CG66" s="53">
        <f t="shared" si="36"/>
        <v>20.150952794109653</v>
      </c>
      <c r="CH66" s="53">
        <f t="shared" si="37"/>
        <v>2.0311807977948906</v>
      </c>
      <c r="CI66" s="53">
        <f t="shared" si="38"/>
        <v>1.395044568960325</v>
      </c>
      <c r="CJ66" s="53">
        <f t="shared" si="39"/>
        <v>0.05674468202527108</v>
      </c>
      <c r="CK66" s="53">
        <f t="shared" si="40"/>
        <v>2.8637818354477638</v>
      </c>
      <c r="CL66" s="53">
        <f t="shared" si="41"/>
        <v>-55.18389864099463</v>
      </c>
      <c r="CM66" s="53">
        <f t="shared" si="42"/>
        <v>7.061558180315294</v>
      </c>
      <c r="CO66" s="53">
        <f t="shared" si="46"/>
        <v>30.71737476045162</v>
      </c>
      <c r="CP66" s="53">
        <f t="shared" si="47"/>
        <v>0</v>
      </c>
      <c r="CQ66" s="53">
        <f t="shared" si="43"/>
        <v>0.09939886577578305</v>
      </c>
    </row>
    <row r="67" spans="1:95" ht="15">
      <c r="A67" s="54" t="s">
        <v>66</v>
      </c>
      <c r="B67" s="70">
        <v>2</v>
      </c>
      <c r="C67" s="16">
        <v>25462659.014594994</v>
      </c>
      <c r="D67" s="51">
        <v>0.24288556418860008</v>
      </c>
      <c r="E67" s="16">
        <f t="shared" si="14"/>
        <v>6184512.300501849</v>
      </c>
      <c r="F67" s="51"/>
      <c r="G67" s="16"/>
      <c r="H67" s="51">
        <v>0.10661155769695474</v>
      </c>
      <c r="I67" s="52">
        <f t="shared" si="44"/>
        <v>0</v>
      </c>
      <c r="J67" s="52">
        <f t="shared" si="45"/>
        <v>0</v>
      </c>
      <c r="K67" s="52">
        <f t="shared" si="48"/>
        <v>0</v>
      </c>
      <c r="L67" s="16">
        <f t="shared" si="15"/>
        <v>2714613.740652379</v>
      </c>
      <c r="M67" s="16">
        <f t="shared" si="16"/>
        <v>19278146.714093145</v>
      </c>
      <c r="N67" s="52">
        <f t="shared" si="17"/>
        <v>0.026652889424238685</v>
      </c>
      <c r="O67" s="51">
        <f t="shared" si="18"/>
        <v>0.026652889424238685</v>
      </c>
      <c r="P67" s="16">
        <f t="shared" si="19"/>
        <v>678653.4351630948</v>
      </c>
      <c r="Q67" s="60"/>
      <c r="R67" s="16">
        <f t="shared" si="20"/>
        <v>28293213.348458298</v>
      </c>
      <c r="S67" s="16">
        <f t="shared" si="21"/>
        <v>31896780.804085508</v>
      </c>
      <c r="T67" s="16">
        <f t="shared" si="22"/>
        <v>31102851.467874926</v>
      </c>
      <c r="U67" s="16">
        <f t="shared" si="23"/>
        <v>33385745.151377298</v>
      </c>
      <c r="V67" s="16">
        <f t="shared" si="24"/>
        <v>36989312.60700451</v>
      </c>
      <c r="W67" s="16">
        <f t="shared" si="25"/>
        <v>36195383.27079392</v>
      </c>
      <c r="X67" s="54"/>
      <c r="Y67" s="53">
        <v>157</v>
      </c>
      <c r="Z67" s="53">
        <v>38</v>
      </c>
      <c r="AA67" s="53">
        <v>256.8</v>
      </c>
      <c r="AB67" s="53">
        <v>167</v>
      </c>
      <c r="AC67" s="53">
        <v>0</v>
      </c>
      <c r="AD67" s="53">
        <v>0</v>
      </c>
      <c r="AE67" s="53">
        <v>0</v>
      </c>
      <c r="AF67" s="53">
        <v>0</v>
      </c>
      <c r="AG67" s="53">
        <v>509</v>
      </c>
      <c r="AH67" s="53">
        <v>84</v>
      </c>
      <c r="AI67" s="53">
        <v>1377</v>
      </c>
      <c r="AJ67" s="53">
        <v>82</v>
      </c>
      <c r="AK67" s="53">
        <v>2051</v>
      </c>
      <c r="AL67" s="53">
        <v>4</v>
      </c>
      <c r="AM67" s="53">
        <v>866</v>
      </c>
      <c r="AN67" s="53">
        <v>6</v>
      </c>
      <c r="AO67" s="53">
        <v>2649</v>
      </c>
      <c r="AP67" s="53">
        <v>1</v>
      </c>
      <c r="AQ67" s="53">
        <v>1414</v>
      </c>
      <c r="AR67" s="53">
        <v>0</v>
      </c>
      <c r="AS67" s="53">
        <v>0</v>
      </c>
      <c r="AT67" s="53">
        <v>22</v>
      </c>
      <c r="AU67" s="53">
        <v>81400</v>
      </c>
      <c r="AV67" s="53">
        <v>20</v>
      </c>
      <c r="AW67" s="53">
        <v>6632</v>
      </c>
      <c r="AX67" s="53">
        <v>0</v>
      </c>
      <c r="AY67" s="53">
        <v>0</v>
      </c>
      <c r="AZ67" s="53">
        <v>700</v>
      </c>
      <c r="BA67" s="53">
        <v>25</v>
      </c>
      <c r="BB67" s="53">
        <v>125</v>
      </c>
      <c r="BC67" s="53">
        <v>12027</v>
      </c>
      <c r="BD67" s="53">
        <v>3948750</v>
      </c>
      <c r="BF67" s="53">
        <f aca="true" t="shared" si="63" ref="BF67:BF98">4279*((Y67+Z67)+(AA67+AB67))+87088*((AC67+AD67)+(AE67+AF67))</f>
        <v>2647845.1999999997</v>
      </c>
      <c r="BG67" s="53">
        <f aca="true" t="shared" si="64" ref="BG67:BG98">(6628*AG67)+(13891*AH67)+(24337*AJ67)+(102864*(AL67+AN67))+(598*(AQ67+AS67))</f>
        <v>8410342</v>
      </c>
      <c r="BH67" s="53">
        <f aca="true" t="shared" si="65" ref="BH67:BH98">13523*AT67</f>
        <v>297506</v>
      </c>
      <c r="BI67" s="53">
        <f aca="true" t="shared" si="66" ref="BI67:BI98">19.74*AW67</f>
        <v>130915.68</v>
      </c>
      <c r="BJ67" s="53">
        <f aca="true" t="shared" si="67" ref="BJ67:BJ98">2540*BA67</f>
        <v>63500</v>
      </c>
      <c r="BK67" s="53">
        <f>SUMIF(Renseanlæg!$A:$A,SPILDEVAND!A67,Renseanlæg!$I:$I)</f>
        <v>11966852.868458295</v>
      </c>
      <c r="BL67" s="53">
        <f aca="true" t="shared" si="68" ref="BL67:BL98">(3965.4*AX67)+(4747.7*(AY67+AZ67))</f>
        <v>3323390</v>
      </c>
      <c r="BM67" s="53">
        <f aca="true" t="shared" si="69" ref="BM67:BM98">120.8*BC67</f>
        <v>1452861.5999999999</v>
      </c>
      <c r="BN67" s="53">
        <v>37.5228176635634</v>
      </c>
      <c r="BO67" s="53">
        <f aca="true" t="shared" si="70" ref="BO67:BO98">BC67/(SUM(Y67:AF67)*1000)</f>
        <v>0.01943600517129929</v>
      </c>
      <c r="BP67" s="53">
        <f aca="true" t="shared" si="71" ref="BP67:BP98">SUM(BE67:BM67)</f>
        <v>28293213.348458298</v>
      </c>
      <c r="BQ67" s="53">
        <f t="shared" si="62"/>
        <v>31896780.804085508</v>
      </c>
      <c r="BR67" s="53">
        <f aca="true" t="shared" si="72" ref="BR67:BR98">(0.719+19.567*BO67)*BP67</f>
        <v>31102851.467874926</v>
      </c>
      <c r="BS67" s="53">
        <v>24824098</v>
      </c>
      <c r="BT67" s="53"/>
      <c r="BU67" s="53">
        <f t="shared" si="26"/>
        <v>9.358587755265631</v>
      </c>
      <c r="BV67" s="53">
        <f t="shared" si="27"/>
        <v>29.725651506665223</v>
      </c>
      <c r="BW67" s="53">
        <f t="shared" si="28"/>
        <v>1.05151011423102</v>
      </c>
      <c r="BX67" s="53">
        <f t="shared" si="29"/>
        <v>0.4627105390527641</v>
      </c>
      <c r="BY67" s="53">
        <f t="shared" si="30"/>
        <v>0.2244354475327212</v>
      </c>
      <c r="BZ67" s="53">
        <f t="shared" si="31"/>
        <v>42.295842190404194</v>
      </c>
      <c r="CA67" s="53">
        <f t="shared" si="32"/>
        <v>11.746244440563313</v>
      </c>
      <c r="CB67" s="53">
        <f t="shared" si="33"/>
        <v>5.135018006285124</v>
      </c>
      <c r="CD67" s="53">
        <f t="shared" si="34"/>
        <v>15.545115875781775</v>
      </c>
      <c r="CF67" s="53">
        <f t="shared" si="35"/>
        <v>12.266048027075804</v>
      </c>
      <c r="CG67" s="53">
        <f t="shared" si="36"/>
        <v>-9.57469871255557</v>
      </c>
      <c r="CH67" s="53">
        <f t="shared" si="37"/>
        <v>0.9796706835638707</v>
      </c>
      <c r="CI67" s="53">
        <f t="shared" si="38"/>
        <v>1.0280858513182944</v>
      </c>
      <c r="CJ67" s="53">
        <f t="shared" si="39"/>
        <v>-0.16769076550745013</v>
      </c>
      <c r="CK67" s="53">
        <f t="shared" si="40"/>
        <v>-8.094177441875352</v>
      </c>
      <c r="CL67" s="53">
        <f t="shared" si="41"/>
        <v>1.6325751395851853</v>
      </c>
      <c r="CM67" s="53">
        <f t="shared" si="42"/>
        <v>1.9301872183952193</v>
      </c>
      <c r="CO67" s="53">
        <f t="shared" si="46"/>
        <v>15.175905929034894</v>
      </c>
      <c r="CP67" s="53">
        <f t="shared" si="47"/>
        <v>0</v>
      </c>
      <c r="CQ67" s="53">
        <f t="shared" si="43"/>
        <v>45.73347792149976</v>
      </c>
    </row>
    <row r="68" spans="1:95" ht="15">
      <c r="A68" s="54" t="s">
        <v>92</v>
      </c>
      <c r="B68" s="70">
        <v>2</v>
      </c>
      <c r="C68" s="16">
        <v>51635761.378214985</v>
      </c>
      <c r="D68" s="51">
        <v>0.4169216353940024</v>
      </c>
      <c r="E68" s="16">
        <f aca="true" t="shared" si="73" ref="E68:E105">C68*D68</f>
        <v>21528066.07861986</v>
      </c>
      <c r="F68" s="51"/>
      <c r="G68" s="16"/>
      <c r="H68" s="51">
        <v>0.2806476236977128</v>
      </c>
      <c r="I68" s="52">
        <f t="shared" si="44"/>
        <v>0</v>
      </c>
      <c r="J68" s="52">
        <f t="shared" si="45"/>
        <v>0</v>
      </c>
      <c r="K68" s="52">
        <f t="shared" si="48"/>
        <v>0</v>
      </c>
      <c r="L68" s="16">
        <f aca="true" t="shared" si="74" ref="L68:L105">IF(J68&lt;0,(H68+J68)*C68,H68*C68)</f>
        <v>14491453.728618171</v>
      </c>
      <c r="M68" s="16">
        <f aca="true" t="shared" si="75" ref="M68:M105">IF(D68&gt;0,C68-E68,"Over front")</f>
        <v>30107695.299595125</v>
      </c>
      <c r="N68" s="52">
        <f aca="true" t="shared" si="76" ref="N68:N105">IF(J68&lt;0,(H68+J68)/4,H68/4)</f>
        <v>0.0701619059244282</v>
      </c>
      <c r="O68" s="51">
        <f aca="true" t="shared" si="77" ref="O68:O105">IF(N68&gt;0.05,0.05,IF(N68&gt;0.01,N68,0))</f>
        <v>0.05</v>
      </c>
      <c r="P68" s="16">
        <f aca="true" t="shared" si="78" ref="P68:P105">C68*O68</f>
        <v>2581788.0689107496</v>
      </c>
      <c r="Q68" s="51"/>
      <c r="R68" s="16">
        <f aca="true" t="shared" si="79" ref="R68:R105">BP68</f>
        <v>44186998.35145283</v>
      </c>
      <c r="S68" s="16">
        <f aca="true" t="shared" si="80" ref="S68:S105">BQ68</f>
        <v>47331190.64785424</v>
      </c>
      <c r="T68" s="16">
        <f aca="true" t="shared" si="81" ref="T68:T105">BR68</f>
        <v>48643679.70188481</v>
      </c>
      <c r="U68" s="16">
        <f aca="true" t="shared" si="82" ref="U68:U105">R68+(0.2*C68)</f>
        <v>54514150.627095826</v>
      </c>
      <c r="V68" s="16">
        <f aca="true" t="shared" si="83" ref="V68:V105">S68+(0.2*C68)</f>
        <v>57658342.92349724</v>
      </c>
      <c r="W68" s="16">
        <f aca="true" t="shared" si="84" ref="W68:W105">T68+(0.2*C68)</f>
        <v>58970831.97752781</v>
      </c>
      <c r="X68" s="54"/>
      <c r="Y68" s="53">
        <v>199</v>
      </c>
      <c r="Z68" s="53">
        <v>150</v>
      </c>
      <c r="AA68" s="53">
        <v>92</v>
      </c>
      <c r="AB68" s="53">
        <v>742</v>
      </c>
      <c r="AC68" s="53">
        <v>29</v>
      </c>
      <c r="AD68" s="53">
        <v>47</v>
      </c>
      <c r="AE68" s="53">
        <v>0</v>
      </c>
      <c r="AF68" s="53">
        <v>0</v>
      </c>
      <c r="AG68" s="53">
        <v>440</v>
      </c>
      <c r="AH68" s="53">
        <v>18</v>
      </c>
      <c r="AI68" s="53">
        <v>96</v>
      </c>
      <c r="AJ68" s="53">
        <v>136</v>
      </c>
      <c r="AK68" s="53">
        <v>3678</v>
      </c>
      <c r="AL68" s="53">
        <v>9</v>
      </c>
      <c r="AM68" s="53">
        <v>1252</v>
      </c>
      <c r="AN68" s="53">
        <v>1</v>
      </c>
      <c r="AO68" s="53">
        <v>483</v>
      </c>
      <c r="AP68" s="53">
        <v>0</v>
      </c>
      <c r="AQ68" s="53">
        <v>0</v>
      </c>
      <c r="AR68" s="53">
        <v>1</v>
      </c>
      <c r="AS68" s="53">
        <v>2500</v>
      </c>
      <c r="AT68" s="53">
        <v>93</v>
      </c>
      <c r="AU68" s="53">
        <v>393874</v>
      </c>
      <c r="AV68" s="53">
        <v>40</v>
      </c>
      <c r="AW68" s="53">
        <v>66396</v>
      </c>
      <c r="AX68" s="53">
        <v>823</v>
      </c>
      <c r="AY68" s="53">
        <v>0</v>
      </c>
      <c r="AZ68" s="53">
        <v>0</v>
      </c>
      <c r="BA68" s="53">
        <v>8</v>
      </c>
      <c r="BB68" s="53">
        <v>160</v>
      </c>
      <c r="BC68" s="53">
        <v>24570</v>
      </c>
      <c r="BD68" s="53">
        <v>6797524</v>
      </c>
      <c r="BF68" s="53">
        <f t="shared" si="63"/>
        <v>11680745</v>
      </c>
      <c r="BG68" s="53">
        <f t="shared" si="64"/>
        <v>8999830</v>
      </c>
      <c r="BH68" s="53">
        <f t="shared" si="65"/>
        <v>1257639</v>
      </c>
      <c r="BI68" s="53">
        <f t="shared" si="66"/>
        <v>1310657.0399999998</v>
      </c>
      <c r="BJ68" s="53">
        <f t="shared" si="67"/>
        <v>20320</v>
      </c>
      <c r="BK68" s="53">
        <f>SUMIF(Renseanlæg!$A:$A,SPILDEVAND!A68,Renseanlæg!$I:$I)</f>
        <v>14686227.11145283</v>
      </c>
      <c r="BL68" s="53">
        <f t="shared" si="68"/>
        <v>3263524.2</v>
      </c>
      <c r="BM68" s="53">
        <f t="shared" si="69"/>
        <v>2968056</v>
      </c>
      <c r="BN68" s="53">
        <v>34.00978145962932</v>
      </c>
      <c r="BO68" s="53">
        <f t="shared" si="70"/>
        <v>0.019515488482922956</v>
      </c>
      <c r="BP68" s="53">
        <f t="shared" si="71"/>
        <v>44186998.35145283</v>
      </c>
      <c r="BQ68" s="53">
        <f t="shared" si="62"/>
        <v>47331190.64785424</v>
      </c>
      <c r="BR68" s="53">
        <f t="shared" si="72"/>
        <v>48643679.70188481</v>
      </c>
      <c r="BS68" s="53">
        <v>48369576</v>
      </c>
      <c r="BT68" s="53"/>
      <c r="BU68" s="53">
        <f aca="true" t="shared" si="85" ref="BU68:BU105">(BF68/(SUM($BF68:$BM68)))*100</f>
        <v>26.434800814244376</v>
      </c>
      <c r="BV68" s="53">
        <f aca="true" t="shared" si="86" ref="BV68:BV105">(BG68/(SUM($BF68:$BM68)))*100</f>
        <v>20.367597564372904</v>
      </c>
      <c r="BW68" s="53">
        <f aca="true" t="shared" si="87" ref="BW68:BW105">(BH68/(SUM($BF68:$BM68)))*100</f>
        <v>2.8461743203216474</v>
      </c>
      <c r="BX68" s="53">
        <f aca="true" t="shared" si="88" ref="BX68:BX105">(BI68/(SUM($BF68:$BM68)))*100</f>
        <v>2.9661599314245035</v>
      </c>
      <c r="BY68" s="53">
        <f aca="true" t="shared" si="89" ref="BY68:BY105">(BJ68/(SUM($BF68:$BM68)))*100</f>
        <v>0.04598637779914257</v>
      </c>
      <c r="BZ68" s="53">
        <f aca="true" t="shared" si="90" ref="BZ68:BZ105">(BK68/(SUM($BF68:$BM68)))*100</f>
        <v>33.2365348617756</v>
      </c>
      <c r="CA68" s="53">
        <f aca="true" t="shared" si="91" ref="CA68:CA105">(BL68/(SUM($BF68:$BM68)))*100</f>
        <v>7.38571145757109</v>
      </c>
      <c r="CB68" s="53">
        <f aca="true" t="shared" si="92" ref="CB68:CB105">(BM68/(SUM($BF68:$BM68)))*100</f>
        <v>6.717034672490745</v>
      </c>
      <c r="CD68" s="53">
        <f aca="true" t="shared" si="93" ref="CD68:CD105">BU68+BW68+CB68</f>
        <v>35.99800980705677</v>
      </c>
      <c r="CF68" s="53">
        <f aca="true" t="shared" si="94" ref="CF68:CF105">BU$108-BU68</f>
        <v>-4.81016503190294</v>
      </c>
      <c r="CG68" s="53">
        <f aca="true" t="shared" si="95" ref="CG68:CG105">BV$108-BV68</f>
        <v>-0.21664477026325102</v>
      </c>
      <c r="CH68" s="53">
        <f aca="true" t="shared" si="96" ref="CH68:CH105">BW$108-BW68</f>
        <v>-0.8149935225267568</v>
      </c>
      <c r="CI68" s="53">
        <f aca="true" t="shared" si="97" ref="CI68:CI105">BX$108-BX68</f>
        <v>-1.475363541053445</v>
      </c>
      <c r="CJ68" s="53">
        <f aca="true" t="shared" si="98" ref="CJ68:CJ105">BY$108-BY68</f>
        <v>0.010758304226128508</v>
      </c>
      <c r="CK68" s="53">
        <f aca="true" t="shared" si="99" ref="CK68:CK105">BZ$108-BZ68</f>
        <v>0.965129886753239</v>
      </c>
      <c r="CL68" s="53">
        <f aca="true" t="shared" si="100" ref="CL68:CL105">CA$108-CA68</f>
        <v>5.993108122577408</v>
      </c>
      <c r="CM68" s="53">
        <f aca="true" t="shared" si="101" ref="CM68:CM105">CB$108-CB68</f>
        <v>0.3481705521895986</v>
      </c>
      <c r="CO68" s="53">
        <f aca="true" t="shared" si="102" ref="CO68:CO105">$CD$108-CD68</f>
        <v>-5.276988002240099</v>
      </c>
      <c r="CP68" s="53">
        <f aca="true" t="shared" si="103" ref="CP68:CP105">IF(CO68&lt;$CD$111,(CO68-$CD$111)*0.3819*0.8,0)</f>
        <v>0</v>
      </c>
      <c r="CQ68" s="53">
        <f aca="true" t="shared" si="104" ref="CQ68:CQ105">SUM(BU68:BX68)+CB68</f>
        <v>59.33176730285418</v>
      </c>
    </row>
    <row r="69" spans="1:95" ht="15">
      <c r="A69" s="54" t="s">
        <v>123</v>
      </c>
      <c r="B69" s="70">
        <v>2</v>
      </c>
      <c r="C69" s="16">
        <v>12779462.267415753</v>
      </c>
      <c r="D69" s="51">
        <v>0.3244433168388213</v>
      </c>
      <c r="E69" s="16">
        <f t="shared" si="73"/>
        <v>4146211.125456931</v>
      </c>
      <c r="F69" s="51"/>
      <c r="G69" s="16"/>
      <c r="H69" s="51">
        <v>0.18816933702612426</v>
      </c>
      <c r="I69" s="52">
        <f aca="true" t="shared" si="105" ref="I69:I105">IF(CO69&lt;$CD$111,CO69-$CD$111,0)/100</f>
        <v>0</v>
      </c>
      <c r="J69" s="52">
        <f aca="true" t="shared" si="106" ref="J69:J105">CP69/100</f>
        <v>0</v>
      </c>
      <c r="K69" s="52">
        <f t="shared" si="48"/>
        <v>0</v>
      </c>
      <c r="L69" s="16">
        <f t="shared" si="74"/>
        <v>2404702.9424099927</v>
      </c>
      <c r="M69" s="16">
        <f t="shared" si="75"/>
        <v>8633251.141958822</v>
      </c>
      <c r="N69" s="52">
        <f t="shared" si="76"/>
        <v>0.047042334256531065</v>
      </c>
      <c r="O69" s="51">
        <f t="shared" si="77"/>
        <v>0.047042334256531065</v>
      </c>
      <c r="P69" s="16">
        <f t="shared" si="78"/>
        <v>601175.7356024982</v>
      </c>
      <c r="Q69" s="60"/>
      <c r="R69" s="16">
        <f t="shared" si="79"/>
        <v>12670429.895883119</v>
      </c>
      <c r="S69" s="16">
        <f t="shared" si="80"/>
        <v>12764614.512290617</v>
      </c>
      <c r="T69" s="16">
        <f t="shared" si="81"/>
        <v>13468963.928126225</v>
      </c>
      <c r="U69" s="16">
        <f t="shared" si="82"/>
        <v>15226322.34936627</v>
      </c>
      <c r="V69" s="16">
        <f t="shared" si="83"/>
        <v>15320506.965773769</v>
      </c>
      <c r="W69" s="16">
        <f t="shared" si="84"/>
        <v>16024856.381609377</v>
      </c>
      <c r="X69" s="54"/>
      <c r="Y69" s="53">
        <v>163</v>
      </c>
      <c r="Z69" s="53">
        <v>62</v>
      </c>
      <c r="AA69" s="53">
        <v>143</v>
      </c>
      <c r="AB69" s="53">
        <v>59</v>
      </c>
      <c r="AC69" s="53">
        <v>5</v>
      </c>
      <c r="AD69" s="53">
        <v>8</v>
      </c>
      <c r="AE69" s="53">
        <v>0</v>
      </c>
      <c r="AF69" s="53">
        <v>0</v>
      </c>
      <c r="AG69" s="53">
        <v>35</v>
      </c>
      <c r="AH69" s="53">
        <v>31</v>
      </c>
      <c r="AI69" s="53">
        <v>305</v>
      </c>
      <c r="AJ69" s="53">
        <v>24</v>
      </c>
      <c r="AK69" s="53">
        <v>923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53">
        <v>0</v>
      </c>
      <c r="AT69" s="53">
        <v>34</v>
      </c>
      <c r="AU69" s="53">
        <v>53839</v>
      </c>
      <c r="AV69" s="53">
        <v>3</v>
      </c>
      <c r="AW69" s="53">
        <v>2168</v>
      </c>
      <c r="AX69" s="53">
        <v>482</v>
      </c>
      <c r="AY69" s="53">
        <v>0</v>
      </c>
      <c r="AZ69" s="53">
        <v>0</v>
      </c>
      <c r="BA69" s="53">
        <v>22</v>
      </c>
      <c r="BB69" s="53">
        <v>115</v>
      </c>
      <c r="BC69" s="53">
        <v>7736</v>
      </c>
      <c r="BD69" s="53">
        <v>1330517</v>
      </c>
      <c r="BF69" s="53">
        <f t="shared" si="63"/>
        <v>2959277</v>
      </c>
      <c r="BG69" s="53">
        <f t="shared" si="64"/>
        <v>1246689</v>
      </c>
      <c r="BH69" s="53">
        <f t="shared" si="65"/>
        <v>459782</v>
      </c>
      <c r="BI69" s="53">
        <f t="shared" si="66"/>
        <v>42796.32</v>
      </c>
      <c r="BJ69" s="53">
        <f t="shared" si="67"/>
        <v>55880</v>
      </c>
      <c r="BK69" s="53">
        <f>SUMIF(Renseanlæg!$A:$A,SPILDEVAND!A69,Renseanlæg!$I:$I)</f>
        <v>5060173.975883117</v>
      </c>
      <c r="BL69" s="53">
        <f t="shared" si="68"/>
        <v>1911322.8</v>
      </c>
      <c r="BM69" s="53">
        <f t="shared" si="69"/>
        <v>934508.7999999999</v>
      </c>
      <c r="BN69" s="53">
        <v>30.027088697766388</v>
      </c>
      <c r="BO69" s="53">
        <f t="shared" si="70"/>
        <v>0.01758181818181818</v>
      </c>
      <c r="BP69" s="53">
        <f t="shared" si="71"/>
        <v>12670429.895883119</v>
      </c>
      <c r="BQ69" s="53">
        <f t="shared" si="62"/>
        <v>12764614.512290617</v>
      </c>
      <c r="BR69" s="53">
        <f t="shared" si="72"/>
        <v>13468963.928126225</v>
      </c>
      <c r="BS69" s="53">
        <v>12459511</v>
      </c>
      <c r="BT69" s="53"/>
      <c r="BU69" s="53">
        <f t="shared" si="85"/>
        <v>23.355774226425652</v>
      </c>
      <c r="BV69" s="53">
        <f t="shared" si="86"/>
        <v>9.839358334677142</v>
      </c>
      <c r="BW69" s="53">
        <f t="shared" si="87"/>
        <v>3.6287797949885863</v>
      </c>
      <c r="BX69" s="53">
        <f t="shared" si="88"/>
        <v>0.33776533512809537</v>
      </c>
      <c r="BY69" s="53">
        <f t="shared" si="89"/>
        <v>0.44102686695860693</v>
      </c>
      <c r="BZ69" s="53">
        <f t="shared" si="90"/>
        <v>39.93687678685055</v>
      </c>
      <c r="CA69" s="53">
        <f t="shared" si="91"/>
        <v>15.084908844498068</v>
      </c>
      <c r="CB69" s="53">
        <f t="shared" si="92"/>
        <v>7.3755098104732895</v>
      </c>
      <c r="CD69" s="53">
        <f t="shared" si="93"/>
        <v>34.36006383188753</v>
      </c>
      <c r="CF69" s="53">
        <f t="shared" si="94"/>
        <v>-1.7311384440842161</v>
      </c>
      <c r="CG69" s="53">
        <f t="shared" si="95"/>
        <v>10.311594459432511</v>
      </c>
      <c r="CH69" s="53">
        <f t="shared" si="96"/>
        <v>-1.5975989971936957</v>
      </c>
      <c r="CI69" s="53">
        <f t="shared" si="97"/>
        <v>1.1530310552429632</v>
      </c>
      <c r="CJ69" s="53">
        <f t="shared" si="98"/>
        <v>-0.3842821849333359</v>
      </c>
      <c r="CK69" s="53">
        <f t="shared" si="99"/>
        <v>-5.735212038321706</v>
      </c>
      <c r="CL69" s="53">
        <f t="shared" si="100"/>
        <v>-1.7060892643495702</v>
      </c>
      <c r="CM69" s="53">
        <f t="shared" si="101"/>
        <v>-0.31030458579294606</v>
      </c>
      <c r="CO69" s="53">
        <f t="shared" si="102"/>
        <v>-3.639042027070861</v>
      </c>
      <c r="CP69" s="53">
        <f t="shared" si="103"/>
        <v>0</v>
      </c>
      <c r="CQ69" s="53">
        <f t="shared" si="104"/>
        <v>44.53718750169277</v>
      </c>
    </row>
    <row r="70" spans="1:95" ht="15">
      <c r="A70" s="54" t="s">
        <v>81</v>
      </c>
      <c r="B70" s="70">
        <v>6</v>
      </c>
      <c r="C70" s="16">
        <v>21171443.5</v>
      </c>
      <c r="D70" s="51">
        <v>0.4016486391963302</v>
      </c>
      <c r="E70" s="16">
        <f t="shared" si="73"/>
        <v>8503481.47159699</v>
      </c>
      <c r="F70" s="51"/>
      <c r="G70" s="16"/>
      <c r="H70" s="51">
        <v>0.2653746638033566</v>
      </c>
      <c r="I70" s="52">
        <f t="shared" si="105"/>
        <v>0</v>
      </c>
      <c r="J70" s="52">
        <f t="shared" si="106"/>
        <v>0</v>
      </c>
      <c r="K70" s="52">
        <f t="shared" si="48"/>
        <v>0</v>
      </c>
      <c r="L70" s="16">
        <f t="shared" si="74"/>
        <v>5618364.70104426</v>
      </c>
      <c r="M70" s="16">
        <f t="shared" si="75"/>
        <v>12667962.02840301</v>
      </c>
      <c r="N70" s="52">
        <f t="shared" si="76"/>
        <v>0.06634366595083915</v>
      </c>
      <c r="O70" s="51">
        <f t="shared" si="77"/>
        <v>0.05</v>
      </c>
      <c r="P70" s="16">
        <f t="shared" si="78"/>
        <v>1058572.175</v>
      </c>
      <c r="Q70" s="60"/>
      <c r="R70" s="16">
        <f t="shared" si="79"/>
        <v>18591898.59222426</v>
      </c>
      <c r="S70" s="16">
        <f t="shared" si="80"/>
        <v>18818056.768567402</v>
      </c>
      <c r="T70" s="16">
        <f t="shared" si="81"/>
        <v>18636100.73960597</v>
      </c>
      <c r="U70" s="16">
        <f t="shared" si="82"/>
        <v>22826187.29222426</v>
      </c>
      <c r="V70" s="16">
        <f t="shared" si="83"/>
        <v>23052345.4685674</v>
      </c>
      <c r="W70" s="16">
        <f t="shared" si="84"/>
        <v>22870389.43960597</v>
      </c>
      <c r="X70" s="54"/>
      <c r="Y70" s="53">
        <v>242</v>
      </c>
      <c r="Z70" s="53">
        <v>72</v>
      </c>
      <c r="AA70" s="53">
        <v>298</v>
      </c>
      <c r="AB70" s="53">
        <v>99</v>
      </c>
      <c r="AC70" s="53">
        <v>0</v>
      </c>
      <c r="AD70" s="53">
        <v>0</v>
      </c>
      <c r="AE70" s="53">
        <v>0</v>
      </c>
      <c r="AF70" s="53">
        <v>0</v>
      </c>
      <c r="AG70" s="53">
        <v>160</v>
      </c>
      <c r="AH70" s="53">
        <v>29</v>
      </c>
      <c r="AI70" s="53">
        <v>196</v>
      </c>
      <c r="AJ70" s="53">
        <v>26</v>
      </c>
      <c r="AK70" s="53">
        <v>665</v>
      </c>
      <c r="AL70" s="53">
        <v>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53">
        <v>0</v>
      </c>
      <c r="AT70" s="53">
        <v>34</v>
      </c>
      <c r="AU70" s="53">
        <v>100360</v>
      </c>
      <c r="AV70" s="53">
        <v>0</v>
      </c>
      <c r="AW70" s="53">
        <v>0</v>
      </c>
      <c r="AX70" s="53">
        <v>600</v>
      </c>
      <c r="AY70" s="53">
        <v>0</v>
      </c>
      <c r="AZ70" s="53">
        <v>0</v>
      </c>
      <c r="BA70" s="53">
        <v>0</v>
      </c>
      <c r="BB70" s="53">
        <v>0</v>
      </c>
      <c r="BC70" s="53">
        <v>10297</v>
      </c>
      <c r="BD70" s="53">
        <v>2593448</v>
      </c>
      <c r="BF70" s="53">
        <f t="shared" si="63"/>
        <v>3042369</v>
      </c>
      <c r="BG70" s="53">
        <f t="shared" si="64"/>
        <v>2096081</v>
      </c>
      <c r="BH70" s="53">
        <f t="shared" si="65"/>
        <v>459782</v>
      </c>
      <c r="BI70" s="53">
        <f t="shared" si="66"/>
        <v>0</v>
      </c>
      <c r="BJ70" s="53">
        <f t="shared" si="67"/>
        <v>0</v>
      </c>
      <c r="BK70" s="53">
        <f>SUMIF(Renseanlæg!$A:$A,SPILDEVAND!A70,Renseanlæg!$I:$I)</f>
        <v>9370548.992224257</v>
      </c>
      <c r="BL70" s="53">
        <f t="shared" si="68"/>
        <v>2379240</v>
      </c>
      <c r="BM70" s="53">
        <f t="shared" si="69"/>
        <v>1243877.5999999999</v>
      </c>
      <c r="BN70" s="53">
        <v>30.322771252090316</v>
      </c>
      <c r="BO70" s="53">
        <f t="shared" si="70"/>
        <v>0.014482419127988748</v>
      </c>
      <c r="BP70" s="53">
        <f t="shared" si="71"/>
        <v>18591898.59222426</v>
      </c>
      <c r="BQ70" s="53">
        <f t="shared" si="62"/>
        <v>18818056.768567402</v>
      </c>
      <c r="BR70" s="53">
        <f t="shared" si="72"/>
        <v>18636100.73960597</v>
      </c>
      <c r="BS70" s="53">
        <v>23258408</v>
      </c>
      <c r="BT70" s="53"/>
      <c r="BU70" s="53">
        <f t="shared" si="85"/>
        <v>16.363950055495778</v>
      </c>
      <c r="BV70" s="53">
        <f t="shared" si="86"/>
        <v>11.274163257735548</v>
      </c>
      <c r="BW70" s="53">
        <f t="shared" si="87"/>
        <v>2.4730233855314587</v>
      </c>
      <c r="BX70" s="53">
        <f t="shared" si="88"/>
        <v>0</v>
      </c>
      <c r="BY70" s="53">
        <f t="shared" si="89"/>
        <v>0</v>
      </c>
      <c r="BZ70" s="53">
        <f t="shared" si="90"/>
        <v>50.40124840258825</v>
      </c>
      <c r="CA70" s="53">
        <f t="shared" si="91"/>
        <v>12.797186840267491</v>
      </c>
      <c r="CB70" s="53">
        <f t="shared" si="92"/>
        <v>6.690428058381462</v>
      </c>
      <c r="CD70" s="53">
        <f t="shared" si="93"/>
        <v>25.527401499408697</v>
      </c>
      <c r="CF70" s="53">
        <f t="shared" si="94"/>
        <v>5.260685726845658</v>
      </c>
      <c r="CG70" s="53">
        <f t="shared" si="95"/>
        <v>8.876789536374105</v>
      </c>
      <c r="CH70" s="53">
        <f t="shared" si="96"/>
        <v>-0.44184258773656815</v>
      </c>
      <c r="CI70" s="53">
        <f t="shared" si="97"/>
        <v>1.4907963903710586</v>
      </c>
      <c r="CJ70" s="53">
        <f t="shared" si="98"/>
        <v>0.05674468202527108</v>
      </c>
      <c r="CK70" s="53">
        <f t="shared" si="99"/>
        <v>-16.19958365405941</v>
      </c>
      <c r="CL70" s="53">
        <f t="shared" si="100"/>
        <v>0.581632739881007</v>
      </c>
      <c r="CM70" s="53">
        <f t="shared" si="101"/>
        <v>0.37477716629888125</v>
      </c>
      <c r="CO70" s="53">
        <f t="shared" si="102"/>
        <v>5.193620305407972</v>
      </c>
      <c r="CP70" s="53">
        <f t="shared" si="103"/>
        <v>0</v>
      </c>
      <c r="CQ70" s="53">
        <f t="shared" si="104"/>
        <v>36.80156475714425</v>
      </c>
    </row>
    <row r="71" spans="1:95" ht="15">
      <c r="A71" s="54" t="s">
        <v>11</v>
      </c>
      <c r="B71" s="70">
        <v>6</v>
      </c>
      <c r="C71" s="16">
        <v>52162906</v>
      </c>
      <c r="D71" s="51">
        <v>0.3183666312507023</v>
      </c>
      <c r="E71" s="16">
        <f t="shared" si="73"/>
        <v>16606928.659467047</v>
      </c>
      <c r="F71" s="51"/>
      <c r="G71" s="16"/>
      <c r="H71" s="51">
        <v>0.18209263272344223</v>
      </c>
      <c r="I71" s="52">
        <f t="shared" si="105"/>
        <v>0</v>
      </c>
      <c r="J71" s="52">
        <f t="shared" si="106"/>
        <v>0</v>
      </c>
      <c r="K71" s="52">
        <f t="shared" si="48"/>
        <v>0</v>
      </c>
      <c r="L71" s="16">
        <f t="shared" si="74"/>
        <v>9498480.88404544</v>
      </c>
      <c r="M71" s="16">
        <f t="shared" si="75"/>
        <v>35555977.34053295</v>
      </c>
      <c r="N71" s="52">
        <f t="shared" si="76"/>
        <v>0.04552315818086056</v>
      </c>
      <c r="O71" s="51">
        <f t="shared" si="77"/>
        <v>0.04552315818086056</v>
      </c>
      <c r="P71" s="16">
        <f t="shared" si="78"/>
        <v>2374620.22101136</v>
      </c>
      <c r="Q71" s="51"/>
      <c r="R71" s="16">
        <f t="shared" si="79"/>
        <v>52183067.55463424</v>
      </c>
      <c r="S71" s="16">
        <f t="shared" si="80"/>
        <v>57061794.076772705</v>
      </c>
      <c r="T71" s="16">
        <f t="shared" si="81"/>
        <v>54557661.18683583</v>
      </c>
      <c r="U71" s="16">
        <f t="shared" si="82"/>
        <v>62615648.754634246</v>
      </c>
      <c r="V71" s="16">
        <f t="shared" si="83"/>
        <v>67494375.27677271</v>
      </c>
      <c r="W71" s="16">
        <f t="shared" si="84"/>
        <v>64990242.386835836</v>
      </c>
      <c r="X71" s="54"/>
      <c r="Y71" s="53">
        <v>424</v>
      </c>
      <c r="Z71" s="53">
        <v>216</v>
      </c>
      <c r="AA71" s="53">
        <v>418</v>
      </c>
      <c r="AB71" s="53">
        <v>350</v>
      </c>
      <c r="AC71" s="53">
        <v>12</v>
      </c>
      <c r="AD71" s="53">
        <v>41</v>
      </c>
      <c r="AE71" s="53">
        <v>0</v>
      </c>
      <c r="AF71" s="53">
        <v>0</v>
      </c>
      <c r="AG71" s="53">
        <v>152</v>
      </c>
      <c r="AH71" s="53">
        <v>22</v>
      </c>
      <c r="AI71" s="53">
        <v>138</v>
      </c>
      <c r="AJ71" s="53">
        <v>101</v>
      </c>
      <c r="AK71" s="53">
        <v>5472</v>
      </c>
      <c r="AL71" s="53">
        <v>30</v>
      </c>
      <c r="AM71" s="53">
        <v>5475</v>
      </c>
      <c r="AN71" s="53">
        <v>8</v>
      </c>
      <c r="AO71" s="53">
        <v>3492</v>
      </c>
      <c r="AP71" s="53">
        <v>1</v>
      </c>
      <c r="AQ71" s="53">
        <v>700</v>
      </c>
      <c r="AR71" s="53">
        <v>4</v>
      </c>
      <c r="AS71" s="53">
        <v>7209</v>
      </c>
      <c r="AT71" s="53">
        <v>81</v>
      </c>
      <c r="AU71" s="53">
        <v>514080</v>
      </c>
      <c r="AV71" s="53">
        <v>20</v>
      </c>
      <c r="AW71" s="53">
        <v>19875</v>
      </c>
      <c r="AX71" s="53">
        <v>414</v>
      </c>
      <c r="AY71" s="53">
        <v>1442</v>
      </c>
      <c r="AZ71" s="53">
        <v>0</v>
      </c>
      <c r="BA71" s="53">
        <v>0</v>
      </c>
      <c r="BB71" s="53">
        <v>0</v>
      </c>
      <c r="BC71" s="53">
        <v>24379</v>
      </c>
      <c r="BD71" s="53">
        <v>6648000</v>
      </c>
      <c r="BF71" s="53">
        <f t="shared" si="63"/>
        <v>10640496</v>
      </c>
      <c r="BG71" s="53">
        <f t="shared" si="64"/>
        <v>12409509</v>
      </c>
      <c r="BH71" s="53">
        <f t="shared" si="65"/>
        <v>1095363</v>
      </c>
      <c r="BI71" s="53">
        <f t="shared" si="66"/>
        <v>392332.49999999994</v>
      </c>
      <c r="BJ71" s="53">
        <f t="shared" si="67"/>
        <v>0</v>
      </c>
      <c r="BK71" s="53">
        <f>SUMIF(Renseanlæg!$A:$A,SPILDEVAND!A71,Renseanlæg!$I:$I)</f>
        <v>16212524.854634244</v>
      </c>
      <c r="BL71" s="53">
        <f t="shared" si="68"/>
        <v>8487859</v>
      </c>
      <c r="BM71" s="53">
        <f t="shared" si="69"/>
        <v>2944983.1999999997</v>
      </c>
      <c r="BN71" s="53">
        <v>35.40578254206999</v>
      </c>
      <c r="BO71" s="53">
        <f t="shared" si="70"/>
        <v>0.016686516084873374</v>
      </c>
      <c r="BP71" s="53">
        <f t="shared" si="71"/>
        <v>52183067.55463424</v>
      </c>
      <c r="BQ71" s="53">
        <f t="shared" si="62"/>
        <v>57061794.076772705</v>
      </c>
      <c r="BR71" s="53">
        <f t="shared" si="72"/>
        <v>54557661.18683583</v>
      </c>
      <c r="BS71" s="53">
        <v>49142987</v>
      </c>
      <c r="BT71" s="53"/>
      <c r="BU71" s="53">
        <f t="shared" si="85"/>
        <v>20.390706216838808</v>
      </c>
      <c r="BV71" s="53">
        <f t="shared" si="86"/>
        <v>23.780719650119426</v>
      </c>
      <c r="BW71" s="53">
        <f t="shared" si="87"/>
        <v>2.0990774427992087</v>
      </c>
      <c r="BX71" s="53">
        <f t="shared" si="88"/>
        <v>0.7518387062800372</v>
      </c>
      <c r="BY71" s="53">
        <f t="shared" si="89"/>
        <v>0</v>
      </c>
      <c r="BZ71" s="53">
        <f t="shared" si="90"/>
        <v>31.06855463730677</v>
      </c>
      <c r="CA71" s="53">
        <f t="shared" si="91"/>
        <v>16.26554244078013</v>
      </c>
      <c r="CB71" s="53">
        <f t="shared" si="92"/>
        <v>5.6435609058756135</v>
      </c>
      <c r="CD71" s="53">
        <f t="shared" si="93"/>
        <v>28.13334456551363</v>
      </c>
      <c r="CF71" s="53">
        <f t="shared" si="94"/>
        <v>1.2339295655026277</v>
      </c>
      <c r="CG71" s="53">
        <f t="shared" si="95"/>
        <v>-3.6297668560097733</v>
      </c>
      <c r="CH71" s="53">
        <f t="shared" si="96"/>
        <v>-0.06789664500431813</v>
      </c>
      <c r="CI71" s="53">
        <f t="shared" si="97"/>
        <v>0.7389576840910214</v>
      </c>
      <c r="CJ71" s="53">
        <f t="shared" si="98"/>
        <v>0.05674468202527108</v>
      </c>
      <c r="CK71" s="53">
        <f t="shared" si="99"/>
        <v>3.13311011122207</v>
      </c>
      <c r="CL71" s="53">
        <f t="shared" si="100"/>
        <v>-2.8867228606316324</v>
      </c>
      <c r="CM71" s="53">
        <f t="shared" si="101"/>
        <v>1.4216443188047299</v>
      </c>
      <c r="CO71" s="53">
        <f t="shared" si="102"/>
        <v>2.587677239303037</v>
      </c>
      <c r="CP71" s="53">
        <f t="shared" si="103"/>
        <v>0</v>
      </c>
      <c r="CQ71" s="53">
        <f t="shared" si="104"/>
        <v>52.66590292191309</v>
      </c>
    </row>
    <row r="72" spans="1:95" ht="15">
      <c r="A72" s="54" t="s">
        <v>2</v>
      </c>
      <c r="B72" s="70">
        <v>2</v>
      </c>
      <c r="C72" s="16">
        <v>13023177</v>
      </c>
      <c r="D72" s="51">
        <v>0.39047496705687235</v>
      </c>
      <c r="E72" s="16">
        <f t="shared" si="73"/>
        <v>5085224.610050818</v>
      </c>
      <c r="F72" s="51">
        <v>0.4024024</v>
      </c>
      <c r="G72" s="16">
        <f>F72*C72</f>
        <v>5240557.6804248</v>
      </c>
      <c r="H72" s="51">
        <v>0.25420093452526304</v>
      </c>
      <c r="I72" s="52">
        <f t="shared" si="105"/>
        <v>0</v>
      </c>
      <c r="J72" s="52">
        <f t="shared" si="106"/>
        <v>0</v>
      </c>
      <c r="K72" s="52">
        <f t="shared" si="48"/>
        <v>0</v>
      </c>
      <c r="L72" s="16">
        <f t="shared" si="74"/>
        <v>3310503.7638879116</v>
      </c>
      <c r="M72" s="16">
        <f t="shared" si="75"/>
        <v>7937952.389949182</v>
      </c>
      <c r="N72" s="52">
        <f t="shared" si="76"/>
        <v>0.06355023363131576</v>
      </c>
      <c r="O72" s="51">
        <f t="shared" si="77"/>
        <v>0.05</v>
      </c>
      <c r="P72" s="16">
        <f t="shared" si="78"/>
        <v>651158.8500000001</v>
      </c>
      <c r="Q72" s="51"/>
      <c r="R72" s="16">
        <f t="shared" si="79"/>
        <v>11649988.48917498</v>
      </c>
      <c r="S72" s="16">
        <f t="shared" si="80"/>
        <v>11733491.2712609</v>
      </c>
      <c r="T72" s="16">
        <f t="shared" si="81"/>
        <v>11559647.055428402</v>
      </c>
      <c r="U72" s="16">
        <f t="shared" si="82"/>
        <v>14254623.889174981</v>
      </c>
      <c r="V72" s="16">
        <f t="shared" si="83"/>
        <v>14338126.6712609</v>
      </c>
      <c r="W72" s="16">
        <f t="shared" si="84"/>
        <v>14164282.455428403</v>
      </c>
      <c r="X72" s="54"/>
      <c r="Y72" s="53">
        <v>157</v>
      </c>
      <c r="Z72" s="53">
        <v>74</v>
      </c>
      <c r="AA72" s="53">
        <v>309</v>
      </c>
      <c r="AB72" s="53">
        <v>138</v>
      </c>
      <c r="AC72" s="53">
        <v>0</v>
      </c>
      <c r="AD72" s="53">
        <v>0</v>
      </c>
      <c r="AE72" s="53">
        <v>0</v>
      </c>
      <c r="AF72" s="53">
        <v>0</v>
      </c>
      <c r="AG72" s="53">
        <v>37</v>
      </c>
      <c r="AH72" s="53">
        <v>37</v>
      </c>
      <c r="AI72" s="53">
        <v>260</v>
      </c>
      <c r="AJ72" s="53">
        <v>25</v>
      </c>
      <c r="AK72" s="53">
        <v>750</v>
      </c>
      <c r="AL72" s="53">
        <v>1</v>
      </c>
      <c r="AM72" s="53">
        <v>242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40</v>
      </c>
      <c r="AU72" s="53">
        <v>114760</v>
      </c>
      <c r="AV72" s="53">
        <v>0</v>
      </c>
      <c r="AW72" s="53">
        <v>0</v>
      </c>
      <c r="AX72" s="53">
        <v>0</v>
      </c>
      <c r="AY72" s="53">
        <v>0</v>
      </c>
      <c r="AZ72" s="53">
        <v>305</v>
      </c>
      <c r="BA72" s="53">
        <v>0</v>
      </c>
      <c r="BB72" s="53">
        <v>0</v>
      </c>
      <c r="BC72" s="53">
        <v>9468</v>
      </c>
      <c r="BD72" s="53">
        <v>1239881</v>
      </c>
      <c r="BE72" s="53">
        <f>105059+8241.5+114671</f>
        <v>227971.5</v>
      </c>
      <c r="BF72" s="53">
        <f t="shared" si="63"/>
        <v>2901162</v>
      </c>
      <c r="BG72" s="53">
        <f t="shared" si="64"/>
        <v>1470492</v>
      </c>
      <c r="BH72" s="53">
        <f t="shared" si="65"/>
        <v>540920</v>
      </c>
      <c r="BI72" s="53">
        <f t="shared" si="66"/>
        <v>0</v>
      </c>
      <c r="BJ72" s="53">
        <f t="shared" si="67"/>
        <v>0</v>
      </c>
      <c r="BK72" s="53">
        <f>SUMIF(Renseanlæg!$A:$A,SPILDEVAND!A72,Renseanlæg!$I:$I)</f>
        <v>3917660.0891749803</v>
      </c>
      <c r="BL72" s="53">
        <f t="shared" si="68"/>
        <v>1448048.5</v>
      </c>
      <c r="BM72" s="53">
        <f t="shared" si="69"/>
        <v>1143734.4</v>
      </c>
      <c r="BN72" s="53">
        <v>30.010476741369253</v>
      </c>
      <c r="BO72" s="53">
        <f t="shared" si="70"/>
        <v>0.013964601769911504</v>
      </c>
      <c r="BP72" s="53">
        <f t="shared" si="71"/>
        <v>11649988.48917498</v>
      </c>
      <c r="BQ72" s="53">
        <f t="shared" si="62"/>
        <v>11733491.2712609</v>
      </c>
      <c r="BR72" s="53">
        <f t="shared" si="72"/>
        <v>11559647.055428402</v>
      </c>
      <c r="BS72" s="53">
        <v>14434336</v>
      </c>
      <c r="BT72" s="53"/>
      <c r="BU72" s="53">
        <f t="shared" si="85"/>
        <v>25.399734589342028</v>
      </c>
      <c r="BV72" s="53">
        <f t="shared" si="86"/>
        <v>12.874188520238006</v>
      </c>
      <c r="BW72" s="53">
        <f t="shared" si="87"/>
        <v>4.735766025498365</v>
      </c>
      <c r="BX72" s="53">
        <f t="shared" si="88"/>
        <v>0</v>
      </c>
      <c r="BY72" s="53">
        <f t="shared" si="89"/>
        <v>0</v>
      </c>
      <c r="BZ72" s="53">
        <f t="shared" si="90"/>
        <v>34.29919683089138</v>
      </c>
      <c r="CA72" s="53">
        <f t="shared" si="91"/>
        <v>12.677695203678677</v>
      </c>
      <c r="CB72" s="53">
        <f t="shared" si="92"/>
        <v>10.013418830351544</v>
      </c>
      <c r="CD72" s="53">
        <f t="shared" si="93"/>
        <v>40.148919445191936</v>
      </c>
      <c r="CF72" s="53">
        <f t="shared" si="94"/>
        <v>-3.7750988070005924</v>
      </c>
      <c r="CG72" s="53">
        <f t="shared" si="95"/>
        <v>7.276764273871647</v>
      </c>
      <c r="CH72" s="53">
        <f t="shared" si="96"/>
        <v>-2.7045852277034745</v>
      </c>
      <c r="CI72" s="53">
        <f t="shared" si="97"/>
        <v>1.4907963903710586</v>
      </c>
      <c r="CJ72" s="53">
        <f t="shared" si="98"/>
        <v>0.05674468202527108</v>
      </c>
      <c r="CK72" s="53">
        <f t="shared" si="99"/>
        <v>-0.09753208236254096</v>
      </c>
      <c r="CL72" s="53">
        <f t="shared" si="100"/>
        <v>0.7011243764698207</v>
      </c>
      <c r="CM72" s="53">
        <f t="shared" si="101"/>
        <v>-2.9482136056712003</v>
      </c>
      <c r="CO72" s="53">
        <f t="shared" si="102"/>
        <v>-9.427897640375267</v>
      </c>
      <c r="CP72" s="53">
        <f t="shared" si="103"/>
        <v>0</v>
      </c>
      <c r="CQ72" s="53">
        <f t="shared" si="104"/>
        <v>53.02310796542994</v>
      </c>
    </row>
    <row r="73" spans="1:95" ht="15">
      <c r="A73" s="54" t="s">
        <v>131</v>
      </c>
      <c r="B73" s="70">
        <v>2</v>
      </c>
      <c r="C73" s="16">
        <v>38731480.82959696</v>
      </c>
      <c r="D73" s="51">
        <v>0.19705214415581074</v>
      </c>
      <c r="E73" s="16">
        <f t="shared" si="73"/>
        <v>7632121.34380176</v>
      </c>
      <c r="F73" s="51"/>
      <c r="G73" s="16"/>
      <c r="H73" s="51">
        <v>0.06077812894236134</v>
      </c>
      <c r="I73" s="52">
        <f t="shared" si="105"/>
        <v>0</v>
      </c>
      <c r="J73" s="52">
        <f t="shared" si="106"/>
        <v>0</v>
      </c>
      <c r="K73" s="52">
        <f t="shared" si="48"/>
        <v>0</v>
      </c>
      <c r="L73" s="16">
        <f t="shared" si="74"/>
        <v>2354026.9359898404</v>
      </c>
      <c r="M73" s="16">
        <f t="shared" si="75"/>
        <v>31099359.4857952</v>
      </c>
      <c r="N73" s="52">
        <f t="shared" si="76"/>
        <v>0.015194532235590336</v>
      </c>
      <c r="O73" s="51">
        <f t="shared" si="77"/>
        <v>0.015194532235590336</v>
      </c>
      <c r="P73" s="16">
        <f t="shared" si="78"/>
        <v>588506.7339974601</v>
      </c>
      <c r="Q73" s="51"/>
      <c r="R73" s="16">
        <f t="shared" si="79"/>
        <v>45642396.44641112</v>
      </c>
      <c r="S73" s="16">
        <f t="shared" si="80"/>
        <v>45678240.466222435</v>
      </c>
      <c r="T73" s="16">
        <f t="shared" si="81"/>
        <v>47590714.581575975</v>
      </c>
      <c r="U73" s="16">
        <f t="shared" si="82"/>
        <v>53388692.61233051</v>
      </c>
      <c r="V73" s="16">
        <f t="shared" si="83"/>
        <v>53424536.63214183</v>
      </c>
      <c r="W73" s="16">
        <f t="shared" si="84"/>
        <v>55337010.74749537</v>
      </c>
      <c r="X73" s="54"/>
      <c r="Y73" s="53">
        <v>343</v>
      </c>
      <c r="Z73" s="53">
        <v>287</v>
      </c>
      <c r="AA73" s="53">
        <v>343</v>
      </c>
      <c r="AB73" s="53">
        <v>369</v>
      </c>
      <c r="AC73" s="53">
        <v>0</v>
      </c>
      <c r="AD73" s="53">
        <v>0</v>
      </c>
      <c r="AE73" s="53">
        <v>0</v>
      </c>
      <c r="AF73" s="53">
        <v>0</v>
      </c>
      <c r="AG73" s="53">
        <v>1</v>
      </c>
      <c r="AH73" s="53">
        <v>51</v>
      </c>
      <c r="AI73" s="53">
        <v>255</v>
      </c>
      <c r="AJ73" s="53">
        <v>112</v>
      </c>
      <c r="AK73" s="53">
        <v>6160</v>
      </c>
      <c r="AL73" s="53">
        <v>24</v>
      </c>
      <c r="AM73" s="53">
        <v>4800</v>
      </c>
      <c r="AN73" s="53">
        <v>4</v>
      </c>
      <c r="AO73" s="53">
        <v>1800</v>
      </c>
      <c r="AP73" s="53">
        <v>0</v>
      </c>
      <c r="AQ73" s="53">
        <v>0</v>
      </c>
      <c r="AR73" s="53">
        <v>0</v>
      </c>
      <c r="AS73" s="53">
        <v>0</v>
      </c>
      <c r="AT73" s="53">
        <v>47</v>
      </c>
      <c r="AU73" s="53">
        <v>135900</v>
      </c>
      <c r="AV73" s="53">
        <v>58</v>
      </c>
      <c r="AW73" s="53">
        <v>38646</v>
      </c>
      <c r="AX73" s="53">
        <v>242</v>
      </c>
      <c r="AY73" s="53">
        <v>920</v>
      </c>
      <c r="AZ73" s="53">
        <v>0</v>
      </c>
      <c r="BA73" s="53">
        <v>0</v>
      </c>
      <c r="BB73" s="53">
        <v>0</v>
      </c>
      <c r="BC73" s="53">
        <v>22200</v>
      </c>
      <c r="BD73" s="53">
        <v>4645230</v>
      </c>
      <c r="BF73" s="53">
        <f t="shared" si="63"/>
        <v>5742418</v>
      </c>
      <c r="BG73" s="53">
        <f t="shared" si="64"/>
        <v>6321005</v>
      </c>
      <c r="BH73" s="53">
        <f t="shared" si="65"/>
        <v>635581</v>
      </c>
      <c r="BI73" s="53">
        <f t="shared" si="66"/>
        <v>762872.0399999999</v>
      </c>
      <c r="BJ73" s="53">
        <f t="shared" si="67"/>
        <v>0</v>
      </c>
      <c r="BK73" s="53">
        <f>SUMIF(Renseanlæg!$A:$A,SPILDEVAND!A73,Renseanlæg!$I:$I)</f>
        <v>24171249.606411118</v>
      </c>
      <c r="BL73" s="53">
        <f t="shared" si="68"/>
        <v>5327510.8</v>
      </c>
      <c r="BM73" s="53">
        <f t="shared" si="69"/>
        <v>2681760</v>
      </c>
      <c r="BN73" s="53">
        <v>29.611582682168923</v>
      </c>
      <c r="BO73" s="53">
        <f t="shared" si="70"/>
        <v>0.0165424739195231</v>
      </c>
      <c r="BP73" s="53">
        <f t="shared" si="71"/>
        <v>45642396.44641112</v>
      </c>
      <c r="BQ73" s="53">
        <f t="shared" si="62"/>
        <v>45678240.466222435</v>
      </c>
      <c r="BR73" s="53">
        <f t="shared" si="72"/>
        <v>47590714.581575975</v>
      </c>
      <c r="BS73" s="53">
        <v>34740031</v>
      </c>
      <c r="BT73" s="53"/>
      <c r="BU73" s="53">
        <f t="shared" si="85"/>
        <v>12.581324485760057</v>
      </c>
      <c r="BV73" s="53">
        <f t="shared" si="86"/>
        <v>13.848977030427209</v>
      </c>
      <c r="BW73" s="53">
        <f t="shared" si="87"/>
        <v>1.3925232886188121</v>
      </c>
      <c r="BX73" s="53">
        <f t="shared" si="88"/>
        <v>1.671411011241906</v>
      </c>
      <c r="BY73" s="53">
        <f t="shared" si="89"/>
        <v>0</v>
      </c>
      <c r="BZ73" s="53">
        <f t="shared" si="90"/>
        <v>52.95788891100549</v>
      </c>
      <c r="CA73" s="53">
        <f t="shared" si="91"/>
        <v>11.672285451214305</v>
      </c>
      <c r="CB73" s="53">
        <f t="shared" si="92"/>
        <v>5.87558982173222</v>
      </c>
      <c r="CD73" s="53">
        <f t="shared" si="93"/>
        <v>19.849437596111088</v>
      </c>
      <c r="CF73" s="53">
        <f t="shared" si="94"/>
        <v>9.043311296581379</v>
      </c>
      <c r="CG73" s="53">
        <f t="shared" si="95"/>
        <v>6.301975763682444</v>
      </c>
      <c r="CH73" s="53">
        <f t="shared" si="96"/>
        <v>0.6386575091760784</v>
      </c>
      <c r="CI73" s="53">
        <f t="shared" si="97"/>
        <v>-0.18061462087084745</v>
      </c>
      <c r="CJ73" s="53">
        <f t="shared" si="98"/>
        <v>0.05674468202527108</v>
      </c>
      <c r="CK73" s="53">
        <f t="shared" si="99"/>
        <v>-18.75622416247665</v>
      </c>
      <c r="CL73" s="53">
        <f t="shared" si="100"/>
        <v>1.7065341289341927</v>
      </c>
      <c r="CM73" s="53">
        <f t="shared" si="101"/>
        <v>1.1896154029481236</v>
      </c>
      <c r="CO73" s="53">
        <f t="shared" si="102"/>
        <v>10.871584208705581</v>
      </c>
      <c r="CP73" s="53">
        <f t="shared" si="103"/>
        <v>0</v>
      </c>
      <c r="CQ73" s="53">
        <f t="shared" si="104"/>
        <v>35.3698256377802</v>
      </c>
    </row>
    <row r="74" spans="1:95" ht="15">
      <c r="A74" s="54" t="s">
        <v>135</v>
      </c>
      <c r="B74" s="70">
        <v>2</v>
      </c>
      <c r="C74" s="16">
        <v>11772593.799999999</v>
      </c>
      <c r="D74" s="51">
        <v>0</v>
      </c>
      <c r="E74" s="16">
        <f t="shared" si="73"/>
        <v>0</v>
      </c>
      <c r="F74" s="51">
        <v>0</v>
      </c>
      <c r="G74" s="16">
        <f>F74*C74</f>
        <v>0</v>
      </c>
      <c r="H74" s="51">
        <v>0</v>
      </c>
      <c r="I74" s="52">
        <f t="shared" si="105"/>
        <v>0</v>
      </c>
      <c r="J74" s="52">
        <f t="shared" si="106"/>
        <v>0</v>
      </c>
      <c r="K74" s="52">
        <f aca="true" t="shared" si="107" ref="K74:K105">IF(J74&lt;0,H74+J74,0)</f>
        <v>0</v>
      </c>
      <c r="L74" s="16">
        <f t="shared" si="74"/>
        <v>0</v>
      </c>
      <c r="M74" s="16">
        <v>12357477</v>
      </c>
      <c r="N74" s="52">
        <f t="shared" si="76"/>
        <v>0</v>
      </c>
      <c r="O74" s="51">
        <f t="shared" si="77"/>
        <v>0</v>
      </c>
      <c r="P74" s="16">
        <f t="shared" si="78"/>
        <v>0</v>
      </c>
      <c r="Q74" s="51"/>
      <c r="R74" s="16">
        <f t="shared" si="79"/>
        <v>18136221.235904</v>
      </c>
      <c r="S74" s="16">
        <f t="shared" si="80"/>
        <v>20004252.023202118</v>
      </c>
      <c r="T74" s="16">
        <f t="shared" si="81"/>
        <v>18136221.235904</v>
      </c>
      <c r="U74" s="16">
        <f t="shared" si="82"/>
        <v>20490739.995904</v>
      </c>
      <c r="V74" s="16">
        <f t="shared" si="83"/>
        <v>22358770.78320212</v>
      </c>
      <c r="W74" s="16">
        <f t="shared" si="84"/>
        <v>20490739.995904</v>
      </c>
      <c r="X74" s="54"/>
      <c r="AB74" s="53">
        <v>0.601</v>
      </c>
      <c r="AX74" s="53">
        <v>1621.3</v>
      </c>
      <c r="BC74" s="53">
        <v>3</v>
      </c>
      <c r="BD74" s="53">
        <v>21444769</v>
      </c>
      <c r="BE74" s="53">
        <v>522580</v>
      </c>
      <c r="BF74" s="53">
        <f t="shared" si="63"/>
        <v>2571.679</v>
      </c>
      <c r="BG74" s="53">
        <f t="shared" si="64"/>
        <v>0</v>
      </c>
      <c r="BH74" s="53">
        <f t="shared" si="65"/>
        <v>0</v>
      </c>
      <c r="BI74" s="53">
        <f t="shared" si="66"/>
        <v>0</v>
      </c>
      <c r="BJ74" s="53">
        <f t="shared" si="67"/>
        <v>0</v>
      </c>
      <c r="BK74" s="53">
        <f>SUMIF(Renseanlæg!$A:$A,SPILDEVAND!A74,Renseanlæg!$I:$I)</f>
        <v>11181604.136904001</v>
      </c>
      <c r="BL74" s="53">
        <f t="shared" si="68"/>
        <v>6429103.02</v>
      </c>
      <c r="BM74" s="53">
        <f t="shared" si="69"/>
        <v>362.4</v>
      </c>
      <c r="BN74" s="53">
        <v>36</v>
      </c>
      <c r="BO74" s="53">
        <f t="shared" si="70"/>
        <v>0.004991680532445923</v>
      </c>
      <c r="BP74" s="53">
        <f t="shared" si="71"/>
        <v>18136221.235904</v>
      </c>
      <c r="BQ74" s="53">
        <f>(0.527+0.016*BN74)*BP74</f>
        <v>20004252.023202118</v>
      </c>
      <c r="BR74" s="53">
        <f>BP74</f>
        <v>18136221.235904</v>
      </c>
      <c r="BS74" s="53">
        <v>12392204</v>
      </c>
      <c r="BT74" s="53"/>
      <c r="BU74" s="53">
        <f t="shared" si="85"/>
        <v>0.01460049609025667</v>
      </c>
      <c r="BV74" s="53">
        <f t="shared" si="86"/>
        <v>0</v>
      </c>
      <c r="BW74" s="53">
        <f t="shared" si="87"/>
        <v>0</v>
      </c>
      <c r="BX74" s="53">
        <f t="shared" si="88"/>
        <v>0</v>
      </c>
      <c r="BY74" s="53">
        <f t="shared" si="89"/>
        <v>0</v>
      </c>
      <c r="BZ74" s="53">
        <f t="shared" si="90"/>
        <v>63.482638184495286</v>
      </c>
      <c r="CA74" s="53">
        <f t="shared" si="91"/>
        <v>36.5007038232094</v>
      </c>
      <c r="CB74" s="53">
        <f t="shared" si="92"/>
        <v>0.00205749620505087</v>
      </c>
      <c r="CD74" s="53">
        <f t="shared" si="93"/>
        <v>0.01665799229530754</v>
      </c>
      <c r="CF74" s="53">
        <f t="shared" si="94"/>
        <v>21.61003528625118</v>
      </c>
      <c r="CG74" s="53">
        <f t="shared" si="95"/>
        <v>20.150952794109653</v>
      </c>
      <c r="CH74" s="53">
        <f t="shared" si="96"/>
        <v>2.0311807977948906</v>
      </c>
      <c r="CI74" s="53">
        <f t="shared" si="97"/>
        <v>1.4907963903710586</v>
      </c>
      <c r="CJ74" s="53">
        <f t="shared" si="98"/>
        <v>0.05674468202527108</v>
      </c>
      <c r="CK74" s="53">
        <f t="shared" si="99"/>
        <v>-29.280973435966445</v>
      </c>
      <c r="CL74" s="53">
        <f t="shared" si="100"/>
        <v>-23.1218842430609</v>
      </c>
      <c r="CM74" s="53">
        <f t="shared" si="101"/>
        <v>7.063147728475292</v>
      </c>
      <c r="CO74" s="53">
        <f t="shared" si="102"/>
        <v>30.70436381252136</v>
      </c>
      <c r="CP74" s="53">
        <f t="shared" si="103"/>
        <v>0</v>
      </c>
      <c r="CQ74" s="53">
        <f t="shared" si="104"/>
        <v>0.01665799229530754</v>
      </c>
    </row>
    <row r="75" spans="1:95" ht="15">
      <c r="A75" s="54" t="s">
        <v>76</v>
      </c>
      <c r="B75" s="70">
        <v>2</v>
      </c>
      <c r="C75" s="16">
        <v>11648055.45</v>
      </c>
      <c r="D75" s="51">
        <v>0.45737318959500206</v>
      </c>
      <c r="E75" s="16">
        <f t="shared" si="73"/>
        <v>5327508.273745947</v>
      </c>
      <c r="F75" s="51"/>
      <c r="G75" s="16"/>
      <c r="H75" s="51">
        <v>0.3210991884552724</v>
      </c>
      <c r="I75" s="52">
        <f t="shared" si="105"/>
        <v>0</v>
      </c>
      <c r="J75" s="52">
        <f t="shared" si="106"/>
        <v>0</v>
      </c>
      <c r="K75" s="52">
        <f t="shared" si="107"/>
        <v>0</v>
      </c>
      <c r="L75" s="16">
        <f t="shared" si="74"/>
        <v>3740181.1520770127</v>
      </c>
      <c r="M75" s="16">
        <f t="shared" si="75"/>
        <v>6320547.176254053</v>
      </c>
      <c r="N75" s="52">
        <f t="shared" si="76"/>
        <v>0.0802747971138181</v>
      </c>
      <c r="O75" s="51">
        <f t="shared" si="77"/>
        <v>0.05</v>
      </c>
      <c r="P75" s="16">
        <f t="shared" si="78"/>
        <v>582402.7725</v>
      </c>
      <c r="Q75" s="51"/>
      <c r="R75" s="16">
        <f t="shared" si="79"/>
        <v>9276233.294626337</v>
      </c>
      <c r="S75" s="16">
        <f t="shared" si="80"/>
        <v>9773755.042844826</v>
      </c>
      <c r="T75" s="16">
        <f t="shared" si="81"/>
        <v>9598055.879112335</v>
      </c>
      <c r="U75" s="16">
        <f t="shared" si="82"/>
        <v>11605844.384626336</v>
      </c>
      <c r="V75" s="16">
        <f t="shared" si="83"/>
        <v>12103366.132844826</v>
      </c>
      <c r="W75" s="16">
        <f t="shared" si="84"/>
        <v>11927666.969112335</v>
      </c>
      <c r="X75" s="54"/>
      <c r="Y75" s="53">
        <v>125</v>
      </c>
      <c r="Z75" s="53">
        <v>49</v>
      </c>
      <c r="AA75" s="53">
        <v>202</v>
      </c>
      <c r="AB75" s="53">
        <v>154</v>
      </c>
      <c r="AC75" s="53">
        <v>0</v>
      </c>
      <c r="AD75" s="53">
        <v>0</v>
      </c>
      <c r="AE75" s="53">
        <v>0</v>
      </c>
      <c r="AF75" s="53">
        <v>0</v>
      </c>
      <c r="AG75" s="53">
        <v>246</v>
      </c>
      <c r="AH75" s="53">
        <v>81</v>
      </c>
      <c r="AI75" s="53">
        <v>372</v>
      </c>
      <c r="AJ75" s="53">
        <v>36</v>
      </c>
      <c r="AK75" s="53">
        <v>1262</v>
      </c>
      <c r="AL75" s="53">
        <v>2</v>
      </c>
      <c r="AM75" s="53">
        <v>402</v>
      </c>
      <c r="AN75" s="53">
        <v>2</v>
      </c>
      <c r="AO75" s="53">
        <v>850</v>
      </c>
      <c r="AP75" s="53">
        <v>0</v>
      </c>
      <c r="AQ75" s="53">
        <v>0</v>
      </c>
      <c r="AR75" s="53">
        <v>0</v>
      </c>
      <c r="AS75" s="53">
        <v>0</v>
      </c>
      <c r="AT75" s="53">
        <v>40</v>
      </c>
      <c r="AU75" s="53">
        <v>129469</v>
      </c>
      <c r="AV75" s="53">
        <v>21</v>
      </c>
      <c r="AW75" s="53">
        <v>23377</v>
      </c>
      <c r="AX75" s="53">
        <v>0</v>
      </c>
      <c r="AY75" s="53">
        <v>0</v>
      </c>
      <c r="AZ75" s="53">
        <v>0</v>
      </c>
      <c r="BA75" s="53">
        <v>0</v>
      </c>
      <c r="BB75" s="53">
        <v>0</v>
      </c>
      <c r="BC75" s="53">
        <v>8551</v>
      </c>
      <c r="BD75" s="53">
        <v>1184376</v>
      </c>
      <c r="BF75" s="53">
        <f t="shared" si="63"/>
        <v>2267870</v>
      </c>
      <c r="BG75" s="53">
        <f t="shared" si="64"/>
        <v>4043247</v>
      </c>
      <c r="BH75" s="53">
        <f t="shared" si="65"/>
        <v>540920</v>
      </c>
      <c r="BI75" s="53">
        <f t="shared" si="66"/>
        <v>461461.98</v>
      </c>
      <c r="BJ75" s="53">
        <f t="shared" si="67"/>
        <v>0</v>
      </c>
      <c r="BK75" s="53">
        <f>SUMIF(Renseanlæg!$A:$A,SPILDEVAND!A75,Renseanlæg!$I:$I)</f>
        <v>929773.5146263352</v>
      </c>
      <c r="BL75" s="53">
        <f t="shared" si="68"/>
        <v>0</v>
      </c>
      <c r="BM75" s="53">
        <f t="shared" si="69"/>
        <v>1032960.7999999999</v>
      </c>
      <c r="BN75" s="53">
        <v>32.9146266958291</v>
      </c>
      <c r="BO75" s="53">
        <f t="shared" si="70"/>
        <v>0.016133962264150942</v>
      </c>
      <c r="BP75" s="53">
        <f t="shared" si="71"/>
        <v>9276233.294626337</v>
      </c>
      <c r="BQ75" s="53">
        <f aca="true" t="shared" si="108" ref="BQ75:BQ105">(0.527+0.016*BN75)*BP75</f>
        <v>9773755.042844826</v>
      </c>
      <c r="BR75" s="53">
        <f t="shared" si="72"/>
        <v>9598055.879112335</v>
      </c>
      <c r="BS75" s="53">
        <v>12261111</v>
      </c>
      <c r="BT75" s="53"/>
      <c r="BU75" s="53">
        <f t="shared" si="85"/>
        <v>24.44817770283724</v>
      </c>
      <c r="BV75" s="53">
        <f t="shared" si="86"/>
        <v>43.58716379354352</v>
      </c>
      <c r="BW75" s="53">
        <f t="shared" si="87"/>
        <v>5.831246183872408</v>
      </c>
      <c r="BX75" s="53">
        <f t="shared" si="88"/>
        <v>4.974669840045118</v>
      </c>
      <c r="BY75" s="53">
        <f t="shared" si="89"/>
        <v>0</v>
      </c>
      <c r="BZ75" s="53">
        <f t="shared" si="90"/>
        <v>10.02317950719229</v>
      </c>
      <c r="CA75" s="53">
        <f t="shared" si="91"/>
        <v>0</v>
      </c>
      <c r="CB75" s="53">
        <f t="shared" si="92"/>
        <v>11.135562972509408</v>
      </c>
      <c r="CD75" s="53">
        <f t="shared" si="93"/>
        <v>41.414986859219056</v>
      </c>
      <c r="CF75" s="53">
        <f t="shared" si="94"/>
        <v>-2.8235419204958028</v>
      </c>
      <c r="CG75" s="53">
        <f t="shared" si="95"/>
        <v>-23.436210999433865</v>
      </c>
      <c r="CH75" s="53">
        <f t="shared" si="96"/>
        <v>-3.8000653860775175</v>
      </c>
      <c r="CI75" s="53">
        <f t="shared" si="97"/>
        <v>-3.4838734496740598</v>
      </c>
      <c r="CJ75" s="53">
        <f t="shared" si="98"/>
        <v>0.05674468202527108</v>
      </c>
      <c r="CK75" s="53">
        <f t="shared" si="99"/>
        <v>24.178485241336553</v>
      </c>
      <c r="CL75" s="53">
        <f t="shared" si="100"/>
        <v>13.378819580148498</v>
      </c>
      <c r="CM75" s="53">
        <f t="shared" si="101"/>
        <v>-4.070357747829065</v>
      </c>
      <c r="CO75" s="53">
        <f t="shared" si="102"/>
        <v>-10.693965054402387</v>
      </c>
      <c r="CP75" s="53">
        <f t="shared" si="103"/>
        <v>0</v>
      </c>
      <c r="CQ75" s="53">
        <f t="shared" si="104"/>
        <v>89.97682049280769</v>
      </c>
    </row>
    <row r="76" spans="1:95" ht="15">
      <c r="A76" s="54" t="s">
        <v>117</v>
      </c>
      <c r="B76" s="70">
        <v>4</v>
      </c>
      <c r="C76" s="16">
        <v>67397434.22875834</v>
      </c>
      <c r="D76" s="51">
        <v>0.5444052829781378</v>
      </c>
      <c r="E76" s="16">
        <f t="shared" si="73"/>
        <v>36691519.25330762</v>
      </c>
      <c r="F76" s="51"/>
      <c r="G76" s="16"/>
      <c r="H76" s="51">
        <v>0.42694257053251927</v>
      </c>
      <c r="I76" s="52">
        <f t="shared" si="105"/>
        <v>0</v>
      </c>
      <c r="J76" s="52">
        <f t="shared" si="106"/>
        <v>0</v>
      </c>
      <c r="K76" s="52">
        <f t="shared" si="107"/>
        <v>0</v>
      </c>
      <c r="L76" s="16">
        <f t="shared" si="74"/>
        <v>28774833.816922486</v>
      </c>
      <c r="M76" s="16">
        <f t="shared" si="75"/>
        <v>30705914.975450717</v>
      </c>
      <c r="N76" s="52">
        <f t="shared" si="76"/>
        <v>0.10673564263312982</v>
      </c>
      <c r="O76" s="51">
        <f t="shared" si="77"/>
        <v>0.05</v>
      </c>
      <c r="P76" s="16">
        <f t="shared" si="78"/>
        <v>3369871.711437917</v>
      </c>
      <c r="Q76" s="51"/>
      <c r="R76" s="16">
        <f t="shared" si="79"/>
        <v>42104758.91893713</v>
      </c>
      <c r="S76" s="16">
        <f t="shared" si="80"/>
        <v>46442762.95737862</v>
      </c>
      <c r="T76" s="16">
        <f t="shared" si="81"/>
        <v>52281979.125146106</v>
      </c>
      <c r="U76" s="16">
        <f t="shared" si="82"/>
        <v>55584245.7646888</v>
      </c>
      <c r="V76" s="16">
        <f t="shared" si="83"/>
        <v>59922249.803130284</v>
      </c>
      <c r="W76" s="16">
        <f t="shared" si="84"/>
        <v>65761465.97089777</v>
      </c>
      <c r="X76" s="54"/>
      <c r="Y76" s="53">
        <v>85</v>
      </c>
      <c r="Z76" s="53">
        <v>35</v>
      </c>
      <c r="AA76" s="53">
        <v>382</v>
      </c>
      <c r="AB76" s="53">
        <v>312</v>
      </c>
      <c r="AC76" s="53">
        <v>15</v>
      </c>
      <c r="AD76" s="53">
        <v>24</v>
      </c>
      <c r="AE76" s="53">
        <v>0</v>
      </c>
      <c r="AF76" s="53">
        <v>0</v>
      </c>
      <c r="AG76" s="53">
        <v>10</v>
      </c>
      <c r="AH76" s="53">
        <v>180</v>
      </c>
      <c r="AI76" s="53">
        <v>1080</v>
      </c>
      <c r="AJ76" s="53">
        <v>148</v>
      </c>
      <c r="AK76" s="53">
        <v>5920</v>
      </c>
      <c r="AL76" s="53">
        <v>3</v>
      </c>
      <c r="AM76" s="53">
        <v>330</v>
      </c>
      <c r="AN76" s="53">
        <v>2</v>
      </c>
      <c r="AO76" s="53">
        <v>778</v>
      </c>
      <c r="AP76" s="53">
        <v>0</v>
      </c>
      <c r="AQ76" s="53">
        <v>0</v>
      </c>
      <c r="AR76" s="53">
        <v>0</v>
      </c>
      <c r="AS76" s="53">
        <v>0</v>
      </c>
      <c r="AT76" s="53">
        <v>59</v>
      </c>
      <c r="AU76" s="53">
        <v>232811</v>
      </c>
      <c r="AV76" s="53">
        <v>22</v>
      </c>
      <c r="AW76" s="53">
        <v>33423</v>
      </c>
      <c r="AX76" s="53">
        <v>1752</v>
      </c>
      <c r="AY76" s="53">
        <v>0</v>
      </c>
      <c r="AZ76" s="53">
        <v>0</v>
      </c>
      <c r="BA76" s="53">
        <v>0</v>
      </c>
      <c r="BB76" s="53">
        <v>0</v>
      </c>
      <c r="BC76" s="53">
        <v>22787</v>
      </c>
      <c r="BD76" s="53">
        <v>7195431</v>
      </c>
      <c r="BF76" s="53">
        <f t="shared" si="63"/>
        <v>6879538</v>
      </c>
      <c r="BG76" s="53">
        <f t="shared" si="64"/>
        <v>6682856</v>
      </c>
      <c r="BH76" s="53">
        <f t="shared" si="65"/>
        <v>797857</v>
      </c>
      <c r="BI76" s="53">
        <f t="shared" si="66"/>
        <v>659770.0199999999</v>
      </c>
      <c r="BJ76" s="53">
        <f t="shared" si="67"/>
        <v>0</v>
      </c>
      <c r="BK76" s="53">
        <f>SUMIF(Renseanlæg!$A:$A,SPILDEVAND!A76,Renseanlæg!$I:$I)</f>
        <v>17384687.49893713</v>
      </c>
      <c r="BL76" s="53">
        <f t="shared" si="68"/>
        <v>6947380.8</v>
      </c>
      <c r="BM76" s="53">
        <f t="shared" si="69"/>
        <v>2752669.6</v>
      </c>
      <c r="BN76" s="53">
        <v>36.00180185954944</v>
      </c>
      <c r="BO76" s="53">
        <f t="shared" si="70"/>
        <v>0.026713950762016412</v>
      </c>
      <c r="BP76" s="53">
        <f t="shared" si="71"/>
        <v>42104758.91893713</v>
      </c>
      <c r="BQ76" s="53">
        <f t="shared" si="108"/>
        <v>46442762.95737862</v>
      </c>
      <c r="BR76" s="53">
        <f t="shared" si="72"/>
        <v>52281979.125146106</v>
      </c>
      <c r="BS76" s="53">
        <v>57142075</v>
      </c>
      <c r="BT76" s="53"/>
      <c r="BU76" s="53">
        <f t="shared" si="85"/>
        <v>16.339098421736466</v>
      </c>
      <c r="BV76" s="53">
        <f t="shared" si="86"/>
        <v>15.871973077595044</v>
      </c>
      <c r="BW76" s="53">
        <f t="shared" si="87"/>
        <v>1.894933068103031</v>
      </c>
      <c r="BX76" s="53">
        <f t="shared" si="88"/>
        <v>1.56697256305453</v>
      </c>
      <c r="BY76" s="53">
        <f t="shared" si="89"/>
        <v>0</v>
      </c>
      <c r="BZ76" s="53">
        <f t="shared" si="90"/>
        <v>41.289127275155</v>
      </c>
      <c r="CA76" s="53">
        <f t="shared" si="91"/>
        <v>16.500227001360006</v>
      </c>
      <c r="CB76" s="53">
        <f t="shared" si="92"/>
        <v>6.537668592995917</v>
      </c>
      <c r="CD76" s="53">
        <f t="shared" si="93"/>
        <v>24.771700082835416</v>
      </c>
      <c r="CF76" s="53">
        <f t="shared" si="94"/>
        <v>5.28553736060497</v>
      </c>
      <c r="CG76" s="53">
        <f t="shared" si="95"/>
        <v>4.278979716514609</v>
      </c>
      <c r="CH76" s="53">
        <f t="shared" si="96"/>
        <v>0.1362477296918596</v>
      </c>
      <c r="CI76" s="53">
        <f t="shared" si="97"/>
        <v>-0.07617617268347132</v>
      </c>
      <c r="CJ76" s="53">
        <f t="shared" si="98"/>
        <v>0.05674468202527108</v>
      </c>
      <c r="CK76" s="53">
        <f t="shared" si="99"/>
        <v>-7.087462526626162</v>
      </c>
      <c r="CL76" s="53">
        <f t="shared" si="100"/>
        <v>-3.121407421211508</v>
      </c>
      <c r="CM76" s="53">
        <f t="shared" si="101"/>
        <v>0.5275366316844261</v>
      </c>
      <c r="CO76" s="53">
        <f t="shared" si="102"/>
        <v>5.949321721981253</v>
      </c>
      <c r="CP76" s="53">
        <f t="shared" si="103"/>
        <v>0</v>
      </c>
      <c r="CQ76" s="53">
        <f t="shared" si="104"/>
        <v>42.21064572348499</v>
      </c>
    </row>
    <row r="77" spans="1:95" ht="15">
      <c r="A77" s="54" t="s">
        <v>22</v>
      </c>
      <c r="B77" s="70">
        <v>4</v>
      </c>
      <c r="C77" s="16">
        <v>22749454.60082944</v>
      </c>
      <c r="D77" s="51">
        <v>0.3840209266751422</v>
      </c>
      <c r="E77" s="16">
        <f t="shared" si="73"/>
        <v>8736266.6371646</v>
      </c>
      <c r="F77" s="51"/>
      <c r="G77" s="16"/>
      <c r="H77" s="51">
        <v>0.27082212616279144</v>
      </c>
      <c r="I77" s="52">
        <f t="shared" si="105"/>
        <v>0</v>
      </c>
      <c r="J77" s="52">
        <f t="shared" si="106"/>
        <v>0</v>
      </c>
      <c r="K77" s="52">
        <f t="shared" si="107"/>
        <v>0</v>
      </c>
      <c r="L77" s="16">
        <f t="shared" si="74"/>
        <v>6161055.664040527</v>
      </c>
      <c r="M77" s="16">
        <f t="shared" si="75"/>
        <v>14013187.96366484</v>
      </c>
      <c r="N77" s="52">
        <f t="shared" si="76"/>
        <v>0.06770553154069786</v>
      </c>
      <c r="O77" s="51">
        <f t="shared" si="77"/>
        <v>0.05</v>
      </c>
      <c r="P77" s="16">
        <f t="shared" si="78"/>
        <v>1137472.730041472</v>
      </c>
      <c r="Q77" s="51"/>
      <c r="R77" s="16">
        <f t="shared" si="79"/>
        <v>18025481.520557012</v>
      </c>
      <c r="S77" s="16">
        <f t="shared" si="80"/>
        <v>25214301.860412154</v>
      </c>
      <c r="T77" s="16">
        <f t="shared" si="81"/>
        <v>22961485.978511695</v>
      </c>
      <c r="U77" s="16">
        <f t="shared" si="82"/>
        <v>22575372.4407229</v>
      </c>
      <c r="V77" s="16">
        <f t="shared" si="83"/>
        <v>29764192.780578043</v>
      </c>
      <c r="W77" s="16">
        <f t="shared" si="84"/>
        <v>27511376.898677584</v>
      </c>
      <c r="X77" s="54"/>
      <c r="Y77" s="53">
        <v>37</v>
      </c>
      <c r="Z77" s="53">
        <v>68</v>
      </c>
      <c r="AA77" s="53">
        <v>229</v>
      </c>
      <c r="AB77" s="53">
        <v>189</v>
      </c>
      <c r="AC77" s="53">
        <v>0</v>
      </c>
      <c r="AD77" s="53">
        <v>0</v>
      </c>
      <c r="AE77" s="53">
        <v>0</v>
      </c>
      <c r="AF77" s="53">
        <v>0</v>
      </c>
      <c r="AG77" s="53">
        <v>2</v>
      </c>
      <c r="AH77" s="53">
        <v>23</v>
      </c>
      <c r="AI77" s="53">
        <v>156</v>
      </c>
      <c r="AJ77" s="53">
        <v>72</v>
      </c>
      <c r="AK77" s="53">
        <v>1912</v>
      </c>
      <c r="AL77" s="53">
        <v>5</v>
      </c>
      <c r="AM77" s="53">
        <v>550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2</v>
      </c>
      <c r="AU77" s="53">
        <v>300</v>
      </c>
      <c r="AV77" s="53">
        <v>38</v>
      </c>
      <c r="AW77" s="53">
        <v>24477</v>
      </c>
      <c r="AX77" s="53">
        <v>799</v>
      </c>
      <c r="AY77" s="53">
        <v>193</v>
      </c>
      <c r="AZ77" s="53">
        <v>0</v>
      </c>
      <c r="BA77" s="53">
        <v>0</v>
      </c>
      <c r="BB77" s="53">
        <v>0</v>
      </c>
      <c r="BC77" s="53">
        <v>14830</v>
      </c>
      <c r="BD77" s="53">
        <v>2156000</v>
      </c>
      <c r="BF77" s="53">
        <f t="shared" si="63"/>
        <v>2237917</v>
      </c>
      <c r="BG77" s="53">
        <f t="shared" si="64"/>
        <v>2599333</v>
      </c>
      <c r="BH77" s="53">
        <f t="shared" si="65"/>
        <v>27046</v>
      </c>
      <c r="BI77" s="53">
        <f t="shared" si="66"/>
        <v>483175.98</v>
      </c>
      <c r="BJ77" s="53">
        <f t="shared" si="67"/>
        <v>0</v>
      </c>
      <c r="BK77" s="53">
        <f>SUMIF(Renseanlæg!$A:$A,SPILDEVAND!A77,Renseanlæg!$I:$I)</f>
        <v>6801884.840557013</v>
      </c>
      <c r="BL77" s="53">
        <f t="shared" si="68"/>
        <v>4084660.7</v>
      </c>
      <c r="BM77" s="53">
        <f t="shared" si="69"/>
        <v>1791464</v>
      </c>
      <c r="BN77" s="53">
        <v>54.48839563993309</v>
      </c>
      <c r="BO77" s="53">
        <f t="shared" si="70"/>
        <v>0.028355640535372848</v>
      </c>
      <c r="BP77" s="53">
        <f t="shared" si="71"/>
        <v>18025481.520557012</v>
      </c>
      <c r="BQ77" s="53">
        <f t="shared" si="108"/>
        <v>25214301.860412154</v>
      </c>
      <c r="BR77" s="53">
        <f t="shared" si="72"/>
        <v>22961485.978511695</v>
      </c>
      <c r="BS77" s="53">
        <v>25252726</v>
      </c>
      <c r="BT77" s="53"/>
      <c r="BU77" s="53">
        <f t="shared" si="85"/>
        <v>12.415296631314874</v>
      </c>
      <c r="BV77" s="53">
        <f t="shared" si="86"/>
        <v>14.420324899701637</v>
      </c>
      <c r="BW77" s="53">
        <f t="shared" si="87"/>
        <v>0.1500431484682149</v>
      </c>
      <c r="BX77" s="53">
        <f t="shared" si="88"/>
        <v>2.680516353746034</v>
      </c>
      <c r="BY77" s="53">
        <f t="shared" si="89"/>
        <v>0</v>
      </c>
      <c r="BZ77" s="53">
        <f t="shared" si="90"/>
        <v>37.73483017804467</v>
      </c>
      <c r="CA77" s="53">
        <f t="shared" si="91"/>
        <v>22.66048036132451</v>
      </c>
      <c r="CB77" s="53">
        <f t="shared" si="92"/>
        <v>9.938508427400064</v>
      </c>
      <c r="CD77" s="53">
        <f t="shared" si="93"/>
        <v>22.503848207183154</v>
      </c>
      <c r="CF77" s="53">
        <f t="shared" si="94"/>
        <v>9.209339151026562</v>
      </c>
      <c r="CG77" s="53">
        <f t="shared" si="95"/>
        <v>5.730627894408016</v>
      </c>
      <c r="CH77" s="53">
        <f t="shared" si="96"/>
        <v>1.8811376493266756</v>
      </c>
      <c r="CI77" s="53">
        <f t="shared" si="97"/>
        <v>-1.1897199633749755</v>
      </c>
      <c r="CJ77" s="53">
        <f t="shared" si="98"/>
        <v>0.05674468202527108</v>
      </c>
      <c r="CK77" s="53">
        <f t="shared" si="99"/>
        <v>-3.533165429515826</v>
      </c>
      <c r="CL77" s="53">
        <f t="shared" si="100"/>
        <v>-9.281660781176011</v>
      </c>
      <c r="CM77" s="53">
        <f t="shared" si="101"/>
        <v>-2.873303202719721</v>
      </c>
      <c r="CO77" s="53">
        <f t="shared" si="102"/>
        <v>8.217173597633515</v>
      </c>
      <c r="CP77" s="53">
        <f t="shared" si="103"/>
        <v>0</v>
      </c>
      <c r="CQ77" s="53">
        <f t="shared" si="104"/>
        <v>39.60468946063082</v>
      </c>
    </row>
    <row r="78" spans="1:95" ht="15">
      <c r="A78" s="54" t="s">
        <v>110</v>
      </c>
      <c r="B78" s="70">
        <v>6</v>
      </c>
      <c r="C78" s="16">
        <v>8115197.35</v>
      </c>
      <c r="D78" s="51">
        <v>0.418837999521109</v>
      </c>
      <c r="E78" s="16">
        <f t="shared" si="73"/>
        <v>3398953.023793005</v>
      </c>
      <c r="F78" s="51">
        <v>0.4903551</v>
      </c>
      <c r="G78" s="16">
        <f>F78*C78</f>
        <v>3979328.408078985</v>
      </c>
      <c r="H78" s="51">
        <v>0.3013753177671523</v>
      </c>
      <c r="I78" s="52">
        <f t="shared" si="105"/>
        <v>-0.3626192328824378</v>
      </c>
      <c r="J78" s="52">
        <f t="shared" si="106"/>
        <v>-0.11078742803024241</v>
      </c>
      <c r="K78" s="52">
        <f>IF(J78&lt;0,H78+J78,0)</f>
        <v>0.1905878897369099</v>
      </c>
      <c r="L78" s="16">
        <f t="shared" si="74"/>
        <v>1546658.3377350634</v>
      </c>
      <c r="M78" s="16">
        <f t="shared" si="75"/>
        <v>4716244.326206995</v>
      </c>
      <c r="N78" s="52">
        <f t="shared" si="76"/>
        <v>0.047646972434227476</v>
      </c>
      <c r="O78" s="51">
        <f t="shared" si="77"/>
        <v>0.047646972434227476</v>
      </c>
      <c r="P78" s="16">
        <f t="shared" si="78"/>
        <v>386664.58443376585</v>
      </c>
      <c r="Q78" s="51"/>
      <c r="R78" s="16">
        <f t="shared" si="79"/>
        <v>5322443.8</v>
      </c>
      <c r="S78" s="16">
        <f t="shared" si="80"/>
        <v>7655858.864081099</v>
      </c>
      <c r="T78" s="16">
        <f t="shared" si="81"/>
        <v>8030197.936518382</v>
      </c>
      <c r="U78" s="16">
        <f t="shared" si="82"/>
        <v>6945483.27</v>
      </c>
      <c r="V78" s="16">
        <f t="shared" si="83"/>
        <v>9278898.334081098</v>
      </c>
      <c r="W78" s="16">
        <f t="shared" si="84"/>
        <v>9653237.406518383</v>
      </c>
      <c r="X78" s="54"/>
      <c r="Y78" s="53">
        <v>0</v>
      </c>
      <c r="Z78" s="53">
        <v>0</v>
      </c>
      <c r="AA78" s="53">
        <v>41</v>
      </c>
      <c r="AB78" s="53">
        <v>98</v>
      </c>
      <c r="AC78" s="53">
        <v>7</v>
      </c>
      <c r="AD78" s="53">
        <v>23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5</v>
      </c>
      <c r="AK78" s="53">
        <v>353</v>
      </c>
      <c r="AL78" s="53">
        <v>2</v>
      </c>
      <c r="AM78" s="53">
        <v>361</v>
      </c>
      <c r="AN78" s="53">
        <v>1</v>
      </c>
      <c r="AO78" s="53">
        <v>350</v>
      </c>
      <c r="AP78" s="53">
        <v>0</v>
      </c>
      <c r="AQ78" s="53">
        <v>0</v>
      </c>
      <c r="AR78" s="53">
        <v>0</v>
      </c>
      <c r="AS78" s="53">
        <v>0</v>
      </c>
      <c r="AT78" s="53">
        <v>5</v>
      </c>
      <c r="AU78" s="53">
        <v>17000</v>
      </c>
      <c r="AV78" s="53">
        <v>1</v>
      </c>
      <c r="AW78" s="53">
        <v>7000</v>
      </c>
      <c r="AX78" s="53">
        <v>0</v>
      </c>
      <c r="AY78" s="53">
        <v>0</v>
      </c>
      <c r="AZ78" s="53">
        <v>0</v>
      </c>
      <c r="BA78" s="53">
        <v>0</v>
      </c>
      <c r="BB78" s="53">
        <v>0</v>
      </c>
      <c r="BC78" s="53">
        <v>6821</v>
      </c>
      <c r="BD78" s="53">
        <v>83820</v>
      </c>
      <c r="BE78" s="53">
        <v>654974</v>
      </c>
      <c r="BF78" s="53">
        <f t="shared" si="63"/>
        <v>3207421</v>
      </c>
      <c r="BG78" s="53">
        <f t="shared" si="64"/>
        <v>430277</v>
      </c>
      <c r="BH78" s="53">
        <f t="shared" si="65"/>
        <v>67615</v>
      </c>
      <c r="BI78" s="53">
        <f t="shared" si="66"/>
        <v>138180</v>
      </c>
      <c r="BJ78" s="53">
        <f t="shared" si="67"/>
        <v>0</v>
      </c>
      <c r="BK78" s="53">
        <f>SUMIF(Renseanlæg!$A:$A,SPILDEVAND!A78,Renseanlæg!$I:$I)</f>
        <v>0</v>
      </c>
      <c r="BL78" s="53">
        <f t="shared" si="68"/>
        <v>0</v>
      </c>
      <c r="BM78" s="53">
        <f t="shared" si="69"/>
        <v>823976.7999999999</v>
      </c>
      <c r="BN78" s="53">
        <v>56.96315409522382</v>
      </c>
      <c r="BO78" s="53">
        <f t="shared" si="70"/>
        <v>0.04036094674556213</v>
      </c>
      <c r="BP78" s="53">
        <f t="shared" si="71"/>
        <v>5322443.8</v>
      </c>
      <c r="BQ78" s="53">
        <f t="shared" si="108"/>
        <v>7655858.864081099</v>
      </c>
      <c r="BR78" s="53">
        <f t="shared" si="72"/>
        <v>8030197.936518382</v>
      </c>
      <c r="BS78" s="53">
        <v>9746511</v>
      </c>
      <c r="BT78" s="53"/>
      <c r="BU78" s="53">
        <f t="shared" si="85"/>
        <v>68.71862352489137</v>
      </c>
      <c r="BV78" s="53">
        <f t="shared" si="86"/>
        <v>9.21863490150488</v>
      </c>
      <c r="BW78" s="53">
        <f t="shared" si="87"/>
        <v>1.4486435455886615</v>
      </c>
      <c r="BX78" s="53">
        <f t="shared" si="88"/>
        <v>2.9604904995850214</v>
      </c>
      <c r="BY78" s="53">
        <f t="shared" si="89"/>
        <v>0</v>
      </c>
      <c r="BZ78" s="53">
        <f t="shared" si="90"/>
        <v>0</v>
      </c>
      <c r="CA78" s="53">
        <f t="shared" si="91"/>
        <v>0</v>
      </c>
      <c r="CB78" s="53">
        <f t="shared" si="92"/>
        <v>17.653607528430072</v>
      </c>
      <c r="CD78" s="53">
        <f t="shared" si="93"/>
        <v>87.82087459891011</v>
      </c>
      <c r="CF78" s="53">
        <f t="shared" si="94"/>
        <v>-47.093987742549935</v>
      </c>
      <c r="CG78" s="53">
        <f t="shared" si="95"/>
        <v>10.932317892604773</v>
      </c>
      <c r="CH78" s="53">
        <f t="shared" si="96"/>
        <v>0.5825372522062291</v>
      </c>
      <c r="CI78" s="53">
        <f t="shared" si="97"/>
        <v>-1.4696941092139628</v>
      </c>
      <c r="CJ78" s="53">
        <f t="shared" si="98"/>
        <v>0.05674468202527108</v>
      </c>
      <c r="CK78" s="53">
        <f t="shared" si="99"/>
        <v>34.20166474852884</v>
      </c>
      <c r="CL78" s="53">
        <f t="shared" si="100"/>
        <v>13.378819580148498</v>
      </c>
      <c r="CM78" s="53">
        <f t="shared" si="101"/>
        <v>-10.588402303749728</v>
      </c>
      <c r="CO78" s="53">
        <f t="shared" si="102"/>
        <v>-57.09985279409344</v>
      </c>
      <c r="CP78" s="53">
        <f t="shared" si="103"/>
        <v>-11.078742803024241</v>
      </c>
      <c r="CQ78" s="53">
        <f t="shared" si="104"/>
        <v>100.00000000000001</v>
      </c>
    </row>
    <row r="79" spans="1:95" ht="15">
      <c r="A79" s="54" t="s">
        <v>114</v>
      </c>
      <c r="B79" s="70">
        <v>6</v>
      </c>
      <c r="C79" s="16">
        <v>4994069</v>
      </c>
      <c r="D79" s="51">
        <v>0.346206393278948</v>
      </c>
      <c r="E79" s="16">
        <f t="shared" si="73"/>
        <v>1728978.6162762025</v>
      </c>
      <c r="F79" s="51"/>
      <c r="G79" s="16"/>
      <c r="H79" s="51">
        <v>0.221931758138638</v>
      </c>
      <c r="I79" s="52">
        <f t="shared" si="105"/>
        <v>0</v>
      </c>
      <c r="J79" s="52">
        <f t="shared" si="106"/>
        <v>0</v>
      </c>
      <c r="K79" s="52">
        <f t="shared" si="107"/>
        <v>0</v>
      </c>
      <c r="L79" s="16">
        <f t="shared" si="74"/>
        <v>1108342.5134356697</v>
      </c>
      <c r="M79" s="16">
        <f t="shared" si="75"/>
        <v>3265090.3837237973</v>
      </c>
      <c r="N79" s="52">
        <f t="shared" si="76"/>
        <v>0.0554829395346595</v>
      </c>
      <c r="O79" s="51">
        <f t="shared" si="77"/>
        <v>0.05</v>
      </c>
      <c r="P79" s="16">
        <f t="shared" si="78"/>
        <v>249703.45</v>
      </c>
      <c r="Q79" s="51"/>
      <c r="R79" s="16">
        <f t="shared" si="79"/>
        <v>4791949.409968324</v>
      </c>
      <c r="S79" s="16">
        <f t="shared" si="80"/>
        <v>4590241.74119939</v>
      </c>
      <c r="T79" s="16">
        <f t="shared" si="81"/>
        <v>4608799.839575125</v>
      </c>
      <c r="U79" s="16">
        <f t="shared" si="82"/>
        <v>5790763.209968324</v>
      </c>
      <c r="V79" s="16">
        <f t="shared" si="83"/>
        <v>5589055.54119939</v>
      </c>
      <c r="W79" s="16">
        <f t="shared" si="84"/>
        <v>5607613.639575125</v>
      </c>
      <c r="X79" s="54"/>
      <c r="Y79" s="53">
        <f>106110/1000</f>
        <v>106.11</v>
      </c>
      <c r="Z79" s="53">
        <f>35406/1000</f>
        <v>35.406</v>
      </c>
      <c r="AA79" s="53">
        <f>17063/1000</f>
        <v>17.063</v>
      </c>
      <c r="AB79" s="53">
        <f>24615/1000</f>
        <v>24.615</v>
      </c>
      <c r="AC79" s="53">
        <v>0</v>
      </c>
      <c r="AD79" s="53">
        <v>0</v>
      </c>
      <c r="AE79" s="53">
        <v>0</v>
      </c>
      <c r="AF79" s="53">
        <v>0</v>
      </c>
      <c r="AG79" s="53">
        <v>4</v>
      </c>
      <c r="AH79" s="53">
        <v>32</v>
      </c>
      <c r="AI79" s="53">
        <v>155</v>
      </c>
      <c r="AJ79" s="53">
        <v>26</v>
      </c>
      <c r="AK79" s="53">
        <v>477</v>
      </c>
      <c r="AL79" s="53">
        <v>0</v>
      </c>
      <c r="AM79" s="53">
        <v>0</v>
      </c>
      <c r="AN79" s="53">
        <v>0</v>
      </c>
      <c r="AO79" s="53">
        <v>0</v>
      </c>
      <c r="AP79" s="53">
        <v>1</v>
      </c>
      <c r="AQ79" s="53">
        <v>880</v>
      </c>
      <c r="AR79" s="53">
        <v>0</v>
      </c>
      <c r="AS79" s="53">
        <v>0</v>
      </c>
      <c r="AT79" s="53">
        <v>0</v>
      </c>
      <c r="AU79" s="53">
        <v>0</v>
      </c>
      <c r="AV79" s="53">
        <v>3</v>
      </c>
      <c r="AW79" s="53">
        <v>5027</v>
      </c>
      <c r="AX79" s="53">
        <v>0</v>
      </c>
      <c r="AY79" s="53">
        <v>50</v>
      </c>
      <c r="AZ79" s="53">
        <v>0</v>
      </c>
      <c r="BA79" s="53">
        <v>0</v>
      </c>
      <c r="BB79" s="53">
        <v>0</v>
      </c>
      <c r="BC79" s="53">
        <v>2273</v>
      </c>
      <c r="BD79" s="53">
        <v>605634</v>
      </c>
      <c r="BF79" s="53">
        <f t="shared" si="63"/>
        <v>783887.1259999999</v>
      </c>
      <c r="BG79" s="53">
        <f t="shared" si="64"/>
        <v>1630026</v>
      </c>
      <c r="BH79" s="53">
        <f t="shared" si="65"/>
        <v>0</v>
      </c>
      <c r="BI79" s="53">
        <f t="shared" si="66"/>
        <v>99232.98</v>
      </c>
      <c r="BJ79" s="53">
        <f t="shared" si="67"/>
        <v>0</v>
      </c>
      <c r="BK79" s="53">
        <f>SUMIF(Renseanlæg!$A:$A,SPILDEVAND!A79,Renseanlæg!$I:$I)</f>
        <v>1766839.9039683237</v>
      </c>
      <c r="BL79" s="53">
        <f t="shared" si="68"/>
        <v>237385</v>
      </c>
      <c r="BM79" s="53">
        <f t="shared" si="69"/>
        <v>274578.39999999997</v>
      </c>
      <c r="BN79" s="53">
        <v>26.93168564460769</v>
      </c>
      <c r="BO79" s="53">
        <f t="shared" si="70"/>
        <v>0.012407611603000098</v>
      </c>
      <c r="BP79" s="53">
        <f t="shared" si="71"/>
        <v>4791949.409968324</v>
      </c>
      <c r="BQ79" s="53">
        <f t="shared" si="108"/>
        <v>4590241.74119939</v>
      </c>
      <c r="BR79" s="53">
        <f t="shared" si="72"/>
        <v>4608799.839575125</v>
      </c>
      <c r="BS79" s="53">
        <v>5155160</v>
      </c>
      <c r="BT79" s="53"/>
      <c r="BU79" s="53">
        <f t="shared" si="85"/>
        <v>16.358418233075245</v>
      </c>
      <c r="BV79" s="53">
        <f t="shared" si="86"/>
        <v>34.01592672512741</v>
      </c>
      <c r="BW79" s="53">
        <f t="shared" si="87"/>
        <v>0</v>
      </c>
      <c r="BX79" s="53">
        <f t="shared" si="88"/>
        <v>2.0708269539234543</v>
      </c>
      <c r="BY79" s="53">
        <f t="shared" si="89"/>
        <v>0</v>
      </c>
      <c r="BZ79" s="53">
        <f t="shared" si="90"/>
        <v>36.871004946189586</v>
      </c>
      <c r="CA79" s="53">
        <f t="shared" si="91"/>
        <v>4.9538294270424945</v>
      </c>
      <c r="CB79" s="53">
        <f t="shared" si="92"/>
        <v>5.729993714641804</v>
      </c>
      <c r="CD79" s="53">
        <f t="shared" si="93"/>
        <v>22.08841194771705</v>
      </c>
      <c r="CF79" s="53">
        <f t="shared" si="94"/>
        <v>5.266217549266191</v>
      </c>
      <c r="CG79" s="53">
        <f t="shared" si="95"/>
        <v>-13.864973931017754</v>
      </c>
      <c r="CH79" s="53">
        <f t="shared" si="96"/>
        <v>2.0311807977948906</v>
      </c>
      <c r="CI79" s="53">
        <f t="shared" si="97"/>
        <v>-0.5800305635523957</v>
      </c>
      <c r="CJ79" s="53">
        <f t="shared" si="98"/>
        <v>0.05674468202527108</v>
      </c>
      <c r="CK79" s="53">
        <f t="shared" si="99"/>
        <v>-2.6693401976607447</v>
      </c>
      <c r="CL79" s="53">
        <f t="shared" si="100"/>
        <v>8.424990153106004</v>
      </c>
      <c r="CM79" s="53">
        <f t="shared" si="101"/>
        <v>1.3352115100385396</v>
      </c>
      <c r="CO79" s="53">
        <f t="shared" si="102"/>
        <v>8.63260985709962</v>
      </c>
      <c r="CP79" s="53">
        <f t="shared" si="103"/>
        <v>0</v>
      </c>
      <c r="CQ79" s="53">
        <f t="shared" si="104"/>
        <v>58.17516562676792</v>
      </c>
    </row>
    <row r="80" spans="1:95" ht="15">
      <c r="A80" s="54" t="s">
        <v>84</v>
      </c>
      <c r="B80" s="70">
        <v>6</v>
      </c>
      <c r="C80" s="16">
        <v>42895014</v>
      </c>
      <c r="D80" s="51">
        <v>0.19151649404599902</v>
      </c>
      <c r="E80" s="16">
        <f t="shared" si="73"/>
        <v>8215102.693334045</v>
      </c>
      <c r="F80" s="51"/>
      <c r="G80" s="16"/>
      <c r="H80" s="51">
        <v>0.055242489729349975</v>
      </c>
      <c r="I80" s="52">
        <f t="shared" si="105"/>
        <v>0</v>
      </c>
      <c r="J80" s="52">
        <f t="shared" si="106"/>
        <v>0</v>
      </c>
      <c r="K80" s="52">
        <f t="shared" si="107"/>
        <v>0</v>
      </c>
      <c r="L80" s="16">
        <f t="shared" si="74"/>
        <v>2369627.3703353233</v>
      </c>
      <c r="M80" s="16">
        <f t="shared" si="75"/>
        <v>34679911.30666596</v>
      </c>
      <c r="N80" s="52">
        <f t="shared" si="76"/>
        <v>0.013810622432337494</v>
      </c>
      <c r="O80" s="51">
        <f t="shared" si="77"/>
        <v>0.013810622432337494</v>
      </c>
      <c r="P80" s="16">
        <f t="shared" si="78"/>
        <v>592406.8425838308</v>
      </c>
      <c r="Q80" s="51"/>
      <c r="R80" s="16">
        <f t="shared" si="79"/>
        <v>50897326.387994446</v>
      </c>
      <c r="S80" s="16">
        <f t="shared" si="80"/>
        <v>52495166.09099986</v>
      </c>
      <c r="T80" s="16">
        <f t="shared" si="81"/>
        <v>52628268.28242733</v>
      </c>
      <c r="U80" s="16">
        <f t="shared" si="82"/>
        <v>59476329.18799445</v>
      </c>
      <c r="V80" s="16">
        <f t="shared" si="83"/>
        <v>61074168.89099985</v>
      </c>
      <c r="W80" s="16">
        <f t="shared" si="84"/>
        <v>61207271.08242734</v>
      </c>
      <c r="X80" s="54"/>
      <c r="Y80" s="53">
        <v>291</v>
      </c>
      <c r="Z80" s="53">
        <v>204</v>
      </c>
      <c r="AA80" s="53">
        <v>692</v>
      </c>
      <c r="AB80" s="53">
        <v>393</v>
      </c>
      <c r="AC80" s="53">
        <v>41</v>
      </c>
      <c r="AD80" s="53">
        <v>26</v>
      </c>
      <c r="AE80" s="53">
        <v>0</v>
      </c>
      <c r="AF80" s="53">
        <v>0</v>
      </c>
      <c r="AG80" s="53">
        <v>13</v>
      </c>
      <c r="AH80" s="53">
        <v>78</v>
      </c>
      <c r="AI80" s="53">
        <v>434</v>
      </c>
      <c r="AJ80" s="53">
        <v>101</v>
      </c>
      <c r="AK80" s="53">
        <v>2322</v>
      </c>
      <c r="AL80" s="53">
        <v>6</v>
      </c>
      <c r="AM80" s="53">
        <v>1166</v>
      </c>
      <c r="AN80" s="53">
        <v>0</v>
      </c>
      <c r="AO80" s="53">
        <v>0</v>
      </c>
      <c r="AP80" s="53">
        <v>1</v>
      </c>
      <c r="AQ80" s="53">
        <v>950</v>
      </c>
      <c r="AR80" s="53">
        <v>0</v>
      </c>
      <c r="AS80" s="53">
        <v>0</v>
      </c>
      <c r="AT80" s="53">
        <v>126</v>
      </c>
      <c r="AU80" s="53">
        <v>732926</v>
      </c>
      <c r="AV80" s="53">
        <v>18</v>
      </c>
      <c r="AW80" s="53">
        <v>8996</v>
      </c>
      <c r="AX80" s="53">
        <v>1446</v>
      </c>
      <c r="AY80" s="53">
        <v>0</v>
      </c>
      <c r="AZ80" s="53">
        <v>21</v>
      </c>
      <c r="BA80" s="53">
        <v>7</v>
      </c>
      <c r="BB80" s="53">
        <v>95</v>
      </c>
      <c r="BC80" s="53">
        <v>26515</v>
      </c>
      <c r="BD80" s="53">
        <v>6264386</v>
      </c>
      <c r="BF80" s="53">
        <f t="shared" si="63"/>
        <v>12595716</v>
      </c>
      <c r="BG80" s="53">
        <f t="shared" si="64"/>
        <v>4812983</v>
      </c>
      <c r="BH80" s="53">
        <f t="shared" si="65"/>
        <v>1703898</v>
      </c>
      <c r="BI80" s="53">
        <f t="shared" si="66"/>
        <v>177581.03999999998</v>
      </c>
      <c r="BJ80" s="53">
        <f t="shared" si="67"/>
        <v>17780</v>
      </c>
      <c r="BK80" s="53">
        <f>SUMIF(Renseanlæg!$A:$A,SPILDEVAND!A80,Renseanlæg!$I:$I)</f>
        <v>22552686.24799444</v>
      </c>
      <c r="BL80" s="53">
        <f t="shared" si="68"/>
        <v>5833670.100000001</v>
      </c>
      <c r="BM80" s="53">
        <f t="shared" si="69"/>
        <v>3203012</v>
      </c>
      <c r="BN80" s="53">
        <v>31.524586980297535</v>
      </c>
      <c r="BO80" s="53">
        <f t="shared" si="70"/>
        <v>0.016098967820279295</v>
      </c>
      <c r="BP80" s="53">
        <f t="shared" si="71"/>
        <v>50897326.387994446</v>
      </c>
      <c r="BQ80" s="53">
        <f t="shared" si="108"/>
        <v>52495166.09099986</v>
      </c>
      <c r="BR80" s="53">
        <f t="shared" si="72"/>
        <v>52628268.28242733</v>
      </c>
      <c r="BS80" s="53">
        <v>41269000</v>
      </c>
      <c r="BT80" s="53"/>
      <c r="BU80" s="53">
        <f t="shared" si="85"/>
        <v>24.747303824923602</v>
      </c>
      <c r="BV80" s="53">
        <f t="shared" si="86"/>
        <v>9.45625898561005</v>
      </c>
      <c r="BW80" s="53">
        <f t="shared" si="87"/>
        <v>3.3477161197251255</v>
      </c>
      <c r="BX80" s="53">
        <f t="shared" si="88"/>
        <v>0.3489005270066355</v>
      </c>
      <c r="BY80" s="53">
        <f t="shared" si="89"/>
        <v>0.03493307264209051</v>
      </c>
      <c r="BZ80" s="53">
        <f t="shared" si="90"/>
        <v>44.31015899749524</v>
      </c>
      <c r="CA80" s="53">
        <f t="shared" si="91"/>
        <v>11.46164349681054</v>
      </c>
      <c r="CB80" s="53">
        <f t="shared" si="92"/>
        <v>6.293084975786704</v>
      </c>
      <c r="CD80" s="53">
        <f t="shared" si="93"/>
        <v>34.38810492043543</v>
      </c>
      <c r="CF80" s="53">
        <f t="shared" si="94"/>
        <v>-3.1226680425821662</v>
      </c>
      <c r="CG80" s="53">
        <f t="shared" si="95"/>
        <v>10.694693808499602</v>
      </c>
      <c r="CH80" s="53">
        <f t="shared" si="96"/>
        <v>-1.316535321930235</v>
      </c>
      <c r="CI80" s="53">
        <f t="shared" si="97"/>
        <v>1.1418958633644232</v>
      </c>
      <c r="CJ80" s="53">
        <f t="shared" si="98"/>
        <v>0.021811609383180573</v>
      </c>
      <c r="CK80" s="53">
        <f t="shared" si="99"/>
        <v>-10.108494248966402</v>
      </c>
      <c r="CL80" s="53">
        <f t="shared" si="100"/>
        <v>1.9171760833379583</v>
      </c>
      <c r="CM80" s="53">
        <f t="shared" si="101"/>
        <v>0.7721202488936392</v>
      </c>
      <c r="CO80" s="53">
        <f t="shared" si="102"/>
        <v>-3.6670831156187624</v>
      </c>
      <c r="CP80" s="53">
        <f t="shared" si="103"/>
        <v>0</v>
      </c>
      <c r="CQ80" s="53">
        <f t="shared" si="104"/>
        <v>44.19326443305212</v>
      </c>
    </row>
    <row r="81" spans="1:95" ht="15">
      <c r="A81" s="54" t="s">
        <v>64</v>
      </c>
      <c r="B81" s="70">
        <v>4</v>
      </c>
      <c r="C81" s="16">
        <v>57713414.849999994</v>
      </c>
      <c r="D81" s="51">
        <v>0.3611643642380603</v>
      </c>
      <c r="E81" s="16">
        <f t="shared" si="73"/>
        <v>20844028.782307677</v>
      </c>
      <c r="F81" s="51"/>
      <c r="G81" s="16"/>
      <c r="H81" s="51">
        <v>0.22489036309833088</v>
      </c>
      <c r="I81" s="52">
        <f t="shared" si="105"/>
        <v>0</v>
      </c>
      <c r="J81" s="52">
        <f t="shared" si="106"/>
        <v>0</v>
      </c>
      <c r="K81" s="52">
        <f t="shared" si="107"/>
        <v>0</v>
      </c>
      <c r="L81" s="16">
        <f t="shared" si="74"/>
        <v>12979190.8212611</v>
      </c>
      <c r="M81" s="16">
        <f t="shared" si="75"/>
        <v>36869386.06769232</v>
      </c>
      <c r="N81" s="52">
        <f t="shared" si="76"/>
        <v>0.05622259077458272</v>
      </c>
      <c r="O81" s="51">
        <f t="shared" si="77"/>
        <v>0.05</v>
      </c>
      <c r="P81" s="16">
        <f t="shared" si="78"/>
        <v>2885670.7424999997</v>
      </c>
      <c r="Q81" s="51"/>
      <c r="R81" s="16">
        <f t="shared" si="79"/>
        <v>54110668.21694943</v>
      </c>
      <c r="S81" s="16">
        <f t="shared" si="80"/>
        <v>60264368.75523009</v>
      </c>
      <c r="T81" s="16">
        <f t="shared" si="81"/>
        <v>53372876.915138304</v>
      </c>
      <c r="U81" s="16">
        <f t="shared" si="82"/>
        <v>65653351.18694943</v>
      </c>
      <c r="V81" s="16">
        <f t="shared" si="83"/>
        <v>71807051.7252301</v>
      </c>
      <c r="W81" s="16">
        <f t="shared" si="84"/>
        <v>64915559.8851383</v>
      </c>
      <c r="X81" s="54"/>
      <c r="Y81" s="53">
        <v>314</v>
      </c>
      <c r="Z81" s="53">
        <v>116</v>
      </c>
      <c r="AA81" s="53">
        <v>674</v>
      </c>
      <c r="AB81" s="53">
        <v>226</v>
      </c>
      <c r="AC81" s="53">
        <v>67</v>
      </c>
      <c r="AD81" s="53">
        <v>23</v>
      </c>
      <c r="AE81" s="53">
        <v>0</v>
      </c>
      <c r="AF81" s="53">
        <v>0</v>
      </c>
      <c r="AG81" s="53">
        <v>209</v>
      </c>
      <c r="AH81" s="53">
        <v>9</v>
      </c>
      <c r="AI81" s="53">
        <v>60</v>
      </c>
      <c r="AJ81" s="53">
        <v>161</v>
      </c>
      <c r="AK81" s="53">
        <v>3469</v>
      </c>
      <c r="AL81" s="53">
        <v>11</v>
      </c>
      <c r="AM81" s="53">
        <v>2147</v>
      </c>
      <c r="AN81" s="53">
        <v>1</v>
      </c>
      <c r="AO81" s="53">
        <v>560</v>
      </c>
      <c r="AP81" s="53">
        <v>1</v>
      </c>
      <c r="AQ81" s="53">
        <v>890</v>
      </c>
      <c r="AR81" s="53">
        <v>0</v>
      </c>
      <c r="AS81" s="53">
        <v>0</v>
      </c>
      <c r="AT81" s="53">
        <v>78</v>
      </c>
      <c r="AU81" s="53">
        <v>252486</v>
      </c>
      <c r="AV81" s="53">
        <v>12</v>
      </c>
      <c r="AW81" s="53">
        <v>3405</v>
      </c>
      <c r="AX81" s="53">
        <v>1858</v>
      </c>
      <c r="AY81" s="53">
        <v>0</v>
      </c>
      <c r="AZ81" s="53">
        <v>0</v>
      </c>
      <c r="BA81" s="53">
        <v>3</v>
      </c>
      <c r="BB81" s="53">
        <v>45</v>
      </c>
      <c r="BC81" s="53">
        <v>19403</v>
      </c>
      <c r="BD81" s="53">
        <v>4916804</v>
      </c>
      <c r="BF81" s="53">
        <f t="shared" si="63"/>
        <v>13528990</v>
      </c>
      <c r="BG81" s="53">
        <f t="shared" si="64"/>
        <v>7195116</v>
      </c>
      <c r="BH81" s="53">
        <f t="shared" si="65"/>
        <v>1054794</v>
      </c>
      <c r="BI81" s="53">
        <f t="shared" si="66"/>
        <v>67214.7</v>
      </c>
      <c r="BJ81" s="53">
        <f t="shared" si="67"/>
        <v>7620</v>
      </c>
      <c r="BK81" s="53">
        <f>SUMIF(Renseanlæg!$A:$A,SPILDEVAND!A81,Renseanlæg!$I:$I)</f>
        <v>22545337.916949432</v>
      </c>
      <c r="BL81" s="53">
        <f t="shared" si="68"/>
        <v>7367713.2</v>
      </c>
      <c r="BM81" s="53">
        <f t="shared" si="69"/>
        <v>2343882.4</v>
      </c>
      <c r="BN81" s="53">
        <v>36.67027183716369</v>
      </c>
      <c r="BO81" s="53">
        <f t="shared" si="70"/>
        <v>0.013664084507042254</v>
      </c>
      <c r="BP81" s="53">
        <f t="shared" si="71"/>
        <v>54110668.21694943</v>
      </c>
      <c r="BQ81" s="53">
        <f t="shared" si="108"/>
        <v>60264368.75523009</v>
      </c>
      <c r="BR81" s="53">
        <f t="shared" si="72"/>
        <v>53372876.915138304</v>
      </c>
      <c r="BS81" s="53">
        <v>60885878</v>
      </c>
      <c r="BT81" s="53"/>
      <c r="BU81" s="53">
        <f t="shared" si="85"/>
        <v>25.002444888977042</v>
      </c>
      <c r="BV81" s="53">
        <f t="shared" si="86"/>
        <v>13.297037787728202</v>
      </c>
      <c r="BW81" s="53">
        <f t="shared" si="87"/>
        <v>1.9493272486877182</v>
      </c>
      <c r="BX81" s="53">
        <f t="shared" si="88"/>
        <v>0.12421709473354073</v>
      </c>
      <c r="BY81" s="53">
        <f t="shared" si="89"/>
        <v>0.014082250785461816</v>
      </c>
      <c r="BZ81" s="53">
        <f t="shared" si="90"/>
        <v>41.66523656029702</v>
      </c>
      <c r="CA81" s="53">
        <f t="shared" si="91"/>
        <v>13.616008529889424</v>
      </c>
      <c r="CB81" s="53">
        <f t="shared" si="92"/>
        <v>4.331645638901592</v>
      </c>
      <c r="CD81" s="53">
        <f t="shared" si="93"/>
        <v>31.283417776566353</v>
      </c>
      <c r="CF81" s="53">
        <f t="shared" si="94"/>
        <v>-3.377809106635606</v>
      </c>
      <c r="CG81" s="53">
        <f t="shared" si="95"/>
        <v>6.853915006381451</v>
      </c>
      <c r="CH81" s="53">
        <f t="shared" si="96"/>
        <v>0.08185354910717235</v>
      </c>
      <c r="CI81" s="53">
        <f t="shared" si="97"/>
        <v>1.3665792956375178</v>
      </c>
      <c r="CJ81" s="53">
        <f t="shared" si="98"/>
        <v>0.04266243123980926</v>
      </c>
      <c r="CK81" s="53">
        <f t="shared" si="99"/>
        <v>-7.463571811768176</v>
      </c>
      <c r="CL81" s="53">
        <f t="shared" si="100"/>
        <v>-0.23718894974092564</v>
      </c>
      <c r="CM81" s="53">
        <f t="shared" si="101"/>
        <v>2.7335595857787514</v>
      </c>
      <c r="CO81" s="53">
        <f t="shared" si="102"/>
        <v>-0.5623959717496838</v>
      </c>
      <c r="CP81" s="53">
        <f t="shared" si="103"/>
        <v>0</v>
      </c>
      <c r="CQ81" s="53">
        <f t="shared" si="104"/>
        <v>44.70467265902809</v>
      </c>
    </row>
    <row r="82" spans="1:95" ht="15">
      <c r="A82" s="54" t="s">
        <v>20</v>
      </c>
      <c r="B82" s="70">
        <v>6</v>
      </c>
      <c r="C82" s="16">
        <v>32085184</v>
      </c>
      <c r="D82" s="51">
        <v>0.15876453986920414</v>
      </c>
      <c r="E82" s="16">
        <f t="shared" si="73"/>
        <v>5093989.474378751</v>
      </c>
      <c r="F82" s="51"/>
      <c r="G82" s="16"/>
      <c r="H82" s="51">
        <v>0.022490534482217828</v>
      </c>
      <c r="I82" s="52">
        <f t="shared" si="105"/>
        <v>0</v>
      </c>
      <c r="J82" s="52">
        <f t="shared" si="106"/>
        <v>0</v>
      </c>
      <c r="K82" s="52">
        <f t="shared" si="107"/>
        <v>0</v>
      </c>
      <c r="L82" s="16">
        <f t="shared" si="74"/>
        <v>721612.9371203037</v>
      </c>
      <c r="M82" s="16">
        <f t="shared" si="75"/>
        <v>26991194.52562125</v>
      </c>
      <c r="N82" s="52">
        <f t="shared" si="76"/>
        <v>0.005622633620554457</v>
      </c>
      <c r="O82" s="51">
        <f t="shared" si="77"/>
        <v>0</v>
      </c>
      <c r="P82" s="16">
        <f t="shared" si="78"/>
        <v>0</v>
      </c>
      <c r="Q82" s="51"/>
      <c r="R82" s="16">
        <f t="shared" si="79"/>
        <v>39613124.05989754</v>
      </c>
      <c r="S82" s="16">
        <f t="shared" si="80"/>
        <v>39695848.34652365</v>
      </c>
      <c r="T82" s="16">
        <f t="shared" si="81"/>
        <v>40371505.50737032</v>
      </c>
      <c r="U82" s="16">
        <f t="shared" si="82"/>
        <v>46030160.85989754</v>
      </c>
      <c r="V82" s="16">
        <f t="shared" si="83"/>
        <v>46112885.146523654</v>
      </c>
      <c r="W82" s="16">
        <f t="shared" si="84"/>
        <v>46788542.30737032</v>
      </c>
      <c r="X82" s="54"/>
      <c r="Y82" s="53">
        <v>235</v>
      </c>
      <c r="Z82" s="53">
        <v>80</v>
      </c>
      <c r="AA82" s="53">
        <v>549</v>
      </c>
      <c r="AB82" s="53">
        <v>204</v>
      </c>
      <c r="AC82" s="53">
        <v>81</v>
      </c>
      <c r="AD82" s="53">
        <v>18</v>
      </c>
      <c r="AE82" s="53">
        <v>0</v>
      </c>
      <c r="AF82" s="53">
        <v>0</v>
      </c>
      <c r="AG82" s="53">
        <v>39</v>
      </c>
      <c r="AH82" s="53">
        <v>40</v>
      </c>
      <c r="AI82" s="53">
        <v>200</v>
      </c>
      <c r="AJ82" s="53">
        <v>168</v>
      </c>
      <c r="AK82" s="53">
        <v>9000</v>
      </c>
      <c r="AL82" s="53">
        <v>3</v>
      </c>
      <c r="AM82" s="53">
        <v>600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53">
        <v>0</v>
      </c>
      <c r="AT82" s="53">
        <v>102</v>
      </c>
      <c r="AU82" s="53">
        <v>239000</v>
      </c>
      <c r="AV82" s="53">
        <v>7</v>
      </c>
      <c r="AW82" s="53">
        <v>5780</v>
      </c>
      <c r="AX82" s="53">
        <v>1019</v>
      </c>
      <c r="AY82" s="53">
        <v>0</v>
      </c>
      <c r="AZ82" s="53">
        <v>0</v>
      </c>
      <c r="BA82" s="53">
        <v>4</v>
      </c>
      <c r="BB82" s="53">
        <v>20</v>
      </c>
      <c r="BC82" s="53">
        <v>17901</v>
      </c>
      <c r="BD82" s="53">
        <v>2994755</v>
      </c>
      <c r="BF82" s="53">
        <f t="shared" si="63"/>
        <v>13191684</v>
      </c>
      <c r="BG82" s="53">
        <f t="shared" si="64"/>
        <v>5211340</v>
      </c>
      <c r="BH82" s="53">
        <f t="shared" si="65"/>
        <v>1379346</v>
      </c>
      <c r="BI82" s="53">
        <f t="shared" si="66"/>
        <v>114097.2</v>
      </c>
      <c r="BJ82" s="53">
        <f t="shared" si="67"/>
        <v>10160</v>
      </c>
      <c r="BK82" s="53">
        <f>SUMIF(Renseanlæg!$A:$A,SPILDEVAND!A82,Renseanlæg!$I:$I)</f>
        <v>13503313.459897542</v>
      </c>
      <c r="BL82" s="53">
        <f t="shared" si="68"/>
        <v>4040742.6</v>
      </c>
      <c r="BM82" s="53">
        <f t="shared" si="69"/>
        <v>2162440.8</v>
      </c>
      <c r="BN82" s="53">
        <v>29.693019065002645</v>
      </c>
      <c r="BO82" s="53">
        <f t="shared" si="70"/>
        <v>0.015339331619537275</v>
      </c>
      <c r="BP82" s="53">
        <f t="shared" si="71"/>
        <v>39613124.05989754</v>
      </c>
      <c r="BQ82" s="53">
        <f t="shared" si="108"/>
        <v>39695848.34652365</v>
      </c>
      <c r="BR82" s="53">
        <f t="shared" si="72"/>
        <v>40371505.50737032</v>
      </c>
      <c r="BS82" s="53">
        <v>26814153</v>
      </c>
      <c r="BT82" s="53"/>
      <c r="BU82" s="53">
        <f t="shared" si="85"/>
        <v>33.30129676228854</v>
      </c>
      <c r="BV82" s="53">
        <f t="shared" si="86"/>
        <v>13.155589526643052</v>
      </c>
      <c r="BW82" s="53">
        <f t="shared" si="87"/>
        <v>3.4820429661501624</v>
      </c>
      <c r="BX82" s="53">
        <f t="shared" si="88"/>
        <v>0.2880287851760387</v>
      </c>
      <c r="BY82" s="53">
        <f t="shared" si="89"/>
        <v>0.025648065486169276</v>
      </c>
      <c r="BZ82" s="53">
        <f t="shared" si="90"/>
        <v>34.087979123988504</v>
      </c>
      <c r="CA82" s="53">
        <f t="shared" si="91"/>
        <v>10.200514844247433</v>
      </c>
      <c r="CB82" s="53">
        <f t="shared" si="92"/>
        <v>5.4588999260201065</v>
      </c>
      <c r="CD82" s="53">
        <f t="shared" si="93"/>
        <v>42.24223965445881</v>
      </c>
      <c r="CF82" s="53">
        <f t="shared" si="94"/>
        <v>-11.676660979947101</v>
      </c>
      <c r="CG82" s="53">
        <f t="shared" si="95"/>
        <v>6.995363267466601</v>
      </c>
      <c r="CH82" s="53">
        <f t="shared" si="96"/>
        <v>-1.4508621683552718</v>
      </c>
      <c r="CI82" s="53">
        <f t="shared" si="97"/>
        <v>1.20276760519502</v>
      </c>
      <c r="CJ82" s="53">
        <f t="shared" si="98"/>
        <v>0.031096616539101805</v>
      </c>
      <c r="CK82" s="53">
        <f t="shared" si="99"/>
        <v>0.11368562454033793</v>
      </c>
      <c r="CL82" s="53">
        <f t="shared" si="100"/>
        <v>3.178304735901065</v>
      </c>
      <c r="CM82" s="53">
        <f t="shared" si="101"/>
        <v>1.6063052986602369</v>
      </c>
      <c r="CO82" s="53">
        <f t="shared" si="102"/>
        <v>-11.521217849642138</v>
      </c>
      <c r="CP82" s="53">
        <f t="shared" si="103"/>
        <v>0</v>
      </c>
      <c r="CQ82" s="53">
        <f t="shared" si="104"/>
        <v>55.685857966277894</v>
      </c>
    </row>
    <row r="83" spans="1:95" ht="15">
      <c r="A83" s="54" t="s">
        <v>7</v>
      </c>
      <c r="B83" s="70">
        <v>6</v>
      </c>
      <c r="C83" s="16">
        <v>28356440</v>
      </c>
      <c r="D83" s="51">
        <v>0.2771224791991773</v>
      </c>
      <c r="E83" s="16">
        <f t="shared" si="73"/>
        <v>7858206.95406272</v>
      </c>
      <c r="F83" s="51"/>
      <c r="G83" s="16"/>
      <c r="H83" s="51">
        <v>0.14084847805944778</v>
      </c>
      <c r="I83" s="52">
        <f t="shared" si="105"/>
        <v>0</v>
      </c>
      <c r="J83" s="52">
        <f t="shared" si="106"/>
        <v>0</v>
      </c>
      <c r="K83" s="52">
        <f t="shared" si="107"/>
        <v>0</v>
      </c>
      <c r="L83" s="16">
        <f t="shared" si="74"/>
        <v>3993961.4171840474</v>
      </c>
      <c r="M83" s="16">
        <f t="shared" si="75"/>
        <v>20498233.04593728</v>
      </c>
      <c r="N83" s="52">
        <f t="shared" si="76"/>
        <v>0.035212119514861945</v>
      </c>
      <c r="O83" s="51">
        <f t="shared" si="77"/>
        <v>0.035212119514861945</v>
      </c>
      <c r="P83" s="16">
        <f t="shared" si="78"/>
        <v>998490.3542960119</v>
      </c>
      <c r="Q83" s="51"/>
      <c r="R83" s="16">
        <f t="shared" si="79"/>
        <v>30083849.84020745</v>
      </c>
      <c r="S83" s="16">
        <f t="shared" si="80"/>
        <v>31984794.848248146</v>
      </c>
      <c r="T83" s="16">
        <f t="shared" si="81"/>
        <v>30075270.23694338</v>
      </c>
      <c r="U83" s="16">
        <f t="shared" si="82"/>
        <v>35755137.84020745</v>
      </c>
      <c r="V83" s="16">
        <f t="shared" si="83"/>
        <v>37656082.84824815</v>
      </c>
      <c r="W83" s="16">
        <f t="shared" si="84"/>
        <v>35746558.23694338</v>
      </c>
      <c r="X83" s="54"/>
      <c r="Y83" s="53">
        <f>235024/1000</f>
        <v>235.024</v>
      </c>
      <c r="Z83" s="53">
        <v>120</v>
      </c>
      <c r="AA83" s="53">
        <v>344</v>
      </c>
      <c r="AB83" s="53">
        <v>333</v>
      </c>
      <c r="AC83" s="53">
        <v>8</v>
      </c>
      <c r="AD83" s="53">
        <v>10</v>
      </c>
      <c r="AE83" s="53">
        <v>0</v>
      </c>
      <c r="AF83" s="53">
        <v>0</v>
      </c>
      <c r="AG83" s="53">
        <v>15</v>
      </c>
      <c r="AH83" s="53">
        <v>20</v>
      </c>
      <c r="AI83" s="53">
        <v>100</v>
      </c>
      <c r="AJ83" s="53">
        <v>160</v>
      </c>
      <c r="AK83" s="53">
        <v>9000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71</v>
      </c>
      <c r="AU83" s="53">
        <v>163192</v>
      </c>
      <c r="AV83" s="53">
        <v>28</v>
      </c>
      <c r="AW83" s="53">
        <v>24634</v>
      </c>
      <c r="AX83" s="53">
        <v>795</v>
      </c>
      <c r="AY83" s="53">
        <v>8</v>
      </c>
      <c r="AZ83" s="53">
        <v>0</v>
      </c>
      <c r="BA83" s="53">
        <v>0</v>
      </c>
      <c r="BB83" s="53">
        <v>0</v>
      </c>
      <c r="BC83" s="53">
        <v>15064</v>
      </c>
      <c r="BD83" s="53">
        <v>4395592</v>
      </c>
      <c r="BF83" s="53">
        <f t="shared" si="63"/>
        <v>5983614.6959999995</v>
      </c>
      <c r="BG83" s="53">
        <f t="shared" si="64"/>
        <v>4271160</v>
      </c>
      <c r="BH83" s="53">
        <f t="shared" si="65"/>
        <v>960133</v>
      </c>
      <c r="BI83" s="53">
        <f t="shared" si="66"/>
        <v>486275.16</v>
      </c>
      <c r="BJ83" s="53">
        <f t="shared" si="67"/>
        <v>0</v>
      </c>
      <c r="BK83" s="53">
        <f>SUMIF(Renseanlæg!$A:$A,SPILDEVAND!A83,Renseanlæg!$I:$I)</f>
        <v>13372461.18420745</v>
      </c>
      <c r="BL83" s="53">
        <f t="shared" si="68"/>
        <v>3190474.6</v>
      </c>
      <c r="BM83" s="53">
        <f t="shared" si="69"/>
        <v>1819731.2</v>
      </c>
      <c r="BN83" s="53">
        <v>33.511763928440224</v>
      </c>
      <c r="BO83" s="53">
        <f t="shared" si="70"/>
        <v>0.014346338750352372</v>
      </c>
      <c r="BP83" s="53">
        <f t="shared" si="71"/>
        <v>30083849.84020745</v>
      </c>
      <c r="BQ83" s="53">
        <f t="shared" si="108"/>
        <v>31984794.848248146</v>
      </c>
      <c r="BR83" s="53">
        <f t="shared" si="72"/>
        <v>30075270.23694338</v>
      </c>
      <c r="BS83" s="53">
        <v>25766022</v>
      </c>
      <c r="BT83" s="53"/>
      <c r="BU83" s="53">
        <f t="shared" si="85"/>
        <v>19.889790461601166</v>
      </c>
      <c r="BV83" s="53">
        <f t="shared" si="86"/>
        <v>14.19751801277621</v>
      </c>
      <c r="BW83" s="53">
        <f t="shared" si="87"/>
        <v>3.1915230434263435</v>
      </c>
      <c r="BX83" s="53">
        <f t="shared" si="88"/>
        <v>1.6163993723638623</v>
      </c>
      <c r="BY83" s="53">
        <f t="shared" si="89"/>
        <v>0</v>
      </c>
      <c r="BZ83" s="53">
        <f t="shared" si="90"/>
        <v>44.450631336202804</v>
      </c>
      <c r="CA83" s="53">
        <f t="shared" si="91"/>
        <v>10.605273649969792</v>
      </c>
      <c r="CB83" s="53">
        <f t="shared" si="92"/>
        <v>6.048864123659818</v>
      </c>
      <c r="CD83" s="53">
        <f t="shared" si="93"/>
        <v>29.130177628687328</v>
      </c>
      <c r="CF83" s="53">
        <f t="shared" si="94"/>
        <v>1.7348453207402699</v>
      </c>
      <c r="CG83" s="53">
        <f t="shared" si="95"/>
        <v>5.953434781333442</v>
      </c>
      <c r="CH83" s="53">
        <f t="shared" si="96"/>
        <v>-1.160342245631453</v>
      </c>
      <c r="CI83" s="53">
        <f t="shared" si="97"/>
        <v>-0.12560298199280373</v>
      </c>
      <c r="CJ83" s="53">
        <f t="shared" si="98"/>
        <v>0.05674468202527108</v>
      </c>
      <c r="CK83" s="53">
        <f t="shared" si="99"/>
        <v>-10.248966587673962</v>
      </c>
      <c r="CL83" s="53">
        <f t="shared" si="100"/>
        <v>2.773545930178706</v>
      </c>
      <c r="CM83" s="53">
        <f t="shared" si="101"/>
        <v>1.016341101020525</v>
      </c>
      <c r="CO83" s="53">
        <f t="shared" si="102"/>
        <v>1.590844176129341</v>
      </c>
      <c r="CP83" s="53">
        <f t="shared" si="103"/>
        <v>0</v>
      </c>
      <c r="CQ83" s="53">
        <f t="shared" si="104"/>
        <v>44.94409501382741</v>
      </c>
    </row>
    <row r="84" spans="1:95" ht="15">
      <c r="A84" s="54" t="s">
        <v>130</v>
      </c>
      <c r="B84" s="70">
        <v>6</v>
      </c>
      <c r="C84" s="16">
        <v>10387414.97253072</v>
      </c>
      <c r="D84" s="51">
        <v>0.20962927264684994</v>
      </c>
      <c r="E84" s="16">
        <f t="shared" si="73"/>
        <v>2177506.245372614</v>
      </c>
      <c r="F84" s="51"/>
      <c r="G84" s="16"/>
      <c r="H84" s="51">
        <v>0.08064267342168907</v>
      </c>
      <c r="I84" s="52">
        <f t="shared" si="105"/>
        <v>0</v>
      </c>
      <c r="J84" s="52">
        <f t="shared" si="106"/>
        <v>0</v>
      </c>
      <c r="K84" s="52">
        <f t="shared" si="107"/>
        <v>0</v>
      </c>
      <c r="L84" s="16">
        <f t="shared" si="74"/>
        <v>837668.9133253583</v>
      </c>
      <c r="M84" s="16">
        <f t="shared" si="75"/>
        <v>8209908.727158107</v>
      </c>
      <c r="N84" s="52">
        <f t="shared" si="76"/>
        <v>0.020160668355422268</v>
      </c>
      <c r="O84" s="51">
        <f t="shared" si="77"/>
        <v>0.020160668355422268</v>
      </c>
      <c r="P84" s="16">
        <f t="shared" si="78"/>
        <v>209417.22833133957</v>
      </c>
      <c r="Q84" s="51"/>
      <c r="R84" s="16">
        <f t="shared" si="79"/>
        <v>11938023.694381718</v>
      </c>
      <c r="S84" s="16">
        <f t="shared" si="80"/>
        <v>13472424.733286666</v>
      </c>
      <c r="T84" s="16">
        <f t="shared" si="81"/>
        <v>13978749.423917526</v>
      </c>
      <c r="U84" s="16">
        <f t="shared" si="82"/>
        <v>14015506.688887862</v>
      </c>
      <c r="V84" s="16">
        <f t="shared" si="83"/>
        <v>15549907.72779281</v>
      </c>
      <c r="W84" s="16">
        <f t="shared" si="84"/>
        <v>16056232.418423671</v>
      </c>
      <c r="X84" s="54"/>
      <c r="Y84" s="53">
        <v>7</v>
      </c>
      <c r="Z84" s="53">
        <v>43</v>
      </c>
      <c r="AA84" s="53">
        <v>32</v>
      </c>
      <c r="AB84" s="53">
        <v>185</v>
      </c>
      <c r="AC84" s="53">
        <v>3</v>
      </c>
      <c r="AD84" s="53">
        <v>18</v>
      </c>
      <c r="AE84" s="53">
        <v>0</v>
      </c>
      <c r="AF84" s="53">
        <v>0</v>
      </c>
      <c r="AG84" s="53">
        <v>82</v>
      </c>
      <c r="AH84" s="53">
        <v>0</v>
      </c>
      <c r="AI84" s="53">
        <v>0</v>
      </c>
      <c r="AJ84" s="53">
        <v>23</v>
      </c>
      <c r="AK84" s="53">
        <v>843</v>
      </c>
      <c r="AL84" s="53">
        <v>5</v>
      </c>
      <c r="AM84" s="53">
        <v>917</v>
      </c>
      <c r="AN84" s="53">
        <v>1</v>
      </c>
      <c r="AO84" s="53">
        <v>457</v>
      </c>
      <c r="AP84" s="53">
        <v>1</v>
      </c>
      <c r="AQ84" s="53">
        <v>933</v>
      </c>
      <c r="AR84" s="53">
        <v>0</v>
      </c>
      <c r="AS84" s="53">
        <v>0</v>
      </c>
      <c r="AT84" s="53">
        <v>13</v>
      </c>
      <c r="AU84" s="53">
        <v>63816</v>
      </c>
      <c r="AV84" s="53">
        <v>0</v>
      </c>
      <c r="AW84" s="53">
        <v>0</v>
      </c>
      <c r="AX84" s="53">
        <v>464</v>
      </c>
      <c r="AY84" s="53">
        <v>0</v>
      </c>
      <c r="AZ84" s="53">
        <v>0</v>
      </c>
      <c r="BA84" s="53">
        <v>0</v>
      </c>
      <c r="BB84" s="53">
        <v>0</v>
      </c>
      <c r="BC84" s="53">
        <v>6652</v>
      </c>
      <c r="BD84" s="53">
        <v>1128614</v>
      </c>
      <c r="BF84" s="53">
        <f t="shared" si="63"/>
        <v>2971341</v>
      </c>
      <c r="BG84" s="53">
        <f t="shared" si="64"/>
        <v>2278365</v>
      </c>
      <c r="BH84" s="53">
        <f t="shared" si="65"/>
        <v>175799</v>
      </c>
      <c r="BI84" s="53">
        <f t="shared" si="66"/>
        <v>0</v>
      </c>
      <c r="BJ84" s="53">
        <f t="shared" si="67"/>
        <v>0</v>
      </c>
      <c r="BK84" s="53">
        <f>SUMIF(Renseanlæg!$A:$A,SPILDEVAND!A84,Renseanlæg!$I:$I)</f>
        <v>3869011.4943817193</v>
      </c>
      <c r="BL84" s="53">
        <f t="shared" si="68"/>
        <v>1839945.6</v>
      </c>
      <c r="BM84" s="53">
        <f t="shared" si="69"/>
        <v>803561.6</v>
      </c>
      <c r="BN84" s="53">
        <v>37.59566088044723</v>
      </c>
      <c r="BO84" s="53">
        <f t="shared" si="70"/>
        <v>0.023097222222222224</v>
      </c>
      <c r="BP84" s="53">
        <f t="shared" si="71"/>
        <v>11938023.694381718</v>
      </c>
      <c r="BQ84" s="53">
        <f t="shared" si="108"/>
        <v>13472424.733286666</v>
      </c>
      <c r="BR84" s="53">
        <f t="shared" si="72"/>
        <v>13978749.423917526</v>
      </c>
      <c r="BS84" s="53">
        <v>9213655</v>
      </c>
      <c r="BT84" s="53"/>
      <c r="BU84" s="53">
        <f t="shared" si="85"/>
        <v>24.88972275535334</v>
      </c>
      <c r="BV84" s="53">
        <f t="shared" si="86"/>
        <v>19.084942854253555</v>
      </c>
      <c r="BW84" s="53">
        <f t="shared" si="87"/>
        <v>1.4725971777282925</v>
      </c>
      <c r="BX84" s="53">
        <f t="shared" si="88"/>
        <v>0</v>
      </c>
      <c r="BY84" s="53">
        <f t="shared" si="89"/>
        <v>0</v>
      </c>
      <c r="BZ84" s="53">
        <f t="shared" si="90"/>
        <v>32.4091457131431</v>
      </c>
      <c r="CA84" s="53">
        <f t="shared" si="91"/>
        <v>15.412480717942593</v>
      </c>
      <c r="CB84" s="53">
        <f t="shared" si="92"/>
        <v>6.7311107815791384</v>
      </c>
      <c r="CD84" s="53">
        <f t="shared" si="93"/>
        <v>33.09343071466077</v>
      </c>
      <c r="CF84" s="53">
        <f t="shared" si="94"/>
        <v>-3.265086973011904</v>
      </c>
      <c r="CG84" s="53">
        <f t="shared" si="95"/>
        <v>1.066009939856098</v>
      </c>
      <c r="CH84" s="53">
        <f t="shared" si="96"/>
        <v>0.5585836200665981</v>
      </c>
      <c r="CI84" s="53">
        <f t="shared" si="97"/>
        <v>1.4907963903710586</v>
      </c>
      <c r="CJ84" s="53">
        <f t="shared" si="98"/>
        <v>0.05674468202527108</v>
      </c>
      <c r="CK84" s="53">
        <f t="shared" si="99"/>
        <v>1.7925190353857445</v>
      </c>
      <c r="CL84" s="53">
        <f t="shared" si="100"/>
        <v>-2.0336611377940947</v>
      </c>
      <c r="CM84" s="53">
        <f t="shared" si="101"/>
        <v>0.33409444310120495</v>
      </c>
      <c r="CO84" s="53">
        <f t="shared" si="102"/>
        <v>-2.3724089098441006</v>
      </c>
      <c r="CP84" s="53">
        <f t="shared" si="103"/>
        <v>0</v>
      </c>
      <c r="CQ84" s="53">
        <f t="shared" si="104"/>
        <v>52.178373568914324</v>
      </c>
    </row>
    <row r="85" spans="1:95" ht="15">
      <c r="A85" s="54" t="s">
        <v>133</v>
      </c>
      <c r="B85" s="70">
        <v>4</v>
      </c>
      <c r="C85" s="16">
        <v>20133840</v>
      </c>
      <c r="D85" s="51">
        <v>0.5365706671123485</v>
      </c>
      <c r="E85" s="16">
        <f t="shared" si="73"/>
        <v>10803227.960333286</v>
      </c>
      <c r="F85" s="51"/>
      <c r="G85" s="16"/>
      <c r="H85" s="51">
        <v>0.4002966659726188</v>
      </c>
      <c r="I85" s="52">
        <f t="shared" si="105"/>
        <v>0</v>
      </c>
      <c r="J85" s="52">
        <f t="shared" si="106"/>
        <v>0</v>
      </c>
      <c r="K85" s="52">
        <f t="shared" si="107"/>
        <v>0</v>
      </c>
      <c r="L85" s="16">
        <f>IF(J85&lt;0,(H85+J85)*C85,H85*C85)</f>
        <v>8059509.025226152</v>
      </c>
      <c r="M85" s="16">
        <f t="shared" si="75"/>
        <v>9330612.039666714</v>
      </c>
      <c r="N85" s="52">
        <f t="shared" si="76"/>
        <v>0.1000741664931547</v>
      </c>
      <c r="O85" s="51">
        <f t="shared" si="77"/>
        <v>0.05</v>
      </c>
      <c r="P85" s="16">
        <f>C85*O85</f>
        <v>1006692</v>
      </c>
      <c r="Q85" s="51"/>
      <c r="R85" s="16">
        <f t="shared" si="79"/>
        <v>13693899.18530823</v>
      </c>
      <c r="S85" s="16">
        <f t="shared" si="80"/>
        <v>14115784.181190241</v>
      </c>
      <c r="T85" s="16">
        <f t="shared" si="81"/>
        <v>15058283.911991015</v>
      </c>
      <c r="U85" s="16">
        <f t="shared" si="82"/>
        <v>17720667.18530823</v>
      </c>
      <c r="V85" s="16">
        <f t="shared" si="83"/>
        <v>18142552.18119024</v>
      </c>
      <c r="W85" s="16">
        <f t="shared" si="84"/>
        <v>19085051.911991015</v>
      </c>
      <c r="X85" s="54"/>
      <c r="Y85" s="53">
        <v>130</v>
      </c>
      <c r="Z85" s="53">
        <v>121</v>
      </c>
      <c r="AA85" s="53">
        <v>86</v>
      </c>
      <c r="AB85" s="53">
        <v>45</v>
      </c>
      <c r="AC85" s="53">
        <v>0</v>
      </c>
      <c r="AD85" s="53">
        <v>0</v>
      </c>
      <c r="AE85" s="53">
        <v>0</v>
      </c>
      <c r="AF85" s="53">
        <v>0</v>
      </c>
      <c r="AG85" s="53">
        <v>12</v>
      </c>
      <c r="AH85" s="53">
        <v>11</v>
      </c>
      <c r="AI85" s="53">
        <v>55</v>
      </c>
      <c r="AJ85" s="53">
        <v>91</v>
      </c>
      <c r="AK85" s="53">
        <v>3185</v>
      </c>
      <c r="AL85" s="53">
        <v>3</v>
      </c>
      <c r="AM85" s="53">
        <v>1400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19</v>
      </c>
      <c r="AU85" s="53">
        <v>21995</v>
      </c>
      <c r="AV85" s="53">
        <v>14</v>
      </c>
      <c r="AW85" s="53">
        <v>8197</v>
      </c>
      <c r="AX85" s="53">
        <v>105</v>
      </c>
      <c r="AY85" s="53">
        <v>0</v>
      </c>
      <c r="AZ85" s="53">
        <v>0</v>
      </c>
      <c r="BA85" s="53">
        <v>0</v>
      </c>
      <c r="BB85" s="53">
        <v>0</v>
      </c>
      <c r="BC85" s="53">
        <v>7431</v>
      </c>
      <c r="BD85" s="53">
        <v>2493218</v>
      </c>
      <c r="BF85" s="53">
        <f t="shared" si="63"/>
        <v>1634578</v>
      </c>
      <c r="BG85" s="53">
        <f t="shared" si="64"/>
        <v>2755596</v>
      </c>
      <c r="BH85" s="53">
        <f t="shared" si="65"/>
        <v>256937</v>
      </c>
      <c r="BI85" s="53">
        <f t="shared" si="66"/>
        <v>161808.78</v>
      </c>
      <c r="BJ85" s="53">
        <f t="shared" si="67"/>
        <v>0</v>
      </c>
      <c r="BK85" s="53">
        <f>SUMIF(Renseanlæg!$A:$A,SPILDEVAND!A85,Renseanlæg!$I:$I)</f>
        <v>7570947.605308228</v>
      </c>
      <c r="BL85" s="53">
        <f t="shared" si="68"/>
        <v>416367</v>
      </c>
      <c r="BM85" s="53">
        <f t="shared" si="69"/>
        <v>897664.7999999999</v>
      </c>
      <c r="BN85" s="53">
        <v>31.48801528865606</v>
      </c>
      <c r="BO85" s="53">
        <f t="shared" si="70"/>
        <v>0.01945287958115183</v>
      </c>
      <c r="BP85" s="53">
        <f t="shared" si="71"/>
        <v>13693899.18530823</v>
      </c>
      <c r="BQ85" s="53">
        <f t="shared" si="108"/>
        <v>14115784.181190241</v>
      </c>
      <c r="BR85" s="53">
        <f t="shared" si="72"/>
        <v>15058283.911991015</v>
      </c>
      <c r="BS85" s="53">
        <v>19732900</v>
      </c>
      <c r="BT85" s="53"/>
      <c r="BU85" s="53">
        <f t="shared" si="85"/>
        <v>11.936541797778746</v>
      </c>
      <c r="BV85" s="53">
        <f t="shared" si="86"/>
        <v>20.122800399731258</v>
      </c>
      <c r="BW85" s="53">
        <f t="shared" si="87"/>
        <v>1.8762880938663542</v>
      </c>
      <c r="BX85" s="53">
        <f t="shared" si="88"/>
        <v>1.181612174957442</v>
      </c>
      <c r="BY85" s="53">
        <f t="shared" si="89"/>
        <v>0</v>
      </c>
      <c r="BZ85" s="53">
        <f t="shared" si="90"/>
        <v>55.28701141184732</v>
      </c>
      <c r="CA85" s="53">
        <f t="shared" si="91"/>
        <v>3.0405291755521873</v>
      </c>
      <c r="CB85" s="53">
        <f t="shared" si="92"/>
        <v>6.55521694626668</v>
      </c>
      <c r="CD85" s="53">
        <f t="shared" si="93"/>
        <v>20.36804683791178</v>
      </c>
      <c r="CF85" s="53">
        <f t="shared" si="94"/>
        <v>9.68809398456269</v>
      </c>
      <c r="CG85" s="53">
        <f t="shared" si="95"/>
        <v>0.02815239437839523</v>
      </c>
      <c r="CH85" s="53">
        <f t="shared" si="96"/>
        <v>0.15489270392853638</v>
      </c>
      <c r="CI85" s="53">
        <f t="shared" si="97"/>
        <v>0.3091842154136166</v>
      </c>
      <c r="CJ85" s="53">
        <f t="shared" si="98"/>
        <v>0.05674468202527108</v>
      </c>
      <c r="CK85" s="53">
        <f t="shared" si="99"/>
        <v>-21.085346663318475</v>
      </c>
      <c r="CL85" s="53">
        <f t="shared" si="100"/>
        <v>10.33829040459631</v>
      </c>
      <c r="CM85" s="53">
        <f t="shared" si="101"/>
        <v>0.5099882784136636</v>
      </c>
      <c r="CO85" s="53">
        <f t="shared" si="102"/>
        <v>10.352974966904888</v>
      </c>
      <c r="CP85" s="53">
        <f t="shared" si="103"/>
        <v>0</v>
      </c>
      <c r="CQ85" s="53">
        <f t="shared" si="104"/>
        <v>41.67245941260049</v>
      </c>
    </row>
    <row r="86" spans="1:95" ht="15">
      <c r="A86" s="54" t="s">
        <v>59</v>
      </c>
      <c r="B86" s="70">
        <v>4</v>
      </c>
      <c r="C86" s="16">
        <v>54711697.89072734</v>
      </c>
      <c r="D86" s="51">
        <v>0.1898489949176756</v>
      </c>
      <c r="E86" s="16">
        <f t="shared" si="73"/>
        <v>10386960.854794098</v>
      </c>
      <c r="F86" s="51"/>
      <c r="G86" s="16"/>
      <c r="H86" s="51">
        <v>0.05357500125024195</v>
      </c>
      <c r="I86" s="52">
        <f t="shared" si="105"/>
        <v>0</v>
      </c>
      <c r="J86" s="52">
        <f t="shared" si="106"/>
        <v>0</v>
      </c>
      <c r="K86" s="52">
        <f t="shared" si="107"/>
        <v>0</v>
      </c>
      <c r="L86" s="16">
        <f t="shared" si="74"/>
        <v>2931179.282898577</v>
      </c>
      <c r="M86" s="16">
        <f t="shared" si="75"/>
        <v>44324737.03593324</v>
      </c>
      <c r="N86" s="52">
        <f t="shared" si="76"/>
        <v>0.013393750312560487</v>
      </c>
      <c r="O86" s="51">
        <f t="shared" si="77"/>
        <v>0.013393750312560487</v>
      </c>
      <c r="P86" s="16">
        <f t="shared" si="78"/>
        <v>732794.8207246442</v>
      </c>
      <c r="Q86" s="51"/>
      <c r="R86" s="16">
        <f t="shared" si="79"/>
        <v>65052374.710476145</v>
      </c>
      <c r="S86" s="16">
        <f t="shared" si="80"/>
        <v>72075110.15118434</v>
      </c>
      <c r="T86" s="16">
        <f t="shared" si="81"/>
        <v>47004090.11064324</v>
      </c>
      <c r="U86" s="16">
        <f t="shared" si="82"/>
        <v>75994714.28862162</v>
      </c>
      <c r="V86" s="16">
        <f t="shared" si="83"/>
        <v>83017449.72932981</v>
      </c>
      <c r="W86" s="16">
        <f t="shared" si="84"/>
        <v>57946429.688788705</v>
      </c>
      <c r="X86" s="54"/>
      <c r="Y86" s="53">
        <v>0</v>
      </c>
      <c r="Z86" s="53">
        <v>55</v>
      </c>
      <c r="AA86" s="53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4</v>
      </c>
      <c r="AS86" s="53">
        <v>20059</v>
      </c>
      <c r="AT86" s="53">
        <v>0</v>
      </c>
      <c r="AU86" s="53">
        <v>0</v>
      </c>
      <c r="AV86" s="53">
        <v>5</v>
      </c>
      <c r="AW86" s="53">
        <v>134400</v>
      </c>
      <c r="AX86" s="53">
        <v>0</v>
      </c>
      <c r="AY86" s="53">
        <v>0</v>
      </c>
      <c r="AZ86" s="53">
        <v>5965</v>
      </c>
      <c r="BA86" s="53">
        <v>0</v>
      </c>
      <c r="BB86" s="53">
        <v>0</v>
      </c>
      <c r="BC86" s="53">
        <v>10</v>
      </c>
      <c r="BD86" s="53">
        <v>15836495</v>
      </c>
      <c r="BF86" s="53">
        <f t="shared" si="63"/>
        <v>235345</v>
      </c>
      <c r="BG86" s="53">
        <f t="shared" si="64"/>
        <v>11995282</v>
      </c>
      <c r="BH86" s="53">
        <f t="shared" si="65"/>
        <v>0</v>
      </c>
      <c r="BI86" s="53">
        <f t="shared" si="66"/>
        <v>2653056</v>
      </c>
      <c r="BJ86" s="53">
        <f t="shared" si="67"/>
        <v>0</v>
      </c>
      <c r="BK86" s="53">
        <f>SUMIF(Renseanlæg!$A:$A,SPILDEVAND!A86,Renseanlæg!$I:$I)</f>
        <v>21847453.21047615</v>
      </c>
      <c r="BL86" s="53">
        <f t="shared" si="68"/>
        <v>28320030.5</v>
      </c>
      <c r="BM86" s="53">
        <f t="shared" si="69"/>
        <v>1208</v>
      </c>
      <c r="BN86" s="53">
        <v>36.3096935805224</v>
      </c>
      <c r="BO86" s="53">
        <f t="shared" si="70"/>
        <v>0.0001818181818181818</v>
      </c>
      <c r="BP86" s="53">
        <f t="shared" si="71"/>
        <v>65052374.710476145</v>
      </c>
      <c r="BQ86" s="53">
        <f t="shared" si="108"/>
        <v>72075110.15118434</v>
      </c>
      <c r="BR86" s="53">
        <f t="shared" si="72"/>
        <v>47004090.11064324</v>
      </c>
      <c r="BS86" s="53">
        <v>53836750</v>
      </c>
      <c r="BT86" s="53"/>
      <c r="BU86" s="53">
        <f t="shared" si="85"/>
        <v>0.3617777230230761</v>
      </c>
      <c r="BV86" s="53">
        <f t="shared" si="86"/>
        <v>18.43942216312091</v>
      </c>
      <c r="BW86" s="53">
        <f t="shared" si="87"/>
        <v>0</v>
      </c>
      <c r="BX86" s="53">
        <f t="shared" si="88"/>
        <v>4.078338433927682</v>
      </c>
      <c r="BY86" s="53">
        <f t="shared" si="89"/>
        <v>0</v>
      </c>
      <c r="BZ86" s="53">
        <f t="shared" si="90"/>
        <v>33.58440534678559</v>
      </c>
      <c r="CA86" s="53">
        <f t="shared" si="91"/>
        <v>43.534199367881484</v>
      </c>
      <c r="CB86" s="53">
        <f t="shared" si="92"/>
        <v>0.0018569652612627247</v>
      </c>
      <c r="CD86" s="53">
        <f t="shared" si="93"/>
        <v>0.3636346882843388</v>
      </c>
      <c r="CF86" s="53">
        <f t="shared" si="94"/>
        <v>21.26285805931836</v>
      </c>
      <c r="CG86" s="53">
        <f t="shared" si="95"/>
        <v>1.7115306309887437</v>
      </c>
      <c r="CH86" s="53">
        <f t="shared" si="96"/>
        <v>2.0311807977948906</v>
      </c>
      <c r="CI86" s="53">
        <f t="shared" si="97"/>
        <v>-2.587542043556623</v>
      </c>
      <c r="CJ86" s="53">
        <f t="shared" si="98"/>
        <v>0.05674468202527108</v>
      </c>
      <c r="CK86" s="53">
        <f t="shared" si="99"/>
        <v>0.6172594017432544</v>
      </c>
      <c r="CL86" s="53">
        <f t="shared" si="100"/>
        <v>-30.155379787732986</v>
      </c>
      <c r="CM86" s="53">
        <f t="shared" si="101"/>
        <v>7.06334825941908</v>
      </c>
      <c r="CO86" s="53">
        <f t="shared" si="102"/>
        <v>30.35738711653233</v>
      </c>
      <c r="CP86" s="53">
        <f t="shared" si="103"/>
        <v>0</v>
      </c>
      <c r="CQ86" s="53">
        <f t="shared" si="104"/>
        <v>22.88139528533293</v>
      </c>
    </row>
    <row r="87" spans="1:95" ht="15">
      <c r="A87" s="54" t="s">
        <v>97</v>
      </c>
      <c r="B87" s="70">
        <v>4</v>
      </c>
      <c r="C87" s="16">
        <v>17446523.15</v>
      </c>
      <c r="D87" s="51">
        <v>0.33045179615751363</v>
      </c>
      <c r="E87" s="16">
        <f t="shared" si="73"/>
        <v>5765234.911621142</v>
      </c>
      <c r="F87" s="51"/>
      <c r="G87" s="16"/>
      <c r="H87" s="51">
        <v>0.19417777939587455</v>
      </c>
      <c r="I87" s="52">
        <f t="shared" si="105"/>
        <v>0</v>
      </c>
      <c r="J87" s="52">
        <f t="shared" si="106"/>
        <v>0</v>
      </c>
      <c r="K87" s="52">
        <f t="shared" si="107"/>
        <v>0</v>
      </c>
      <c r="L87" s="16">
        <f t="shared" si="74"/>
        <v>3387727.123445718</v>
      </c>
      <c r="M87" s="16">
        <f t="shared" si="75"/>
        <v>11681288.238378856</v>
      </c>
      <c r="N87" s="52">
        <f t="shared" si="76"/>
        <v>0.04854444484896864</v>
      </c>
      <c r="O87" s="51">
        <f t="shared" si="77"/>
        <v>0.04854444484896864</v>
      </c>
      <c r="P87" s="16">
        <f t="shared" si="78"/>
        <v>846931.7808614295</v>
      </c>
      <c r="Q87" s="51"/>
      <c r="R87" s="16">
        <f t="shared" si="79"/>
        <v>17143825.488539506</v>
      </c>
      <c r="S87" s="16">
        <f t="shared" si="80"/>
        <v>16574565.97837847</v>
      </c>
      <c r="T87" s="16">
        <f t="shared" si="81"/>
        <v>17224505.2464394</v>
      </c>
      <c r="U87" s="16">
        <f t="shared" si="82"/>
        <v>20633130.118539505</v>
      </c>
      <c r="V87" s="16">
        <f t="shared" si="83"/>
        <v>20063870.60837847</v>
      </c>
      <c r="W87" s="16">
        <f t="shared" si="84"/>
        <v>20713809.8764394</v>
      </c>
      <c r="X87" s="54"/>
      <c r="Y87" s="53">
        <v>286</v>
      </c>
      <c r="Z87" s="53">
        <v>30</v>
      </c>
      <c r="AA87" s="53">
        <v>188</v>
      </c>
      <c r="AB87" s="53">
        <v>58</v>
      </c>
      <c r="AC87" s="53">
        <v>0</v>
      </c>
      <c r="AD87" s="53">
        <v>0</v>
      </c>
      <c r="AE87" s="53">
        <v>0</v>
      </c>
      <c r="AF87" s="53">
        <v>0</v>
      </c>
      <c r="AG87" s="53">
        <v>392</v>
      </c>
      <c r="AH87" s="53">
        <v>24</v>
      </c>
      <c r="AI87" s="53">
        <v>174</v>
      </c>
      <c r="AJ87" s="53">
        <v>64</v>
      </c>
      <c r="AK87" s="53">
        <v>2478</v>
      </c>
      <c r="AL87" s="53">
        <v>2</v>
      </c>
      <c r="AM87" s="53">
        <v>445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53">
        <v>0</v>
      </c>
      <c r="AT87" s="53">
        <v>17</v>
      </c>
      <c r="AU87" s="53">
        <v>55809</v>
      </c>
      <c r="AV87" s="53">
        <v>15</v>
      </c>
      <c r="AW87" s="53">
        <v>7155</v>
      </c>
      <c r="AX87" s="53">
        <v>568</v>
      </c>
      <c r="AY87" s="53">
        <v>0</v>
      </c>
      <c r="AZ87" s="53">
        <v>0</v>
      </c>
      <c r="BA87" s="53">
        <v>0</v>
      </c>
      <c r="BB87" s="53">
        <v>0</v>
      </c>
      <c r="BC87" s="53">
        <v>8206</v>
      </c>
      <c r="BD87" s="53">
        <v>1966550</v>
      </c>
      <c r="BF87" s="53">
        <f t="shared" si="63"/>
        <v>2404798</v>
      </c>
      <c r="BG87" s="53">
        <f t="shared" si="64"/>
        <v>4694856</v>
      </c>
      <c r="BH87" s="53">
        <f t="shared" si="65"/>
        <v>229891</v>
      </c>
      <c r="BI87" s="53">
        <f t="shared" si="66"/>
        <v>141239.69999999998</v>
      </c>
      <c r="BJ87" s="53">
        <f t="shared" si="67"/>
        <v>0</v>
      </c>
      <c r="BK87" s="53">
        <f>SUMIF(Renseanlæg!$A:$A,SPILDEVAND!A87,Renseanlæg!$I:$I)</f>
        <v>6429408.788539505</v>
      </c>
      <c r="BL87" s="53">
        <f t="shared" si="68"/>
        <v>2252347.2</v>
      </c>
      <c r="BM87" s="53">
        <f t="shared" si="69"/>
        <v>991284.7999999999</v>
      </c>
      <c r="BN87" s="53">
        <v>27.48719193011508</v>
      </c>
      <c r="BO87" s="53">
        <f t="shared" si="70"/>
        <v>0.014601423487544484</v>
      </c>
      <c r="BP87" s="53">
        <f t="shared" si="71"/>
        <v>17143825.488539506</v>
      </c>
      <c r="BQ87" s="53">
        <f t="shared" si="108"/>
        <v>16574565.97837847</v>
      </c>
      <c r="BR87" s="53">
        <f t="shared" si="72"/>
        <v>17224505.2464394</v>
      </c>
      <c r="BS87" s="53">
        <v>16732662</v>
      </c>
      <c r="BT87" s="53"/>
      <c r="BU87" s="53">
        <f t="shared" si="85"/>
        <v>14.027195981477913</v>
      </c>
      <c r="BV87" s="53">
        <f t="shared" si="86"/>
        <v>27.385113101731402</v>
      </c>
      <c r="BW87" s="53">
        <f t="shared" si="87"/>
        <v>1.3409550870293219</v>
      </c>
      <c r="BX87" s="53">
        <f t="shared" si="88"/>
        <v>0.8238517132271176</v>
      </c>
      <c r="BY87" s="53">
        <f t="shared" si="89"/>
        <v>0</v>
      </c>
      <c r="BZ87" s="53">
        <f t="shared" si="90"/>
        <v>37.50276618738045</v>
      </c>
      <c r="CA87" s="53">
        <f t="shared" si="91"/>
        <v>13.13794987883932</v>
      </c>
      <c r="CB87" s="53">
        <f t="shared" si="92"/>
        <v>5.78216805031447</v>
      </c>
      <c r="CD87" s="53">
        <f t="shared" si="93"/>
        <v>21.150319118821706</v>
      </c>
      <c r="CF87" s="53">
        <f t="shared" si="94"/>
        <v>7.597439800863523</v>
      </c>
      <c r="CG87" s="53">
        <f t="shared" si="95"/>
        <v>-7.2341603076217496</v>
      </c>
      <c r="CH87" s="53">
        <f t="shared" si="96"/>
        <v>0.6902257107655687</v>
      </c>
      <c r="CI87" s="53">
        <f t="shared" si="97"/>
        <v>0.666944677143941</v>
      </c>
      <c r="CJ87" s="53">
        <f t="shared" si="98"/>
        <v>0.05674468202527108</v>
      </c>
      <c r="CK87" s="53">
        <f t="shared" si="99"/>
        <v>-3.3011014388516102</v>
      </c>
      <c r="CL87" s="53">
        <f t="shared" si="100"/>
        <v>0.24086970130917784</v>
      </c>
      <c r="CM87" s="53">
        <f t="shared" si="101"/>
        <v>1.283037174365873</v>
      </c>
      <c r="CO87" s="53">
        <f t="shared" si="102"/>
        <v>9.570702685994963</v>
      </c>
      <c r="CP87" s="53">
        <f t="shared" si="103"/>
        <v>0</v>
      </c>
      <c r="CQ87" s="53">
        <f t="shared" si="104"/>
        <v>49.35928393378022</v>
      </c>
    </row>
    <row r="88" spans="1:95" ht="15">
      <c r="A88" s="54" t="s">
        <v>132</v>
      </c>
      <c r="B88" s="70">
        <v>4</v>
      </c>
      <c r="C88" s="16">
        <v>11698438.914987225</v>
      </c>
      <c r="D88" s="51">
        <v>0</v>
      </c>
      <c r="E88" s="16">
        <f t="shared" si="73"/>
        <v>0</v>
      </c>
      <c r="F88" s="51"/>
      <c r="G88" s="16"/>
      <c r="H88" s="51">
        <v>0</v>
      </c>
      <c r="I88" s="52">
        <f t="shared" si="105"/>
        <v>0</v>
      </c>
      <c r="J88" s="52">
        <f t="shared" si="106"/>
        <v>0</v>
      </c>
      <c r="K88" s="52">
        <f t="shared" si="107"/>
        <v>0</v>
      </c>
      <c r="L88" s="16">
        <f t="shared" si="74"/>
        <v>0</v>
      </c>
      <c r="M88" s="16">
        <v>12297012</v>
      </c>
      <c r="N88" s="52">
        <f t="shared" si="76"/>
        <v>0</v>
      </c>
      <c r="O88" s="51">
        <f t="shared" si="77"/>
        <v>0</v>
      </c>
      <c r="P88" s="16">
        <f t="shared" si="78"/>
        <v>0</v>
      </c>
      <c r="Q88" s="51"/>
      <c r="R88" s="16">
        <f t="shared" si="79"/>
        <v>17846843.01932452</v>
      </c>
      <c r="S88" s="16">
        <f t="shared" si="80"/>
        <v>22400387.919342857</v>
      </c>
      <c r="T88" s="16">
        <f t="shared" si="81"/>
        <v>19068847.534382593</v>
      </c>
      <c r="U88" s="16">
        <f t="shared" si="82"/>
        <v>20186530.802321963</v>
      </c>
      <c r="V88" s="16">
        <f t="shared" si="83"/>
        <v>24740075.7023403</v>
      </c>
      <c r="W88" s="16">
        <f t="shared" si="84"/>
        <v>21408535.317380037</v>
      </c>
      <c r="X88" s="54"/>
      <c r="Y88" s="53">
        <v>135</v>
      </c>
      <c r="Z88" s="53">
        <v>32</v>
      </c>
      <c r="AA88" s="53">
        <v>189</v>
      </c>
      <c r="AB88" s="53">
        <v>102</v>
      </c>
      <c r="AC88" s="53">
        <v>0</v>
      </c>
      <c r="AD88" s="53">
        <v>0</v>
      </c>
      <c r="AE88" s="53">
        <v>0</v>
      </c>
      <c r="AF88" s="53">
        <v>0</v>
      </c>
      <c r="AG88" s="53">
        <v>23</v>
      </c>
      <c r="AH88" s="53">
        <v>65</v>
      </c>
      <c r="AI88" s="53">
        <v>416</v>
      </c>
      <c r="AJ88" s="53">
        <v>13</v>
      </c>
      <c r="AK88" s="53">
        <v>348</v>
      </c>
      <c r="AL88" s="53">
        <v>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53">
        <v>0</v>
      </c>
      <c r="AT88" s="53">
        <v>12</v>
      </c>
      <c r="AU88" s="53">
        <v>10570</v>
      </c>
      <c r="AV88" s="53">
        <v>2</v>
      </c>
      <c r="AW88" s="53">
        <v>485</v>
      </c>
      <c r="AX88" s="53">
        <v>1168</v>
      </c>
      <c r="AY88" s="53">
        <v>0</v>
      </c>
      <c r="AZ88" s="53">
        <v>0</v>
      </c>
      <c r="BA88" s="53">
        <v>0</v>
      </c>
      <c r="BB88" s="53">
        <v>0</v>
      </c>
      <c r="BC88" s="53">
        <v>8180</v>
      </c>
      <c r="BD88" s="53">
        <v>1294727</v>
      </c>
      <c r="BF88" s="53">
        <f t="shared" si="63"/>
        <v>1959782</v>
      </c>
      <c r="BG88" s="53">
        <f t="shared" si="64"/>
        <v>1371740</v>
      </c>
      <c r="BH88" s="53">
        <f t="shared" si="65"/>
        <v>162276</v>
      </c>
      <c r="BI88" s="53">
        <f t="shared" si="66"/>
        <v>9573.9</v>
      </c>
      <c r="BJ88" s="53">
        <f t="shared" si="67"/>
        <v>0</v>
      </c>
      <c r="BK88" s="53">
        <f>SUMIF(Renseanlæg!$A:$A,SPILDEVAND!A88,Renseanlæg!$I:$I)</f>
        <v>8723739.91932452</v>
      </c>
      <c r="BL88" s="53">
        <f t="shared" si="68"/>
        <v>4631587.2</v>
      </c>
      <c r="BM88" s="53">
        <f t="shared" si="69"/>
        <v>988144</v>
      </c>
      <c r="BN88" s="53">
        <v>45.509105007002404</v>
      </c>
      <c r="BO88" s="53">
        <f t="shared" si="70"/>
        <v>0.017860262008733623</v>
      </c>
      <c r="BP88" s="53">
        <f t="shared" si="71"/>
        <v>17846843.01932452</v>
      </c>
      <c r="BQ88" s="53">
        <f t="shared" si="108"/>
        <v>22400387.919342857</v>
      </c>
      <c r="BR88" s="53">
        <f t="shared" si="72"/>
        <v>19068847.534382593</v>
      </c>
      <c r="BS88" s="53">
        <v>12020540</v>
      </c>
      <c r="BT88" s="53"/>
      <c r="BU88" s="53">
        <f t="shared" si="85"/>
        <v>10.981113006249636</v>
      </c>
      <c r="BV88" s="53">
        <f t="shared" si="86"/>
        <v>7.686177317269409</v>
      </c>
      <c r="BW88" s="53">
        <f t="shared" si="87"/>
        <v>0.909270058711717</v>
      </c>
      <c r="BX88" s="53">
        <f t="shared" si="88"/>
        <v>0.05364478182294428</v>
      </c>
      <c r="BY88" s="53">
        <f t="shared" si="89"/>
        <v>0</v>
      </c>
      <c r="BZ88" s="53">
        <f t="shared" si="90"/>
        <v>48.881137744521396</v>
      </c>
      <c r="CA88" s="53">
        <f t="shared" si="91"/>
        <v>25.951857115484955</v>
      </c>
      <c r="CB88" s="53">
        <f t="shared" si="92"/>
        <v>5.536799975939947</v>
      </c>
      <c r="CD88" s="53">
        <f t="shared" si="93"/>
        <v>17.4271830409013</v>
      </c>
      <c r="CF88" s="53">
        <f t="shared" si="94"/>
        <v>10.6435227760918</v>
      </c>
      <c r="CG88" s="53">
        <f t="shared" si="95"/>
        <v>12.464775476840245</v>
      </c>
      <c r="CH88" s="53">
        <f t="shared" si="96"/>
        <v>1.1219107390831735</v>
      </c>
      <c r="CI88" s="53">
        <f t="shared" si="97"/>
        <v>1.4371516085481144</v>
      </c>
      <c r="CJ88" s="53">
        <f t="shared" si="98"/>
        <v>0.05674468202527108</v>
      </c>
      <c r="CK88" s="53">
        <f t="shared" si="99"/>
        <v>-14.679472995992555</v>
      </c>
      <c r="CL88" s="53">
        <f t="shared" si="100"/>
        <v>-12.573037535336457</v>
      </c>
      <c r="CM88" s="53">
        <f t="shared" si="101"/>
        <v>1.5284052487403965</v>
      </c>
      <c r="CO88" s="53">
        <f t="shared" si="102"/>
        <v>13.293838763915367</v>
      </c>
      <c r="CP88" s="53">
        <f t="shared" si="103"/>
        <v>0</v>
      </c>
      <c r="CQ88" s="53">
        <f t="shared" si="104"/>
        <v>25.16700513999365</v>
      </c>
    </row>
    <row r="89" spans="1:95" ht="15">
      <c r="A89" s="54" t="s">
        <v>69</v>
      </c>
      <c r="B89" s="70">
        <v>6</v>
      </c>
      <c r="C89" s="16">
        <v>39808586</v>
      </c>
      <c r="D89" s="51">
        <v>0.3994832249027249</v>
      </c>
      <c r="E89" s="16">
        <f t="shared" si="73"/>
        <v>15902862.314097466</v>
      </c>
      <c r="F89" s="51"/>
      <c r="G89" s="16"/>
      <c r="H89" s="51">
        <v>0.2820205171506306</v>
      </c>
      <c r="I89" s="52">
        <f t="shared" si="105"/>
        <v>0</v>
      </c>
      <c r="J89" s="52">
        <f t="shared" si="106"/>
        <v>0</v>
      </c>
      <c r="K89" s="52">
        <f t="shared" si="107"/>
        <v>0</v>
      </c>
      <c r="L89" s="16">
        <f t="shared" si="74"/>
        <v>11226838.010755353</v>
      </c>
      <c r="M89" s="16">
        <f t="shared" si="75"/>
        <v>23905723.685902536</v>
      </c>
      <c r="N89" s="52">
        <f t="shared" si="76"/>
        <v>0.07050512928765765</v>
      </c>
      <c r="O89" s="51">
        <f t="shared" si="77"/>
        <v>0.05</v>
      </c>
      <c r="P89" s="16">
        <f t="shared" si="78"/>
        <v>1990429.3</v>
      </c>
      <c r="Q89" s="51"/>
      <c r="R89" s="16">
        <f t="shared" si="79"/>
        <v>33806012.948222354</v>
      </c>
      <c r="S89" s="16">
        <f t="shared" si="80"/>
        <v>34862975.78703887</v>
      </c>
      <c r="T89" s="16">
        <f t="shared" si="81"/>
        <v>40703510.62373456</v>
      </c>
      <c r="U89" s="16">
        <f t="shared" si="82"/>
        <v>41767730.14822236</v>
      </c>
      <c r="V89" s="16">
        <f t="shared" si="83"/>
        <v>42824692.98703887</v>
      </c>
      <c r="W89" s="16">
        <f t="shared" si="84"/>
        <v>48665227.82373457</v>
      </c>
      <c r="X89" s="54"/>
      <c r="Y89" s="53">
        <v>209</v>
      </c>
      <c r="Z89" s="53">
        <v>108</v>
      </c>
      <c r="AA89" s="53">
        <v>224</v>
      </c>
      <c r="AB89" s="53">
        <v>245</v>
      </c>
      <c r="AC89" s="53">
        <v>6</v>
      </c>
      <c r="AD89" s="53">
        <v>25</v>
      </c>
      <c r="AE89" s="53">
        <v>0</v>
      </c>
      <c r="AF89" s="53">
        <v>0</v>
      </c>
      <c r="AG89" s="53">
        <v>19</v>
      </c>
      <c r="AH89" s="53">
        <v>90</v>
      </c>
      <c r="AI89" s="53">
        <v>550</v>
      </c>
      <c r="AJ89" s="53">
        <v>83</v>
      </c>
      <c r="AK89" s="53">
        <v>2627</v>
      </c>
      <c r="AL89" s="53">
        <v>1</v>
      </c>
      <c r="AM89" s="53">
        <v>124</v>
      </c>
      <c r="AN89" s="53">
        <v>1</v>
      </c>
      <c r="AO89" s="53">
        <v>582</v>
      </c>
      <c r="AP89" s="53">
        <v>0</v>
      </c>
      <c r="AQ89" s="53">
        <v>0</v>
      </c>
      <c r="AR89" s="53">
        <v>0</v>
      </c>
      <c r="AS89" s="53">
        <v>0</v>
      </c>
      <c r="AT89" s="53">
        <v>49</v>
      </c>
      <c r="AU89" s="53">
        <v>164317</v>
      </c>
      <c r="AV89" s="53">
        <v>29</v>
      </c>
      <c r="AW89" s="53">
        <v>283385</v>
      </c>
      <c r="AX89" s="53">
        <v>0</v>
      </c>
      <c r="AY89" s="53">
        <v>0</v>
      </c>
      <c r="AZ89" s="53">
        <v>0</v>
      </c>
      <c r="BA89" s="53">
        <v>0</v>
      </c>
      <c r="BB89" s="53">
        <v>0</v>
      </c>
      <c r="BC89" s="53">
        <v>20252</v>
      </c>
      <c r="BD89" s="53">
        <v>5364564</v>
      </c>
      <c r="BF89" s="53">
        <f t="shared" si="63"/>
        <v>6063022</v>
      </c>
      <c r="BG89" s="53">
        <f t="shared" si="64"/>
        <v>3601821</v>
      </c>
      <c r="BH89" s="53">
        <f t="shared" si="65"/>
        <v>662627</v>
      </c>
      <c r="BI89" s="53">
        <f t="shared" si="66"/>
        <v>5594019.899999999</v>
      </c>
      <c r="BJ89" s="53">
        <f t="shared" si="67"/>
        <v>0</v>
      </c>
      <c r="BK89" s="53">
        <f>SUMIF(Renseanlæg!$A:$A,SPILDEVAND!A89,Renseanlæg!$I:$I)</f>
        <v>15438081.448222356</v>
      </c>
      <c r="BL89" s="53">
        <f t="shared" si="68"/>
        <v>0</v>
      </c>
      <c r="BM89" s="53">
        <f t="shared" si="69"/>
        <v>2446441.6</v>
      </c>
      <c r="BN89" s="53">
        <v>31.516595489675485</v>
      </c>
      <c r="BO89" s="53">
        <f t="shared" si="70"/>
        <v>0.024788249694002448</v>
      </c>
      <c r="BP89" s="53">
        <f t="shared" si="71"/>
        <v>33806012.948222354</v>
      </c>
      <c r="BQ89" s="53">
        <f t="shared" si="108"/>
        <v>34862975.78703887</v>
      </c>
      <c r="BR89" s="53">
        <f t="shared" si="72"/>
        <v>40703510.62373456</v>
      </c>
      <c r="BS89" s="53">
        <v>41112222</v>
      </c>
      <c r="BT89" s="53"/>
      <c r="BU89" s="53">
        <f t="shared" si="85"/>
        <v>17.934744358307466</v>
      </c>
      <c r="BV89" s="53">
        <f t="shared" si="86"/>
        <v>10.654379756395961</v>
      </c>
      <c r="BW89" s="53">
        <f t="shared" si="87"/>
        <v>1.9600862160672023</v>
      </c>
      <c r="BX89" s="53">
        <f t="shared" si="88"/>
        <v>16.54741098445374</v>
      </c>
      <c r="BY89" s="53">
        <f t="shared" si="89"/>
        <v>0</v>
      </c>
      <c r="BZ89" s="53">
        <f t="shared" si="90"/>
        <v>45.666673179908805</v>
      </c>
      <c r="CA89" s="53">
        <f t="shared" si="91"/>
        <v>0</v>
      </c>
      <c r="CB89" s="53">
        <f t="shared" si="92"/>
        <v>7.236705504866829</v>
      </c>
      <c r="CD89" s="53">
        <f t="shared" si="93"/>
        <v>27.1315360792415</v>
      </c>
      <c r="CF89" s="53">
        <f t="shared" si="94"/>
        <v>3.68989142403397</v>
      </c>
      <c r="CG89" s="53">
        <f t="shared" si="95"/>
        <v>9.496573037713691</v>
      </c>
      <c r="CH89" s="53">
        <f t="shared" si="96"/>
        <v>0.07109458172768823</v>
      </c>
      <c r="CI89" s="53">
        <f t="shared" si="97"/>
        <v>-15.056614594082681</v>
      </c>
      <c r="CJ89" s="53">
        <f t="shared" si="98"/>
        <v>0.05674468202527108</v>
      </c>
      <c r="CK89" s="53">
        <f t="shared" si="99"/>
        <v>-11.465008431379964</v>
      </c>
      <c r="CL89" s="53">
        <f t="shared" si="100"/>
        <v>13.378819580148498</v>
      </c>
      <c r="CM89" s="53">
        <f t="shared" si="101"/>
        <v>-0.17150028018648555</v>
      </c>
      <c r="CO89" s="53">
        <f t="shared" si="102"/>
        <v>3.5894857255751695</v>
      </c>
      <c r="CP89" s="53">
        <f t="shared" si="103"/>
        <v>0</v>
      </c>
      <c r="CQ89" s="53">
        <f t="shared" si="104"/>
        <v>54.333326820091195</v>
      </c>
    </row>
    <row r="90" spans="1:95" ht="15">
      <c r="A90" s="54" t="s">
        <v>65</v>
      </c>
      <c r="B90" s="70">
        <v>4</v>
      </c>
      <c r="C90" s="16">
        <v>26386174</v>
      </c>
      <c r="D90" s="61">
        <v>0.22387148135713453</v>
      </c>
      <c r="E90" s="16">
        <f t="shared" si="73"/>
        <v>5907111.860727108</v>
      </c>
      <c r="F90" s="51"/>
      <c r="G90" s="16"/>
      <c r="H90" s="51">
        <v>0.092484067988725</v>
      </c>
      <c r="I90" s="52">
        <f t="shared" si="105"/>
        <v>0</v>
      </c>
      <c r="J90" s="52">
        <f t="shared" si="106"/>
        <v>0</v>
      </c>
      <c r="K90" s="52">
        <f t="shared" si="107"/>
        <v>0</v>
      </c>
      <c r="L90" s="16">
        <f t="shared" si="74"/>
        <v>2440300.7101783277</v>
      </c>
      <c r="M90" s="16">
        <f t="shared" si="75"/>
        <v>20479062.13927289</v>
      </c>
      <c r="N90" s="52">
        <f t="shared" si="76"/>
        <v>0.02312101699718125</v>
      </c>
      <c r="O90" s="51">
        <f t="shared" si="77"/>
        <v>0.02312101699718125</v>
      </c>
      <c r="P90" s="16">
        <f t="shared" si="78"/>
        <v>610075.1775445819</v>
      </c>
      <c r="Q90" s="51"/>
      <c r="R90" s="16">
        <f t="shared" si="79"/>
        <v>29866480.294121582</v>
      </c>
      <c r="S90" s="16">
        <f t="shared" si="80"/>
        <v>35283540.137085326</v>
      </c>
      <c r="T90" s="16">
        <f t="shared" si="81"/>
        <v>34869044.47110442</v>
      </c>
      <c r="U90" s="16">
        <f t="shared" si="82"/>
        <v>35143715.09412158</v>
      </c>
      <c r="V90" s="16">
        <f t="shared" si="83"/>
        <v>40560774.93708533</v>
      </c>
      <c r="W90" s="16">
        <f t="shared" si="84"/>
        <v>40146279.271104425</v>
      </c>
      <c r="X90" s="54"/>
      <c r="Y90" s="53">
        <v>335</v>
      </c>
      <c r="Z90" s="53">
        <v>101</v>
      </c>
      <c r="AA90" s="53">
        <v>185</v>
      </c>
      <c r="AB90" s="53">
        <v>127</v>
      </c>
      <c r="AC90" s="53">
        <v>0</v>
      </c>
      <c r="AD90" s="53">
        <v>0</v>
      </c>
      <c r="AE90" s="53">
        <v>0</v>
      </c>
      <c r="AF90" s="53">
        <v>0</v>
      </c>
      <c r="AG90" s="53">
        <v>25</v>
      </c>
      <c r="AH90" s="53">
        <v>44</v>
      </c>
      <c r="AI90" s="53">
        <v>440</v>
      </c>
      <c r="AJ90" s="53">
        <v>95</v>
      </c>
      <c r="AK90" s="53">
        <v>2030</v>
      </c>
      <c r="AL90" s="53">
        <v>51</v>
      </c>
      <c r="AM90" s="53">
        <v>10220</v>
      </c>
      <c r="AN90" s="53">
        <v>6</v>
      </c>
      <c r="AO90" s="53">
        <v>2730</v>
      </c>
      <c r="AP90" s="53">
        <v>3</v>
      </c>
      <c r="AQ90" s="53">
        <v>2140</v>
      </c>
      <c r="AR90" s="53">
        <v>1</v>
      </c>
      <c r="AS90" s="53">
        <v>1200</v>
      </c>
      <c r="AT90" s="53">
        <v>55</v>
      </c>
      <c r="AU90" s="53">
        <v>61546</v>
      </c>
      <c r="AV90" s="53">
        <v>28</v>
      </c>
      <c r="AW90" s="53">
        <v>6241</v>
      </c>
      <c r="AX90" s="53">
        <v>555</v>
      </c>
      <c r="AY90" s="53">
        <v>0</v>
      </c>
      <c r="AZ90" s="53">
        <v>0</v>
      </c>
      <c r="BA90" s="53">
        <v>83</v>
      </c>
      <c r="BB90" s="53">
        <v>415</v>
      </c>
      <c r="BC90" s="53">
        <v>17145</v>
      </c>
      <c r="BD90" s="53">
        <v>3027343</v>
      </c>
      <c r="BF90" s="53">
        <f t="shared" si="63"/>
        <v>3200692</v>
      </c>
      <c r="BG90" s="53">
        <f t="shared" si="64"/>
        <v>10949487</v>
      </c>
      <c r="BH90" s="53">
        <f t="shared" si="65"/>
        <v>743765</v>
      </c>
      <c r="BI90" s="53">
        <f t="shared" si="66"/>
        <v>123197.34</v>
      </c>
      <c r="BJ90" s="53">
        <f t="shared" si="67"/>
        <v>210820</v>
      </c>
      <c r="BK90" s="53">
        <f>SUMIF(Renseanlæg!$A:$A,SPILDEVAND!A90,Renseanlæg!$I:$I)</f>
        <v>10366605.954121582</v>
      </c>
      <c r="BL90" s="53">
        <f t="shared" si="68"/>
        <v>2200797</v>
      </c>
      <c r="BM90" s="53">
        <f t="shared" si="69"/>
        <v>2071116</v>
      </c>
      <c r="BN90" s="53">
        <v>40.898493958815145</v>
      </c>
      <c r="BO90" s="53">
        <f t="shared" si="70"/>
        <v>0.022921122994652408</v>
      </c>
      <c r="BP90" s="53">
        <f t="shared" si="71"/>
        <v>29866480.294121582</v>
      </c>
      <c r="BQ90" s="53">
        <f t="shared" si="108"/>
        <v>35283540.137085326</v>
      </c>
      <c r="BR90" s="53">
        <f t="shared" si="72"/>
        <v>34869044.47110442</v>
      </c>
      <c r="BS90" s="53">
        <v>26595657</v>
      </c>
      <c r="BT90" s="53"/>
      <c r="BU90" s="53">
        <f t="shared" si="85"/>
        <v>10.716669552220289</v>
      </c>
      <c r="BV90" s="53">
        <f t="shared" si="86"/>
        <v>36.661457567717186</v>
      </c>
      <c r="BW90" s="53">
        <f t="shared" si="87"/>
        <v>2.490300138066119</v>
      </c>
      <c r="BX90" s="53">
        <f t="shared" si="88"/>
        <v>0.41249366777325985</v>
      </c>
      <c r="BY90" s="53">
        <f t="shared" si="89"/>
        <v>0.7058749404813338</v>
      </c>
      <c r="BZ90" s="53">
        <f t="shared" si="90"/>
        <v>34.70983474461157</v>
      </c>
      <c r="CA90" s="53">
        <f t="shared" si="91"/>
        <v>7.36878593770277</v>
      </c>
      <c r="CB90" s="53">
        <f t="shared" si="92"/>
        <v>6.934583451427464</v>
      </c>
      <c r="CD90" s="53">
        <f t="shared" si="93"/>
        <v>20.14155314171387</v>
      </c>
      <c r="CF90" s="53">
        <f t="shared" si="94"/>
        <v>10.907966230121147</v>
      </c>
      <c r="CG90" s="53">
        <f t="shared" si="95"/>
        <v>-16.510504773607533</v>
      </c>
      <c r="CH90" s="53">
        <f t="shared" si="96"/>
        <v>-0.45911934027122836</v>
      </c>
      <c r="CI90" s="53">
        <f t="shared" si="97"/>
        <v>1.0783027225977988</v>
      </c>
      <c r="CJ90" s="53">
        <f t="shared" si="98"/>
        <v>-0.6491302584560628</v>
      </c>
      <c r="CK90" s="53">
        <f t="shared" si="99"/>
        <v>-0.508169996082728</v>
      </c>
      <c r="CL90" s="53">
        <f t="shared" si="100"/>
        <v>6.010033642445729</v>
      </c>
      <c r="CM90" s="53">
        <f t="shared" si="101"/>
        <v>0.13062177325287916</v>
      </c>
      <c r="CO90" s="53">
        <f t="shared" si="102"/>
        <v>10.579468663102798</v>
      </c>
      <c r="CP90" s="53">
        <f t="shared" si="103"/>
        <v>0</v>
      </c>
      <c r="CQ90" s="53">
        <f t="shared" si="104"/>
        <v>57.21550437720432</v>
      </c>
    </row>
    <row r="91" spans="1:95" ht="15">
      <c r="A91" s="54" t="s">
        <v>85</v>
      </c>
      <c r="B91" s="70">
        <v>6</v>
      </c>
      <c r="C91" s="16">
        <v>57187365</v>
      </c>
      <c r="D91" s="51">
        <v>0.29687955568197744</v>
      </c>
      <c r="E91" s="16">
        <f t="shared" si="73"/>
        <v>16977759.51182307</v>
      </c>
      <c r="F91" s="51"/>
      <c r="G91" s="16"/>
      <c r="H91" s="51">
        <v>0.17941684497919552</v>
      </c>
      <c r="I91" s="52">
        <f t="shared" si="105"/>
        <v>0</v>
      </c>
      <c r="J91" s="52">
        <f t="shared" si="106"/>
        <v>0</v>
      </c>
      <c r="K91" s="52">
        <f t="shared" si="107"/>
        <v>0</v>
      </c>
      <c r="L91" s="16">
        <f t="shared" si="74"/>
        <v>10260376.600973671</v>
      </c>
      <c r="M91" s="16">
        <f t="shared" si="75"/>
        <v>40209605.48817693</v>
      </c>
      <c r="N91" s="52">
        <f t="shared" si="76"/>
        <v>0.04485421124479888</v>
      </c>
      <c r="O91" s="51">
        <f t="shared" si="77"/>
        <v>0.04485421124479888</v>
      </c>
      <c r="P91" s="16">
        <f t="shared" si="78"/>
        <v>2565094.150243418</v>
      </c>
      <c r="Q91" s="51"/>
      <c r="R91" s="16">
        <f t="shared" si="79"/>
        <v>57007380.67012216</v>
      </c>
      <c r="S91" s="16">
        <f t="shared" si="80"/>
        <v>61816561.56243851</v>
      </c>
      <c r="T91" s="16">
        <f t="shared" si="81"/>
        <v>68463608.60715578</v>
      </c>
      <c r="U91" s="16">
        <f t="shared" si="82"/>
        <v>68444853.67012216</v>
      </c>
      <c r="V91" s="16">
        <f t="shared" si="83"/>
        <v>73254034.56243852</v>
      </c>
      <c r="W91" s="16">
        <f t="shared" si="84"/>
        <v>79901081.60715578</v>
      </c>
      <c r="X91" s="54"/>
      <c r="Y91" s="53">
        <v>378.16</v>
      </c>
      <c r="Z91" s="53">
        <v>130.1</v>
      </c>
      <c r="AA91" s="53">
        <v>458.63</v>
      </c>
      <c r="AB91" s="53">
        <v>318.67</v>
      </c>
      <c r="AC91" s="53">
        <v>0</v>
      </c>
      <c r="AD91" s="53">
        <v>0</v>
      </c>
      <c r="AE91" s="53">
        <v>0</v>
      </c>
      <c r="AF91" s="53">
        <v>0</v>
      </c>
      <c r="AG91" s="53">
        <v>472</v>
      </c>
      <c r="AH91" s="53">
        <v>301</v>
      </c>
      <c r="AI91" s="53">
        <v>0</v>
      </c>
      <c r="AJ91" s="53">
        <v>261</v>
      </c>
      <c r="AK91" s="53">
        <v>0</v>
      </c>
      <c r="AL91" s="53">
        <v>39</v>
      </c>
      <c r="AM91" s="53">
        <v>0</v>
      </c>
      <c r="AN91" s="53">
        <v>8</v>
      </c>
      <c r="AO91" s="53">
        <v>0</v>
      </c>
      <c r="AP91" s="53">
        <v>0</v>
      </c>
      <c r="AQ91" s="53">
        <v>0</v>
      </c>
      <c r="AR91" s="53">
        <v>0</v>
      </c>
      <c r="AS91" s="53">
        <v>0</v>
      </c>
      <c r="AT91" s="53">
        <v>57</v>
      </c>
      <c r="AU91" s="53">
        <v>80609</v>
      </c>
      <c r="AV91" s="53">
        <v>15</v>
      </c>
      <c r="AW91" s="53">
        <v>1296</v>
      </c>
      <c r="AX91" s="53">
        <v>1325</v>
      </c>
      <c r="AY91" s="53">
        <v>0</v>
      </c>
      <c r="AZ91" s="53">
        <v>0</v>
      </c>
      <c r="BA91" s="53">
        <v>12</v>
      </c>
      <c r="BB91" s="53">
        <v>65</v>
      </c>
      <c r="BC91" s="53">
        <v>31665</v>
      </c>
      <c r="BD91" s="53">
        <v>4064604</v>
      </c>
      <c r="BF91" s="53">
        <f t="shared" si="63"/>
        <v>5500911.24</v>
      </c>
      <c r="BG91" s="53">
        <f t="shared" si="64"/>
        <v>18496172</v>
      </c>
      <c r="BH91" s="53">
        <f t="shared" si="65"/>
        <v>770811</v>
      </c>
      <c r="BI91" s="53">
        <f t="shared" si="66"/>
        <v>25583.039999999997</v>
      </c>
      <c r="BJ91" s="53">
        <f t="shared" si="67"/>
        <v>30480</v>
      </c>
      <c r="BK91" s="53">
        <f>SUMIF(Renseanlæg!$A:$A,SPILDEVAND!A91,Renseanlæg!$I:$I)</f>
        <v>23104136.39012216</v>
      </c>
      <c r="BL91" s="53">
        <f t="shared" si="68"/>
        <v>5254155</v>
      </c>
      <c r="BM91" s="53">
        <f t="shared" si="69"/>
        <v>3825132</v>
      </c>
      <c r="BN91" s="53">
        <v>34.83504194520997</v>
      </c>
      <c r="BO91" s="53">
        <f t="shared" si="70"/>
        <v>0.024631289088023898</v>
      </c>
      <c r="BP91" s="53">
        <f t="shared" si="71"/>
        <v>57007380.67012216</v>
      </c>
      <c r="BQ91" s="53">
        <f t="shared" si="108"/>
        <v>61816561.56243851</v>
      </c>
      <c r="BR91" s="53">
        <f t="shared" si="72"/>
        <v>68463608.60715578</v>
      </c>
      <c r="BS91" s="53">
        <v>54164641</v>
      </c>
      <c r="BT91" s="53"/>
      <c r="BU91" s="53">
        <f t="shared" si="85"/>
        <v>9.649472007548408</v>
      </c>
      <c r="BV91" s="53">
        <f t="shared" si="86"/>
        <v>32.445223377354594</v>
      </c>
      <c r="BW91" s="53">
        <f t="shared" si="87"/>
        <v>1.3521249195088623</v>
      </c>
      <c r="BX91" s="53">
        <f t="shared" si="88"/>
        <v>0.04487671543451248</v>
      </c>
      <c r="BY91" s="53">
        <f t="shared" si="89"/>
        <v>0.05346676104340768</v>
      </c>
      <c r="BZ91" s="53">
        <f t="shared" si="90"/>
        <v>40.52832478625202</v>
      </c>
      <c r="CA91" s="53">
        <f t="shared" si="91"/>
        <v>9.216622371063837</v>
      </c>
      <c r="CB91" s="53">
        <f t="shared" si="92"/>
        <v>6.70988906179436</v>
      </c>
      <c r="CD91" s="53">
        <f t="shared" si="93"/>
        <v>17.711485988851628</v>
      </c>
      <c r="CF91" s="53">
        <f t="shared" si="94"/>
        <v>11.975163774793028</v>
      </c>
      <c r="CG91" s="53">
        <f t="shared" si="95"/>
        <v>-12.294270583244941</v>
      </c>
      <c r="CH91" s="53">
        <f t="shared" si="96"/>
        <v>0.6790558782860283</v>
      </c>
      <c r="CI91" s="53">
        <f t="shared" si="97"/>
        <v>1.4459196749365462</v>
      </c>
      <c r="CJ91" s="53">
        <f t="shared" si="98"/>
        <v>0.0032779209818633998</v>
      </c>
      <c r="CK91" s="53">
        <f t="shared" si="99"/>
        <v>-6.32666003772318</v>
      </c>
      <c r="CL91" s="53">
        <f t="shared" si="100"/>
        <v>4.1621972090846615</v>
      </c>
      <c r="CM91" s="53">
        <f t="shared" si="101"/>
        <v>0.3553161628859831</v>
      </c>
      <c r="CO91" s="53">
        <f t="shared" si="102"/>
        <v>13.009535815965041</v>
      </c>
      <c r="CP91" s="53">
        <f t="shared" si="103"/>
        <v>0</v>
      </c>
      <c r="CQ91" s="53">
        <f t="shared" si="104"/>
        <v>50.20158608164074</v>
      </c>
    </row>
    <row r="92" spans="1:95" ht="15">
      <c r="A92" s="54" t="s">
        <v>100</v>
      </c>
      <c r="B92" s="70">
        <v>4</v>
      </c>
      <c r="C92" s="16">
        <v>35498715.84361784</v>
      </c>
      <c r="D92" s="51">
        <v>0</v>
      </c>
      <c r="E92" s="16">
        <f t="shared" si="73"/>
        <v>0</v>
      </c>
      <c r="F92" s="51"/>
      <c r="G92" s="16"/>
      <c r="H92" s="51">
        <v>0</v>
      </c>
      <c r="I92" s="52">
        <f t="shared" si="105"/>
        <v>0</v>
      </c>
      <c r="J92" s="52">
        <f t="shared" si="106"/>
        <v>0</v>
      </c>
      <c r="K92" s="52">
        <f t="shared" si="107"/>
        <v>0</v>
      </c>
      <c r="L92" s="16">
        <f t="shared" si="74"/>
        <v>0</v>
      </c>
      <c r="M92" s="16">
        <v>36752103</v>
      </c>
      <c r="N92" s="52">
        <f t="shared" si="76"/>
        <v>0</v>
      </c>
      <c r="O92" s="51">
        <f t="shared" si="77"/>
        <v>0</v>
      </c>
      <c r="P92" s="16">
        <f t="shared" si="78"/>
        <v>0</v>
      </c>
      <c r="Q92" s="51"/>
      <c r="R92" s="16">
        <f t="shared" si="79"/>
        <v>53938538.52349796</v>
      </c>
      <c r="S92" s="16">
        <f t="shared" si="80"/>
        <v>57018783.97932091</v>
      </c>
      <c r="T92" s="16">
        <f t="shared" si="81"/>
        <v>59492463.584283344</v>
      </c>
      <c r="U92" s="16">
        <f t="shared" si="82"/>
        <v>61038281.69222153</v>
      </c>
      <c r="V92" s="16">
        <f t="shared" si="83"/>
        <v>64118527.14804448</v>
      </c>
      <c r="W92" s="16">
        <f t="shared" si="84"/>
        <v>66592206.75300691</v>
      </c>
      <c r="X92" s="54"/>
      <c r="Y92" s="53">
        <v>216</v>
      </c>
      <c r="Z92" s="53">
        <v>167</v>
      </c>
      <c r="AA92" s="53">
        <v>203</v>
      </c>
      <c r="AB92" s="53">
        <v>182</v>
      </c>
      <c r="AC92" s="53">
        <v>1</v>
      </c>
      <c r="AD92" s="53">
        <v>6</v>
      </c>
      <c r="AE92" s="53">
        <v>0</v>
      </c>
      <c r="AF92" s="53">
        <v>0</v>
      </c>
      <c r="AG92" s="53">
        <v>160</v>
      </c>
      <c r="AH92" s="53">
        <v>195</v>
      </c>
      <c r="AI92" s="53">
        <v>441</v>
      </c>
      <c r="AJ92" s="53">
        <v>196</v>
      </c>
      <c r="AK92" s="53">
        <v>3235</v>
      </c>
      <c r="AL92" s="53">
        <v>41</v>
      </c>
      <c r="AM92" s="53">
        <v>4076</v>
      </c>
      <c r="AN92" s="53">
        <v>0</v>
      </c>
      <c r="AO92" s="53">
        <v>0</v>
      </c>
      <c r="AP92" s="53">
        <v>0</v>
      </c>
      <c r="AQ92" s="53">
        <v>0</v>
      </c>
      <c r="AR92" s="53">
        <v>4</v>
      </c>
      <c r="AS92" s="53">
        <v>4800</v>
      </c>
      <c r="AT92" s="53">
        <v>37</v>
      </c>
      <c r="AU92" s="53">
        <v>27262</v>
      </c>
      <c r="AV92" s="53">
        <v>16</v>
      </c>
      <c r="AW92" s="53">
        <v>13330</v>
      </c>
      <c r="AX92" s="53">
        <v>793</v>
      </c>
      <c r="AY92" s="53">
        <v>770</v>
      </c>
      <c r="AZ92" s="53">
        <v>0</v>
      </c>
      <c r="BA92" s="53">
        <v>0</v>
      </c>
      <c r="BB92" s="53">
        <v>0</v>
      </c>
      <c r="BC92" s="53">
        <v>15208</v>
      </c>
      <c r="BD92" s="53">
        <v>6695820</v>
      </c>
      <c r="BF92" s="53">
        <f t="shared" si="63"/>
        <v>3895888</v>
      </c>
      <c r="BG92" s="53">
        <f t="shared" si="64"/>
        <v>15627101</v>
      </c>
      <c r="BH92" s="53">
        <f t="shared" si="65"/>
        <v>500351</v>
      </c>
      <c r="BI92" s="53">
        <f t="shared" si="66"/>
        <v>263134.19999999995</v>
      </c>
      <c r="BJ92" s="53">
        <f t="shared" si="67"/>
        <v>0</v>
      </c>
      <c r="BK92" s="53">
        <f>SUMIF(Renseanlæg!$A:$A,SPILDEVAND!A92,Renseanlæg!$I:$I)</f>
        <v>25014646.723497964</v>
      </c>
      <c r="BL92" s="53">
        <f t="shared" si="68"/>
        <v>6800291.2</v>
      </c>
      <c r="BM92" s="53">
        <f t="shared" si="69"/>
        <v>1837126.4</v>
      </c>
      <c r="BN92" s="53">
        <v>33.1316612390474</v>
      </c>
      <c r="BO92" s="53">
        <f t="shared" si="70"/>
        <v>0.01962322580645161</v>
      </c>
      <c r="BP92" s="53">
        <f t="shared" si="71"/>
        <v>53938538.52349796</v>
      </c>
      <c r="BQ92" s="53">
        <f t="shared" si="108"/>
        <v>57018783.97932091</v>
      </c>
      <c r="BR92" s="53">
        <f t="shared" si="72"/>
        <v>59492463.584283344</v>
      </c>
      <c r="BS92" s="53">
        <v>37228213</v>
      </c>
      <c r="BT92" s="53"/>
      <c r="BU92" s="53">
        <f t="shared" si="85"/>
        <v>7.222828253499642</v>
      </c>
      <c r="BV92" s="53">
        <f t="shared" si="86"/>
        <v>28.972051204524497</v>
      </c>
      <c r="BW92" s="53">
        <f t="shared" si="87"/>
        <v>0.9276317336296115</v>
      </c>
      <c r="BX92" s="53">
        <f t="shared" si="88"/>
        <v>0.48784080400207225</v>
      </c>
      <c r="BY92" s="53">
        <f t="shared" si="89"/>
        <v>0</v>
      </c>
      <c r="BZ92" s="53">
        <f t="shared" si="90"/>
        <v>46.37620411721111</v>
      </c>
      <c r="CA92" s="53">
        <f t="shared" si="91"/>
        <v>12.607481378156917</v>
      </c>
      <c r="CB92" s="53">
        <f t="shared" si="92"/>
        <v>3.405962508976153</v>
      </c>
      <c r="CD92" s="53">
        <f t="shared" si="93"/>
        <v>11.556422496105407</v>
      </c>
      <c r="CF92" s="53">
        <f t="shared" si="94"/>
        <v>14.401807528841793</v>
      </c>
      <c r="CG92" s="53">
        <f t="shared" si="95"/>
        <v>-8.821098410414844</v>
      </c>
      <c r="CH92" s="53">
        <f t="shared" si="96"/>
        <v>1.103549064165279</v>
      </c>
      <c r="CI92" s="53">
        <f t="shared" si="97"/>
        <v>1.0029555863689863</v>
      </c>
      <c r="CJ92" s="53">
        <f t="shared" si="98"/>
        <v>0.05674468202527108</v>
      </c>
      <c r="CK92" s="53">
        <f t="shared" si="99"/>
        <v>-12.174539368682268</v>
      </c>
      <c r="CL92" s="53">
        <f t="shared" si="100"/>
        <v>0.7713382019915809</v>
      </c>
      <c r="CM92" s="53">
        <f t="shared" si="101"/>
        <v>3.6592427157041905</v>
      </c>
      <c r="CO92" s="53">
        <f t="shared" si="102"/>
        <v>19.16459930871126</v>
      </c>
      <c r="CP92" s="53">
        <f t="shared" si="103"/>
        <v>0</v>
      </c>
      <c r="CQ92" s="53">
        <f t="shared" si="104"/>
        <v>41.01631450463197</v>
      </c>
    </row>
    <row r="93" spans="1:95" ht="15">
      <c r="A93" s="54" t="s">
        <v>88</v>
      </c>
      <c r="B93" s="70">
        <v>6</v>
      </c>
      <c r="C93" s="16">
        <v>32482034.58</v>
      </c>
      <c r="D93" s="51">
        <v>0.4460620102697437</v>
      </c>
      <c r="E93" s="16">
        <f t="shared" si="73"/>
        <v>14489001.642406128</v>
      </c>
      <c r="F93" s="51"/>
      <c r="G93" s="16"/>
      <c r="H93" s="51">
        <v>0.31648310003800806</v>
      </c>
      <c r="I93" s="52">
        <f t="shared" si="105"/>
        <v>0</v>
      </c>
      <c r="J93" s="52">
        <f t="shared" si="106"/>
        <v>0</v>
      </c>
      <c r="K93" s="52">
        <f t="shared" si="107"/>
        <v>0</v>
      </c>
      <c r="L93" s="16">
        <f t="shared" si="74"/>
        <v>10280014.999420177</v>
      </c>
      <c r="M93" s="16">
        <f t="shared" si="75"/>
        <v>17993032.93759387</v>
      </c>
      <c r="N93" s="52">
        <f t="shared" si="76"/>
        <v>0.07912077500950201</v>
      </c>
      <c r="O93" s="51">
        <f t="shared" si="77"/>
        <v>0.05</v>
      </c>
      <c r="P93" s="16">
        <f t="shared" si="78"/>
        <v>1624101.729</v>
      </c>
      <c r="Q93" s="51"/>
      <c r="R93" s="16">
        <f t="shared" si="79"/>
        <v>26087974.395682983</v>
      </c>
      <c r="S93" s="16">
        <f t="shared" si="80"/>
        <v>27737082.87313248</v>
      </c>
      <c r="T93" s="16">
        <f t="shared" si="81"/>
        <v>30636162.17831622</v>
      </c>
      <c r="U93" s="16">
        <f t="shared" si="82"/>
        <v>32584381.311682984</v>
      </c>
      <c r="V93" s="16">
        <f t="shared" si="83"/>
        <v>34233489.789132476</v>
      </c>
      <c r="W93" s="16">
        <f t="shared" si="84"/>
        <v>37132569.09431622</v>
      </c>
      <c r="X93" s="54"/>
      <c r="Y93" s="53">
        <v>258</v>
      </c>
      <c r="Z93" s="53">
        <v>65</v>
      </c>
      <c r="AA93" s="53">
        <v>327</v>
      </c>
      <c r="AB93" s="53">
        <v>214</v>
      </c>
      <c r="AC93" s="53">
        <v>0</v>
      </c>
      <c r="AD93" s="53">
        <v>0</v>
      </c>
      <c r="AE93" s="53">
        <v>0</v>
      </c>
      <c r="AF93" s="53">
        <v>0</v>
      </c>
      <c r="AG93" s="53">
        <v>141</v>
      </c>
      <c r="AH93" s="53">
        <v>71</v>
      </c>
      <c r="AI93" s="53">
        <v>413</v>
      </c>
      <c r="AJ93" s="53">
        <v>112</v>
      </c>
      <c r="AK93" s="53">
        <v>3401</v>
      </c>
      <c r="AL93" s="53">
        <v>1</v>
      </c>
      <c r="AM93" s="53">
        <v>200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3">
        <v>0</v>
      </c>
      <c r="AT93" s="53">
        <v>26</v>
      </c>
      <c r="AU93" s="53">
        <v>47476</v>
      </c>
      <c r="AV93" s="53">
        <v>9</v>
      </c>
      <c r="AW93" s="53">
        <v>4740</v>
      </c>
      <c r="AX93" s="53">
        <v>528</v>
      </c>
      <c r="AY93" s="53">
        <v>0</v>
      </c>
      <c r="AZ93" s="53">
        <v>0</v>
      </c>
      <c r="BA93" s="53">
        <v>1</v>
      </c>
      <c r="BB93" s="53">
        <v>25</v>
      </c>
      <c r="BC93" s="53">
        <v>20106</v>
      </c>
      <c r="BD93" s="53">
        <v>4146952</v>
      </c>
      <c r="BF93" s="53">
        <f t="shared" si="63"/>
        <v>3697056</v>
      </c>
      <c r="BG93" s="53">
        <f t="shared" si="64"/>
        <v>4749417</v>
      </c>
      <c r="BH93" s="53">
        <f t="shared" si="65"/>
        <v>351598</v>
      </c>
      <c r="BI93" s="53">
        <f t="shared" si="66"/>
        <v>93567.59999999999</v>
      </c>
      <c r="BJ93" s="53">
        <f t="shared" si="67"/>
        <v>2540</v>
      </c>
      <c r="BK93" s="53">
        <f>SUMIF(Renseanlæg!$A:$A,SPILDEVAND!A93,Renseanlæg!$I:$I)</f>
        <v>12671259.795682982</v>
      </c>
      <c r="BL93" s="53">
        <f t="shared" si="68"/>
        <v>2093731.2</v>
      </c>
      <c r="BM93" s="53">
        <f t="shared" si="69"/>
        <v>2428804.8</v>
      </c>
      <c r="BN93" s="53">
        <v>33.51333490489968</v>
      </c>
      <c r="BO93" s="53">
        <f t="shared" si="70"/>
        <v>0.023270833333333334</v>
      </c>
      <c r="BP93" s="53">
        <f t="shared" si="71"/>
        <v>26087974.395682983</v>
      </c>
      <c r="BQ93" s="53">
        <f t="shared" si="108"/>
        <v>27737082.87313248</v>
      </c>
      <c r="BR93" s="53">
        <f t="shared" si="72"/>
        <v>30636162.17831622</v>
      </c>
      <c r="BS93" s="53">
        <v>26676149</v>
      </c>
      <c r="BT93" s="53"/>
      <c r="BU93" s="53">
        <f t="shared" si="85"/>
        <v>14.171495049503674</v>
      </c>
      <c r="BV93" s="53">
        <f t="shared" si="86"/>
        <v>18.20538815304085</v>
      </c>
      <c r="BW93" s="53">
        <f t="shared" si="87"/>
        <v>1.347739746548441</v>
      </c>
      <c r="BX93" s="53">
        <f t="shared" si="88"/>
        <v>0.35866180555391636</v>
      </c>
      <c r="BY93" s="53">
        <f t="shared" si="89"/>
        <v>0.00973628677134978</v>
      </c>
      <c r="BZ93" s="53">
        <f t="shared" si="90"/>
        <v>48.571267372064774</v>
      </c>
      <c r="CA93" s="53">
        <f t="shared" si="91"/>
        <v>8.02565645091429</v>
      </c>
      <c r="CB93" s="53">
        <f t="shared" si="92"/>
        <v>9.310055135602695</v>
      </c>
      <c r="CD93" s="53">
        <f t="shared" si="93"/>
        <v>24.829289931654813</v>
      </c>
      <c r="CF93" s="53">
        <f t="shared" si="94"/>
        <v>7.4531407328377615</v>
      </c>
      <c r="CG93" s="53">
        <f t="shared" si="95"/>
        <v>1.9455646410688026</v>
      </c>
      <c r="CH93" s="53">
        <f t="shared" si="96"/>
        <v>0.6834410512464495</v>
      </c>
      <c r="CI93" s="53">
        <f t="shared" si="97"/>
        <v>1.1321345848171422</v>
      </c>
      <c r="CJ93" s="53">
        <f t="shared" si="98"/>
        <v>0.0470083952539213</v>
      </c>
      <c r="CK93" s="53">
        <f t="shared" si="99"/>
        <v>-14.369602623535933</v>
      </c>
      <c r="CL93" s="53">
        <f t="shared" si="100"/>
        <v>5.353163129234208</v>
      </c>
      <c r="CM93" s="53">
        <f t="shared" si="101"/>
        <v>-2.244849910922352</v>
      </c>
      <c r="CO93" s="53">
        <f t="shared" si="102"/>
        <v>5.891731873161856</v>
      </c>
      <c r="CP93" s="53">
        <f t="shared" si="103"/>
        <v>0</v>
      </c>
      <c r="CQ93" s="53">
        <f t="shared" si="104"/>
        <v>43.39333989024958</v>
      </c>
    </row>
    <row r="94" spans="1:95" ht="15">
      <c r="A94" s="54" t="s">
        <v>111</v>
      </c>
      <c r="B94" s="70">
        <v>6</v>
      </c>
      <c r="C94" s="16">
        <v>24003628</v>
      </c>
      <c r="D94" s="51">
        <v>0.27728513433779445</v>
      </c>
      <c r="E94" s="16">
        <f t="shared" si="73"/>
        <v>6655849.214574444</v>
      </c>
      <c r="F94" s="51"/>
      <c r="G94" s="16"/>
      <c r="H94" s="51">
        <v>0.15982243831563214</v>
      </c>
      <c r="I94" s="52">
        <f t="shared" si="105"/>
        <v>0</v>
      </c>
      <c r="J94" s="52">
        <f t="shared" si="106"/>
        <v>0</v>
      </c>
      <c r="K94" s="52">
        <f t="shared" si="107"/>
        <v>0</v>
      </c>
      <c r="L94" s="16">
        <f t="shared" si="74"/>
        <v>3836318.3553813808</v>
      </c>
      <c r="M94" s="16">
        <f t="shared" si="75"/>
        <v>17347778.785425555</v>
      </c>
      <c r="N94" s="52">
        <f t="shared" si="76"/>
        <v>0.039955609578908036</v>
      </c>
      <c r="O94" s="51">
        <f t="shared" si="77"/>
        <v>0.039955609578908036</v>
      </c>
      <c r="P94" s="16">
        <f t="shared" si="78"/>
        <v>959079.5888453452</v>
      </c>
      <c r="Q94" s="51"/>
      <c r="R94" s="16">
        <f t="shared" si="79"/>
        <v>20703234.408919834</v>
      </c>
      <c r="S94" s="16">
        <f t="shared" si="80"/>
        <v>27001584.620883364</v>
      </c>
      <c r="T94" s="16">
        <f t="shared" si="81"/>
        <v>29537507.608999625</v>
      </c>
      <c r="U94" s="16">
        <f t="shared" si="82"/>
        <v>25503960.008919835</v>
      </c>
      <c r="V94" s="16">
        <f t="shared" si="83"/>
        <v>31802310.220883366</v>
      </c>
      <c r="W94" s="16">
        <f t="shared" si="84"/>
        <v>34338233.20899963</v>
      </c>
      <c r="X94" s="54"/>
      <c r="Y94" s="53">
        <v>6</v>
      </c>
      <c r="Z94" s="53">
        <v>8</v>
      </c>
      <c r="AA94" s="53">
        <v>144</v>
      </c>
      <c r="AB94" s="53">
        <v>64</v>
      </c>
      <c r="AC94" s="53">
        <v>20</v>
      </c>
      <c r="AD94" s="53">
        <v>25</v>
      </c>
      <c r="AE94" s="53">
        <v>0</v>
      </c>
      <c r="AF94" s="53">
        <v>0</v>
      </c>
      <c r="AG94" s="53">
        <v>0</v>
      </c>
      <c r="AH94" s="53">
        <v>1</v>
      </c>
      <c r="AI94" s="53">
        <v>6</v>
      </c>
      <c r="AJ94" s="53">
        <v>38</v>
      </c>
      <c r="AK94" s="53">
        <v>1933</v>
      </c>
      <c r="AL94" s="53">
        <v>3</v>
      </c>
      <c r="AM94" s="53">
        <v>632</v>
      </c>
      <c r="AN94" s="53">
        <v>5</v>
      </c>
      <c r="AO94" s="53">
        <v>2110</v>
      </c>
      <c r="AP94" s="53">
        <v>3</v>
      </c>
      <c r="AQ94" s="53">
        <v>2630</v>
      </c>
      <c r="AR94" s="53">
        <v>3</v>
      </c>
      <c r="AS94" s="53">
        <v>4950</v>
      </c>
      <c r="AT94" s="53">
        <v>2</v>
      </c>
      <c r="AU94" s="53">
        <v>6072</v>
      </c>
      <c r="AV94" s="53">
        <v>1</v>
      </c>
      <c r="AW94" s="53">
        <v>4000</v>
      </c>
      <c r="AX94" s="53">
        <v>0</v>
      </c>
      <c r="AY94" s="53">
        <f>927*0.15</f>
        <v>139.04999999999998</v>
      </c>
      <c r="AZ94" s="53">
        <f>194*0.15</f>
        <v>29.099999999999998</v>
      </c>
      <c r="BA94" s="53">
        <v>0</v>
      </c>
      <c r="BB94" s="53">
        <v>0</v>
      </c>
      <c r="BC94" s="53">
        <v>9657</v>
      </c>
      <c r="BD94" s="53">
        <v>3200264</v>
      </c>
      <c r="BF94" s="53">
        <f t="shared" si="63"/>
        <v>4868898</v>
      </c>
      <c r="BG94" s="53">
        <f t="shared" si="64"/>
        <v>6294449</v>
      </c>
      <c r="BH94" s="53">
        <f t="shared" si="65"/>
        <v>27046</v>
      </c>
      <c r="BI94" s="53">
        <f t="shared" si="66"/>
        <v>78960</v>
      </c>
      <c r="BJ94" s="53">
        <f t="shared" si="67"/>
        <v>0</v>
      </c>
      <c r="BK94" s="53">
        <f>SUMIF(Renseanlæg!$A:$A,SPILDEVAND!A94,Renseanlæg!$I:$I)</f>
        <v>7468990.053919834</v>
      </c>
      <c r="BL94" s="53">
        <f t="shared" si="68"/>
        <v>798325.7549999999</v>
      </c>
      <c r="BM94" s="53">
        <f t="shared" si="69"/>
        <v>1166565.5999999999</v>
      </c>
      <c r="BN94" s="53">
        <v>48.576286950995474</v>
      </c>
      <c r="BO94" s="53">
        <f t="shared" si="70"/>
        <v>0.0361685393258427</v>
      </c>
      <c r="BP94" s="53">
        <f t="shared" si="71"/>
        <v>20703234.408919834</v>
      </c>
      <c r="BQ94" s="53">
        <f t="shared" si="108"/>
        <v>27001584.620883364</v>
      </c>
      <c r="BR94" s="53">
        <f t="shared" si="72"/>
        <v>29537507.608999625</v>
      </c>
      <c r="BS94" s="53">
        <v>20048161</v>
      </c>
      <c r="BT94" s="53"/>
      <c r="BU94" s="53">
        <f t="shared" si="85"/>
        <v>23.517571717693887</v>
      </c>
      <c r="BV94" s="53">
        <f t="shared" si="86"/>
        <v>30.40321563131258</v>
      </c>
      <c r="BW94" s="53">
        <f t="shared" si="87"/>
        <v>0.13063659264925018</v>
      </c>
      <c r="BX94" s="53">
        <f t="shared" si="88"/>
        <v>0.38138968259945255</v>
      </c>
      <c r="BY94" s="53">
        <f t="shared" si="89"/>
        <v>0</v>
      </c>
      <c r="BZ94" s="53">
        <f t="shared" si="90"/>
        <v>36.07644055221572</v>
      </c>
      <c r="CA94" s="53">
        <f t="shared" si="91"/>
        <v>3.8560436462818934</v>
      </c>
      <c r="CB94" s="53">
        <f t="shared" si="92"/>
        <v>5.634702177247212</v>
      </c>
      <c r="CD94" s="53">
        <f t="shared" si="93"/>
        <v>29.28291048759035</v>
      </c>
      <c r="CF94" s="53">
        <f t="shared" si="94"/>
        <v>-1.892935935352451</v>
      </c>
      <c r="CG94" s="53">
        <f t="shared" si="95"/>
        <v>-10.252262837202927</v>
      </c>
      <c r="CH94" s="53">
        <f t="shared" si="96"/>
        <v>1.9005442051456405</v>
      </c>
      <c r="CI94" s="53">
        <f t="shared" si="97"/>
        <v>1.109406707771606</v>
      </c>
      <c r="CJ94" s="53">
        <f t="shared" si="98"/>
        <v>0.05674468202527108</v>
      </c>
      <c r="CK94" s="53">
        <f t="shared" si="99"/>
        <v>-1.8747758036868802</v>
      </c>
      <c r="CL94" s="53">
        <f t="shared" si="100"/>
        <v>9.522775933866605</v>
      </c>
      <c r="CM94" s="53">
        <f t="shared" si="101"/>
        <v>1.430503047433131</v>
      </c>
      <c r="CO94" s="53">
        <f t="shared" si="102"/>
        <v>1.4381113172263191</v>
      </c>
      <c r="CP94" s="53">
        <f t="shared" si="103"/>
        <v>0</v>
      </c>
      <c r="CQ94" s="53">
        <f t="shared" si="104"/>
        <v>60.06751580150239</v>
      </c>
    </row>
    <row r="95" spans="1:95" ht="15">
      <c r="A95" s="54" t="s">
        <v>124</v>
      </c>
      <c r="B95" s="70">
        <v>10</v>
      </c>
      <c r="C95" s="16">
        <v>4947249</v>
      </c>
      <c r="D95" s="51">
        <v>0.791743421342651</v>
      </c>
      <c r="E95" s="16">
        <f t="shared" si="73"/>
        <v>3916951.849494009</v>
      </c>
      <c r="F95" s="51"/>
      <c r="G95" s="16"/>
      <c r="H95" s="51">
        <v>0.6732556601922601</v>
      </c>
      <c r="I95" s="52">
        <f t="shared" si="105"/>
        <v>-0.30594124630900543</v>
      </c>
      <c r="J95" s="52">
        <f t="shared" si="106"/>
        <v>-0.09347116957232733</v>
      </c>
      <c r="K95" s="52">
        <f t="shared" si="107"/>
        <v>0.5797844906199328</v>
      </c>
      <c r="L95" s="16">
        <f t="shared" si="74"/>
        <v>2868338.241434972</v>
      </c>
      <c r="M95" s="16">
        <f t="shared" si="75"/>
        <v>1030297.1505059912</v>
      </c>
      <c r="N95" s="52">
        <f t="shared" si="76"/>
        <v>0.1449461226549832</v>
      </c>
      <c r="O95" s="51">
        <f t="shared" si="77"/>
        <v>0.05</v>
      </c>
      <c r="P95" s="16">
        <f t="shared" si="78"/>
        <v>247362.45</v>
      </c>
      <c r="Q95" s="51"/>
      <c r="R95" s="16">
        <f t="shared" si="79"/>
        <v>1382955.4</v>
      </c>
      <c r="S95" s="16">
        <f t="shared" si="80"/>
        <v>1496869.8422391007</v>
      </c>
      <c r="T95" s="16">
        <f t="shared" si="81"/>
        <v>1754254.3722813686</v>
      </c>
      <c r="U95" s="16">
        <f t="shared" si="82"/>
        <v>2372405.2</v>
      </c>
      <c r="V95" s="16">
        <f t="shared" si="83"/>
        <v>2486319.6422391008</v>
      </c>
      <c r="W95" s="16">
        <f t="shared" si="84"/>
        <v>2743704.1722813686</v>
      </c>
      <c r="X95" s="54"/>
      <c r="Y95" s="53">
        <v>2</v>
      </c>
      <c r="Z95" s="53">
        <v>10</v>
      </c>
      <c r="AA95" s="53">
        <v>25</v>
      </c>
      <c r="AB95" s="53">
        <v>97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2</v>
      </c>
      <c r="AI95" s="53">
        <v>20</v>
      </c>
      <c r="AJ95" s="53">
        <v>9</v>
      </c>
      <c r="AK95" s="53">
        <v>432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8</v>
      </c>
      <c r="AU95" s="53">
        <v>28420</v>
      </c>
      <c r="AV95" s="53">
        <v>0</v>
      </c>
      <c r="AW95" s="53">
        <v>0</v>
      </c>
      <c r="AX95" s="53">
        <v>0</v>
      </c>
      <c r="AY95" s="53">
        <v>0</v>
      </c>
      <c r="AZ95" s="53">
        <v>0</v>
      </c>
      <c r="BA95" s="53">
        <v>0</v>
      </c>
      <c r="BB95" s="53">
        <v>0</v>
      </c>
      <c r="BC95" s="53">
        <v>3763</v>
      </c>
      <c r="BD95" s="53">
        <v>55305</v>
      </c>
      <c r="BF95" s="53">
        <f t="shared" si="63"/>
        <v>573386</v>
      </c>
      <c r="BG95" s="53">
        <f t="shared" si="64"/>
        <v>246815</v>
      </c>
      <c r="BH95" s="53">
        <f t="shared" si="65"/>
        <v>108184</v>
      </c>
      <c r="BI95" s="53">
        <f t="shared" si="66"/>
        <v>0</v>
      </c>
      <c r="BJ95" s="53">
        <f t="shared" si="67"/>
        <v>0</v>
      </c>
      <c r="BK95" s="53">
        <f>SUMIF(Renseanlæg!$A:$A,SPILDEVAND!A95,Renseanlæg!$I:$I)</f>
        <v>0</v>
      </c>
      <c r="BL95" s="53">
        <f t="shared" si="68"/>
        <v>0</v>
      </c>
      <c r="BM95" s="53">
        <f t="shared" si="69"/>
        <v>454570.39999999997</v>
      </c>
      <c r="BN95" s="53">
        <v>34.71064334572453</v>
      </c>
      <c r="BO95" s="53">
        <f t="shared" si="70"/>
        <v>0.028082089552238804</v>
      </c>
      <c r="BP95" s="53">
        <f t="shared" si="71"/>
        <v>1382955.4</v>
      </c>
      <c r="BQ95" s="53">
        <f t="shared" si="108"/>
        <v>1496869.8422391007</v>
      </c>
      <c r="BR95" s="53">
        <f t="shared" si="72"/>
        <v>1754254.3722813686</v>
      </c>
      <c r="BS95" s="53">
        <v>1203489</v>
      </c>
      <c r="BT95" s="53"/>
      <c r="BU95" s="53">
        <f t="shared" si="85"/>
        <v>41.460917683968695</v>
      </c>
      <c r="BV95" s="53">
        <f t="shared" si="86"/>
        <v>17.84692405843312</v>
      </c>
      <c r="BW95" s="53">
        <f t="shared" si="87"/>
        <v>7.822667310890866</v>
      </c>
      <c r="BX95" s="53">
        <f t="shared" si="88"/>
        <v>0</v>
      </c>
      <c r="BY95" s="53">
        <f t="shared" si="89"/>
        <v>0</v>
      </c>
      <c r="BZ95" s="53">
        <f t="shared" si="90"/>
        <v>0</v>
      </c>
      <c r="CA95" s="53">
        <f t="shared" si="91"/>
        <v>0</v>
      </c>
      <c r="CB95" s="53">
        <f t="shared" si="92"/>
        <v>32.869490946707316</v>
      </c>
      <c r="CD95" s="53">
        <f t="shared" si="93"/>
        <v>82.15307594156687</v>
      </c>
      <c r="CF95" s="53">
        <f t="shared" si="94"/>
        <v>-19.83628190162726</v>
      </c>
      <c r="CG95" s="53">
        <f t="shared" si="95"/>
        <v>2.304028735676532</v>
      </c>
      <c r="CH95" s="53">
        <f t="shared" si="96"/>
        <v>-5.791486513095975</v>
      </c>
      <c r="CI95" s="53">
        <f t="shared" si="97"/>
        <v>1.4907963903710586</v>
      </c>
      <c r="CJ95" s="53">
        <f t="shared" si="98"/>
        <v>0.05674468202527108</v>
      </c>
      <c r="CK95" s="53">
        <f t="shared" si="99"/>
        <v>34.20166474852884</v>
      </c>
      <c r="CL95" s="53">
        <f t="shared" si="100"/>
        <v>13.378819580148498</v>
      </c>
      <c r="CM95" s="53">
        <f t="shared" si="101"/>
        <v>-25.80428572202697</v>
      </c>
      <c r="CO95" s="53">
        <f t="shared" si="102"/>
        <v>-51.432054136750196</v>
      </c>
      <c r="CP95" s="53">
        <f t="shared" si="103"/>
        <v>-9.347116957232734</v>
      </c>
      <c r="CQ95" s="53">
        <f t="shared" si="104"/>
        <v>100</v>
      </c>
    </row>
    <row r="96" spans="1:95" ht="15">
      <c r="A96" s="54" t="s">
        <v>4</v>
      </c>
      <c r="B96" s="70">
        <v>4</v>
      </c>
      <c r="C96" s="16">
        <v>126373666.16032082</v>
      </c>
      <c r="D96" s="51">
        <v>0.17039282353229812</v>
      </c>
      <c r="E96" s="16">
        <f t="shared" si="73"/>
        <v>21533165.7971851</v>
      </c>
      <c r="F96" s="51"/>
      <c r="G96" s="16"/>
      <c r="H96" s="51">
        <v>0.05293011375900347</v>
      </c>
      <c r="I96" s="52">
        <f t="shared" si="105"/>
        <v>0</v>
      </c>
      <c r="J96" s="52">
        <f t="shared" si="106"/>
        <v>0</v>
      </c>
      <c r="K96" s="52">
        <f t="shared" si="107"/>
        <v>0</v>
      </c>
      <c r="L96" s="16">
        <f t="shared" si="74"/>
        <v>6688972.526008109</v>
      </c>
      <c r="M96" s="16">
        <f t="shared" si="75"/>
        <v>104840500.36313573</v>
      </c>
      <c r="N96" s="52">
        <f t="shared" si="76"/>
        <v>0.013232528439750868</v>
      </c>
      <c r="O96" s="51">
        <f t="shared" si="77"/>
        <v>0.013232528439750868</v>
      </c>
      <c r="P96" s="16">
        <f t="shared" si="78"/>
        <v>1672243.1315020272</v>
      </c>
      <c r="Q96" s="51"/>
      <c r="R96" s="16">
        <f t="shared" si="79"/>
        <v>135618274.82603276</v>
      </c>
      <c r="S96" s="16">
        <f t="shared" si="80"/>
        <v>153659628.62440288</v>
      </c>
      <c r="T96" s="16">
        <f t="shared" si="81"/>
        <v>178508565.92413327</v>
      </c>
      <c r="U96" s="16">
        <f t="shared" si="82"/>
        <v>160893008.05809692</v>
      </c>
      <c r="V96" s="16">
        <f t="shared" si="83"/>
        <v>178934361.85646704</v>
      </c>
      <c r="W96" s="16">
        <f t="shared" si="84"/>
        <v>203783299.15619743</v>
      </c>
      <c r="X96" s="54"/>
      <c r="Y96" s="53">
        <v>398</v>
      </c>
      <c r="Z96" s="53">
        <v>72</v>
      </c>
      <c r="AA96" s="53">
        <v>888</v>
      </c>
      <c r="AB96" s="53">
        <v>853</v>
      </c>
      <c r="AC96" s="53">
        <v>74</v>
      </c>
      <c r="AD96" s="53">
        <v>119</v>
      </c>
      <c r="AE96" s="53">
        <v>7</v>
      </c>
      <c r="AF96" s="53">
        <v>14</v>
      </c>
      <c r="AG96" s="53">
        <v>1474</v>
      </c>
      <c r="AH96" s="53">
        <v>65</v>
      </c>
      <c r="AI96" s="53">
        <v>364</v>
      </c>
      <c r="AJ96" s="53">
        <v>217</v>
      </c>
      <c r="AK96" s="53">
        <v>7985</v>
      </c>
      <c r="AL96" s="53">
        <v>16</v>
      </c>
      <c r="AM96" s="53">
        <v>2799</v>
      </c>
      <c r="AN96" s="53">
        <v>2</v>
      </c>
      <c r="AO96" s="53">
        <v>981</v>
      </c>
      <c r="AP96" s="53">
        <v>0</v>
      </c>
      <c r="AQ96" s="53">
        <v>0</v>
      </c>
      <c r="AR96" s="53">
        <v>1</v>
      </c>
      <c r="AS96" s="53">
        <v>1920</v>
      </c>
      <c r="AT96" s="53">
        <v>158</v>
      </c>
      <c r="AU96" s="53">
        <v>439785</v>
      </c>
      <c r="AV96" s="53">
        <v>32</v>
      </c>
      <c r="AW96" s="53">
        <v>39511</v>
      </c>
      <c r="AX96" s="53">
        <v>1760</v>
      </c>
      <c r="AY96" s="53">
        <v>5690</v>
      </c>
      <c r="AZ96" s="53">
        <v>0</v>
      </c>
      <c r="BA96" s="53">
        <v>101</v>
      </c>
      <c r="BB96" s="53">
        <v>505</v>
      </c>
      <c r="BC96" s="53">
        <v>74020</v>
      </c>
      <c r="BD96" s="53">
        <v>14223000</v>
      </c>
      <c r="BF96" s="53">
        <f t="shared" si="63"/>
        <v>28097701</v>
      </c>
      <c r="BG96" s="53">
        <f t="shared" si="64"/>
        <v>18953428</v>
      </c>
      <c r="BH96" s="53">
        <f t="shared" si="65"/>
        <v>2136634</v>
      </c>
      <c r="BI96" s="53">
        <f t="shared" si="66"/>
        <v>779947.1399999999</v>
      </c>
      <c r="BJ96" s="53">
        <f t="shared" si="67"/>
        <v>256540</v>
      </c>
      <c r="BK96" s="53">
        <f>SUMIF(Renseanlæg!$A:$A,SPILDEVAND!A96,Renseanlæg!$I:$I)</f>
        <v>42458891.68603274</v>
      </c>
      <c r="BL96" s="53">
        <f t="shared" si="68"/>
        <v>33993517</v>
      </c>
      <c r="BM96" s="53">
        <f t="shared" si="69"/>
        <v>8941616</v>
      </c>
      <c r="BN96" s="53">
        <v>37.87690020782277</v>
      </c>
      <c r="BO96" s="53">
        <f t="shared" si="70"/>
        <v>0.030523711340206185</v>
      </c>
      <c r="BP96" s="53">
        <f t="shared" si="71"/>
        <v>135618274.82603276</v>
      </c>
      <c r="BQ96" s="53">
        <f t="shared" si="108"/>
        <v>153659628.62440288</v>
      </c>
      <c r="BR96" s="53">
        <f t="shared" si="72"/>
        <v>178508565.92413327</v>
      </c>
      <c r="BS96" s="53">
        <v>117897803</v>
      </c>
      <c r="BT96" s="53"/>
      <c r="BU96" s="53">
        <f t="shared" si="85"/>
        <v>20.718226239083876</v>
      </c>
      <c r="BV96" s="53">
        <f t="shared" si="86"/>
        <v>13.975570788164731</v>
      </c>
      <c r="BW96" s="53">
        <f t="shared" si="87"/>
        <v>1.5754764634344547</v>
      </c>
      <c r="BX96" s="53">
        <f t="shared" si="88"/>
        <v>0.575104749710534</v>
      </c>
      <c r="BY96" s="53">
        <f t="shared" si="89"/>
        <v>0.189163297003359</v>
      </c>
      <c r="BZ96" s="53">
        <f t="shared" si="90"/>
        <v>31.30764769017877</v>
      </c>
      <c r="CA96" s="53">
        <f t="shared" si="91"/>
        <v>25.06558724744575</v>
      </c>
      <c r="CB96" s="53">
        <f t="shared" si="92"/>
        <v>6.5932235249785105</v>
      </c>
      <c r="CD96" s="53">
        <f t="shared" si="93"/>
        <v>28.886926227496843</v>
      </c>
      <c r="CF96" s="53">
        <f t="shared" si="94"/>
        <v>0.9064095432575598</v>
      </c>
      <c r="CG96" s="53">
        <f t="shared" si="95"/>
        <v>6.175382005944922</v>
      </c>
      <c r="CH96" s="53">
        <f t="shared" si="96"/>
        <v>0.4557043343604359</v>
      </c>
      <c r="CI96" s="53">
        <f t="shared" si="97"/>
        <v>0.9156916406605246</v>
      </c>
      <c r="CJ96" s="53">
        <f t="shared" si="98"/>
        <v>-0.1324186149780879</v>
      </c>
      <c r="CK96" s="53">
        <f t="shared" si="99"/>
        <v>2.894017058350073</v>
      </c>
      <c r="CL96" s="53">
        <f t="shared" si="100"/>
        <v>-11.686767667297254</v>
      </c>
      <c r="CM96" s="53">
        <f t="shared" si="101"/>
        <v>0.4719816997018329</v>
      </c>
      <c r="CO96" s="53">
        <f t="shared" si="102"/>
        <v>1.8340955773198253</v>
      </c>
      <c r="CP96" s="53">
        <f t="shared" si="103"/>
        <v>0</v>
      </c>
      <c r="CQ96" s="53">
        <f t="shared" si="104"/>
        <v>43.43760176537211</v>
      </c>
    </row>
    <row r="97" spans="1:95" ht="15">
      <c r="A97" s="54" t="s">
        <v>90</v>
      </c>
      <c r="B97" s="70">
        <v>6</v>
      </c>
      <c r="C97" s="16">
        <v>33515932.779435404</v>
      </c>
      <c r="D97" s="51">
        <v>0.3863909070734165</v>
      </c>
      <c r="E97" s="16">
        <f t="shared" si="73"/>
        <v>12950251.668057699</v>
      </c>
      <c r="F97" s="51"/>
      <c r="G97" s="16"/>
      <c r="H97" s="51">
        <v>0.2501169100004681</v>
      </c>
      <c r="I97" s="52">
        <f t="shared" si="105"/>
        <v>0</v>
      </c>
      <c r="J97" s="52">
        <f t="shared" si="106"/>
        <v>0</v>
      </c>
      <c r="K97" s="52">
        <f t="shared" si="107"/>
        <v>0</v>
      </c>
      <c r="L97" s="16">
        <f t="shared" si="74"/>
        <v>8382901.542575783</v>
      </c>
      <c r="M97" s="16">
        <f t="shared" si="75"/>
        <v>20565681.111377705</v>
      </c>
      <c r="N97" s="52">
        <f t="shared" si="76"/>
        <v>0.06252922750011702</v>
      </c>
      <c r="O97" s="51">
        <f t="shared" si="77"/>
        <v>0.05</v>
      </c>
      <c r="P97" s="16">
        <f t="shared" si="78"/>
        <v>1675796.6389717702</v>
      </c>
      <c r="Q97" s="51"/>
      <c r="R97" s="16">
        <f t="shared" si="79"/>
        <v>30176645.967707653</v>
      </c>
      <c r="S97" s="16">
        <f t="shared" si="80"/>
        <v>30638159.513569213</v>
      </c>
      <c r="T97" s="16">
        <f t="shared" si="81"/>
        <v>32907953.783777058</v>
      </c>
      <c r="U97" s="16">
        <f t="shared" si="82"/>
        <v>36879832.52359474</v>
      </c>
      <c r="V97" s="16">
        <f t="shared" si="83"/>
        <v>37341346.069456294</v>
      </c>
      <c r="W97" s="16">
        <f t="shared" si="84"/>
        <v>39611140.33966414</v>
      </c>
      <c r="X97" s="54"/>
      <c r="Y97" s="53">
        <v>256</v>
      </c>
      <c r="Z97" s="53">
        <v>135</v>
      </c>
      <c r="AA97" s="53">
        <v>267</v>
      </c>
      <c r="AB97" s="53">
        <v>231</v>
      </c>
      <c r="AC97" s="53">
        <v>2</v>
      </c>
      <c r="AD97" s="53">
        <v>4</v>
      </c>
      <c r="AE97" s="53">
        <v>0</v>
      </c>
      <c r="AF97" s="53">
        <v>0</v>
      </c>
      <c r="AG97" s="53">
        <v>67</v>
      </c>
      <c r="AH97" s="53">
        <v>132</v>
      </c>
      <c r="AI97" s="53">
        <v>492</v>
      </c>
      <c r="AJ97" s="53">
        <v>104</v>
      </c>
      <c r="AK97" s="53">
        <v>3386</v>
      </c>
      <c r="AL97" s="53">
        <v>6</v>
      </c>
      <c r="AM97" s="53">
        <v>871</v>
      </c>
      <c r="AN97" s="53">
        <v>0</v>
      </c>
      <c r="AO97" s="53">
        <v>0</v>
      </c>
      <c r="AP97" s="53">
        <v>1</v>
      </c>
      <c r="AQ97" s="53">
        <v>916</v>
      </c>
      <c r="AR97" s="53">
        <v>0</v>
      </c>
      <c r="AS97" s="53">
        <v>0</v>
      </c>
      <c r="AT97" s="53">
        <v>22</v>
      </c>
      <c r="AU97" s="53">
        <v>44652</v>
      </c>
      <c r="AV97" s="53">
        <v>29</v>
      </c>
      <c r="AW97" s="53">
        <v>17718</v>
      </c>
      <c r="AX97" s="53">
        <v>492</v>
      </c>
      <c r="AY97" s="53">
        <v>0</v>
      </c>
      <c r="AZ97" s="53">
        <v>30</v>
      </c>
      <c r="BA97" s="53">
        <v>1</v>
      </c>
      <c r="BB97" s="53">
        <v>30</v>
      </c>
      <c r="BC97" s="53">
        <v>16993</v>
      </c>
      <c r="BD97" s="53">
        <v>4101911</v>
      </c>
      <c r="BF97" s="53">
        <f t="shared" si="63"/>
        <v>4326559</v>
      </c>
      <c r="BG97" s="53">
        <f t="shared" si="64"/>
        <v>5973688</v>
      </c>
      <c r="BH97" s="53">
        <f t="shared" si="65"/>
        <v>297506</v>
      </c>
      <c r="BI97" s="53">
        <f t="shared" si="66"/>
        <v>349753.31999999995</v>
      </c>
      <c r="BJ97" s="53">
        <f t="shared" si="67"/>
        <v>2540</v>
      </c>
      <c r="BK97" s="53">
        <f>SUMIF(Renseanlæg!$A:$A,SPILDEVAND!A97,Renseanlæg!$I:$I)</f>
        <v>15080437.447707653</v>
      </c>
      <c r="BL97" s="53">
        <f t="shared" si="68"/>
        <v>2093407.8</v>
      </c>
      <c r="BM97" s="53">
        <f t="shared" si="69"/>
        <v>2052754.4</v>
      </c>
      <c r="BN97" s="53">
        <v>30.51835827024032</v>
      </c>
      <c r="BO97" s="53">
        <f t="shared" si="70"/>
        <v>0.01898659217877095</v>
      </c>
      <c r="BP97" s="53">
        <f t="shared" si="71"/>
        <v>30176645.967707653</v>
      </c>
      <c r="BQ97" s="53">
        <f t="shared" si="108"/>
        <v>30638159.513569213</v>
      </c>
      <c r="BR97" s="53">
        <f t="shared" si="72"/>
        <v>32907953.783777058</v>
      </c>
      <c r="BS97" s="53">
        <v>29315093</v>
      </c>
      <c r="BT97" s="53"/>
      <c r="BU97" s="53">
        <f t="shared" si="85"/>
        <v>14.337441624990054</v>
      </c>
      <c r="BV97" s="53">
        <f t="shared" si="86"/>
        <v>19.795732124744767</v>
      </c>
      <c r="BW97" s="53">
        <f t="shared" si="87"/>
        <v>0.9858815996925712</v>
      </c>
      <c r="BX97" s="53">
        <f t="shared" si="88"/>
        <v>1.1590198605049569</v>
      </c>
      <c r="BY97" s="53">
        <f t="shared" si="89"/>
        <v>0.00841710507760896</v>
      </c>
      <c r="BZ97" s="53">
        <f t="shared" si="90"/>
        <v>49.97386874553715</v>
      </c>
      <c r="CA97" s="53">
        <f t="shared" si="91"/>
        <v>6.937178512947323</v>
      </c>
      <c r="CB97" s="53">
        <f t="shared" si="92"/>
        <v>6.802460426505563</v>
      </c>
      <c r="CD97" s="53">
        <f t="shared" si="93"/>
        <v>22.125783651188186</v>
      </c>
      <c r="CF97" s="53">
        <f t="shared" si="94"/>
        <v>7.287194157351381</v>
      </c>
      <c r="CG97" s="53">
        <f t="shared" si="95"/>
        <v>0.3552206693648863</v>
      </c>
      <c r="CH97" s="53">
        <f t="shared" si="96"/>
        <v>1.0452991981023194</v>
      </c>
      <c r="CI97" s="53">
        <f t="shared" si="97"/>
        <v>0.33177652986610173</v>
      </c>
      <c r="CJ97" s="53">
        <f t="shared" si="98"/>
        <v>0.04832757694766212</v>
      </c>
      <c r="CK97" s="53">
        <f t="shared" si="99"/>
        <v>-15.772203997008312</v>
      </c>
      <c r="CL97" s="53">
        <f t="shared" si="100"/>
        <v>6.441641067201175</v>
      </c>
      <c r="CM97" s="53">
        <f t="shared" si="101"/>
        <v>0.26274479817478014</v>
      </c>
      <c r="CO97" s="53">
        <f t="shared" si="102"/>
        <v>8.595238153628483</v>
      </c>
      <c r="CP97" s="53">
        <f t="shared" si="103"/>
        <v>0</v>
      </c>
      <c r="CQ97" s="53">
        <f t="shared" si="104"/>
        <v>43.08053563643791</v>
      </c>
    </row>
    <row r="98" spans="1:95" ht="15">
      <c r="A98" s="54" t="s">
        <v>18</v>
      </c>
      <c r="B98" s="70">
        <v>4</v>
      </c>
      <c r="C98" s="16">
        <v>21861540.71380435</v>
      </c>
      <c r="D98" s="51">
        <v>0.3367913390890137</v>
      </c>
      <c r="E98" s="16">
        <f t="shared" si="73"/>
        <v>7362777.571551159</v>
      </c>
      <c r="F98" s="51"/>
      <c r="G98" s="16"/>
      <c r="H98" s="51">
        <v>0.2005173441827881</v>
      </c>
      <c r="I98" s="52">
        <f t="shared" si="105"/>
        <v>0</v>
      </c>
      <c r="J98" s="52">
        <f t="shared" si="106"/>
        <v>0</v>
      </c>
      <c r="K98" s="52">
        <f t="shared" si="107"/>
        <v>0</v>
      </c>
      <c r="L98" s="16">
        <f t="shared" si="74"/>
        <v>4383618.083675941</v>
      </c>
      <c r="M98" s="16">
        <f t="shared" si="75"/>
        <v>14498763.14225319</v>
      </c>
      <c r="N98" s="52">
        <f t="shared" si="76"/>
        <v>0.050129336045697026</v>
      </c>
      <c r="O98" s="51">
        <f t="shared" si="77"/>
        <v>0.05</v>
      </c>
      <c r="P98" s="16">
        <f t="shared" si="78"/>
        <v>1093077.0356902175</v>
      </c>
      <c r="Q98" s="51"/>
      <c r="R98" s="16">
        <f t="shared" si="79"/>
        <v>21278840.315005727</v>
      </c>
      <c r="S98" s="16">
        <f t="shared" si="80"/>
        <v>22962977.26935958</v>
      </c>
      <c r="T98" s="16">
        <f t="shared" si="81"/>
        <v>15299486.186489116</v>
      </c>
      <c r="U98" s="16">
        <f t="shared" si="82"/>
        <v>25651148.457766596</v>
      </c>
      <c r="V98" s="16">
        <f t="shared" si="83"/>
        <v>27335285.41212045</v>
      </c>
      <c r="W98" s="16">
        <f t="shared" si="84"/>
        <v>19671794.329249986</v>
      </c>
      <c r="X98" s="54"/>
      <c r="Y98" s="53">
        <v>125</v>
      </c>
      <c r="Z98" s="53">
        <v>51</v>
      </c>
      <c r="AA98" s="53">
        <v>342</v>
      </c>
      <c r="AB98" s="53">
        <v>264</v>
      </c>
      <c r="AC98" s="53">
        <v>0</v>
      </c>
      <c r="AD98" s="53">
        <v>0</v>
      </c>
      <c r="AE98" s="53">
        <v>0</v>
      </c>
      <c r="AF98" s="53">
        <v>0</v>
      </c>
      <c r="AG98" s="53">
        <v>9</v>
      </c>
      <c r="AH98" s="53">
        <v>47</v>
      </c>
      <c r="AI98" s="53">
        <v>290</v>
      </c>
      <c r="AJ98" s="53">
        <v>48</v>
      </c>
      <c r="AK98" s="53">
        <v>1061</v>
      </c>
      <c r="AL98" s="53">
        <v>1</v>
      </c>
      <c r="AM98" s="53">
        <v>286</v>
      </c>
      <c r="AN98" s="53">
        <v>1</v>
      </c>
      <c r="AO98" s="53">
        <v>389</v>
      </c>
      <c r="AP98" s="53">
        <v>0</v>
      </c>
      <c r="AQ98" s="53">
        <v>0</v>
      </c>
      <c r="AR98" s="53">
        <v>0</v>
      </c>
      <c r="AS98" s="53">
        <v>0</v>
      </c>
      <c r="AT98" s="53">
        <v>66</v>
      </c>
      <c r="AU98" s="53">
        <v>102000</v>
      </c>
      <c r="AV98" s="53">
        <v>28</v>
      </c>
      <c r="AW98" s="53">
        <v>30233</v>
      </c>
      <c r="AX98" s="53">
        <v>737</v>
      </c>
      <c r="AY98" s="53">
        <v>0</v>
      </c>
      <c r="AZ98" s="53">
        <v>0</v>
      </c>
      <c r="BA98" s="53">
        <v>0</v>
      </c>
      <c r="BB98" s="53">
        <v>0</v>
      </c>
      <c r="BC98" s="53">
        <v>0</v>
      </c>
      <c r="BD98" s="53">
        <v>3900000</v>
      </c>
      <c r="BF98" s="53">
        <f t="shared" si="63"/>
        <v>3346178</v>
      </c>
      <c r="BG98" s="53">
        <f t="shared" si="64"/>
        <v>2086433</v>
      </c>
      <c r="BH98" s="53">
        <f t="shared" si="65"/>
        <v>892518</v>
      </c>
      <c r="BI98" s="53">
        <f t="shared" si="66"/>
        <v>596799.4199999999</v>
      </c>
      <c r="BJ98" s="53">
        <f t="shared" si="67"/>
        <v>0</v>
      </c>
      <c r="BK98" s="53">
        <f>SUMIF(Renseanlæg!$A:$A,SPILDEVAND!A98,Renseanlæg!$I:$I)</f>
        <v>11434412.095005726</v>
      </c>
      <c r="BL98" s="53">
        <f t="shared" si="68"/>
        <v>2922499.8000000003</v>
      </c>
      <c r="BM98" s="53">
        <f t="shared" si="69"/>
        <v>0</v>
      </c>
      <c r="BN98" s="53">
        <v>34.50913045959737</v>
      </c>
      <c r="BO98" s="53">
        <f t="shared" si="70"/>
        <v>0</v>
      </c>
      <c r="BP98" s="53">
        <f t="shared" si="71"/>
        <v>21278840.315005727</v>
      </c>
      <c r="BQ98" s="53">
        <f t="shared" si="108"/>
        <v>22962977.26935958</v>
      </c>
      <c r="BR98" s="53">
        <f t="shared" si="72"/>
        <v>15299486.186489116</v>
      </c>
      <c r="BS98" s="53">
        <v>23158302</v>
      </c>
      <c r="BT98" s="53"/>
      <c r="BU98" s="53">
        <f t="shared" si="85"/>
        <v>15.72537765434657</v>
      </c>
      <c r="BV98" s="53">
        <f t="shared" si="86"/>
        <v>9.80520070226129</v>
      </c>
      <c r="BW98" s="53">
        <f t="shared" si="87"/>
        <v>4.194392113420772</v>
      </c>
      <c r="BX98" s="53">
        <f t="shared" si="88"/>
        <v>2.804661396792099</v>
      </c>
      <c r="BY98" s="53">
        <f t="shared" si="89"/>
        <v>0</v>
      </c>
      <c r="BZ98" s="53">
        <f t="shared" si="90"/>
        <v>53.736067970500436</v>
      </c>
      <c r="CA98" s="53">
        <f t="shared" si="91"/>
        <v>13.734300162678831</v>
      </c>
      <c r="CB98" s="53">
        <f t="shared" si="92"/>
        <v>0</v>
      </c>
      <c r="CD98" s="53">
        <f t="shared" si="93"/>
        <v>19.91976976776734</v>
      </c>
      <c r="CF98" s="53">
        <f t="shared" si="94"/>
        <v>5.899258127994866</v>
      </c>
      <c r="CG98" s="53">
        <f t="shared" si="95"/>
        <v>10.345752091848363</v>
      </c>
      <c r="CH98" s="53">
        <f t="shared" si="96"/>
        <v>-2.1632113156258814</v>
      </c>
      <c r="CI98" s="53">
        <f t="shared" si="97"/>
        <v>-1.3138650064210404</v>
      </c>
      <c r="CJ98" s="53">
        <f t="shared" si="98"/>
        <v>0.05674468202527108</v>
      </c>
      <c r="CK98" s="53">
        <f t="shared" si="99"/>
        <v>-19.534403221971594</v>
      </c>
      <c r="CL98" s="53">
        <f t="shared" si="100"/>
        <v>-0.3554805825303333</v>
      </c>
      <c r="CM98" s="53">
        <f t="shared" si="101"/>
        <v>7.065205224680343</v>
      </c>
      <c r="CO98" s="53">
        <f t="shared" si="102"/>
        <v>10.801252037049327</v>
      </c>
      <c r="CP98" s="53">
        <f t="shared" si="103"/>
        <v>0</v>
      </c>
      <c r="CQ98" s="53">
        <f t="shared" si="104"/>
        <v>32.529631866820736</v>
      </c>
    </row>
    <row r="99" spans="1:95" ht="15">
      <c r="A99" s="54" t="s">
        <v>119</v>
      </c>
      <c r="B99" s="70">
        <v>4</v>
      </c>
      <c r="C99" s="16">
        <v>76992123.15071185</v>
      </c>
      <c r="D99" s="51">
        <v>0.259624916922659</v>
      </c>
      <c r="E99" s="16">
        <f t="shared" si="73"/>
        <v>19989073.576702695</v>
      </c>
      <c r="F99" s="51">
        <v>0.3768846</v>
      </c>
      <c r="G99" s="16">
        <f>F99*C99</f>
        <v>29017145.536806777</v>
      </c>
      <c r="H99" s="51">
        <v>0.12335091224298289</v>
      </c>
      <c r="I99" s="52">
        <f t="shared" si="105"/>
        <v>0</v>
      </c>
      <c r="J99" s="52">
        <f t="shared" si="106"/>
        <v>0</v>
      </c>
      <c r="K99" s="52">
        <f t="shared" si="107"/>
        <v>0</v>
      </c>
      <c r="L99" s="16">
        <f t="shared" si="74"/>
        <v>9497048.626164388</v>
      </c>
      <c r="M99" s="16">
        <f t="shared" si="75"/>
        <v>57003049.57400915</v>
      </c>
      <c r="N99" s="52">
        <f t="shared" si="76"/>
        <v>0.030837728060745723</v>
      </c>
      <c r="O99" s="51">
        <f t="shared" si="77"/>
        <v>0.030837728060745723</v>
      </c>
      <c r="P99" s="16">
        <f t="shared" si="78"/>
        <v>2374262.156541097</v>
      </c>
      <c r="Q99" s="51"/>
      <c r="R99" s="16">
        <f t="shared" si="79"/>
        <v>83659464.24627194</v>
      </c>
      <c r="S99" s="16">
        <f t="shared" si="80"/>
        <v>86727602.571144</v>
      </c>
      <c r="T99" s="16">
        <f t="shared" si="81"/>
        <v>85698471.40267555</v>
      </c>
      <c r="U99" s="16">
        <f t="shared" si="82"/>
        <v>99057888.87641431</v>
      </c>
      <c r="V99" s="16">
        <f t="shared" si="83"/>
        <v>102126027.20128638</v>
      </c>
      <c r="W99" s="16">
        <f t="shared" si="84"/>
        <v>101096896.03281793</v>
      </c>
      <c r="X99" s="54"/>
      <c r="Y99" s="53">
        <v>365.1</v>
      </c>
      <c r="Z99" s="53">
        <v>111.4</v>
      </c>
      <c r="AA99" s="53">
        <v>801.8</v>
      </c>
      <c r="AB99" s="53">
        <v>461.5</v>
      </c>
      <c r="AC99" s="53">
        <v>37.8</v>
      </c>
      <c r="AD99" s="53">
        <v>51.7</v>
      </c>
      <c r="AE99" s="53">
        <v>0</v>
      </c>
      <c r="AF99" s="53">
        <v>0</v>
      </c>
      <c r="AG99" s="53">
        <v>315</v>
      </c>
      <c r="AH99" s="53">
        <v>205</v>
      </c>
      <c r="AI99" s="53">
        <v>1640</v>
      </c>
      <c r="AJ99" s="53">
        <v>112</v>
      </c>
      <c r="AK99" s="53">
        <v>5960</v>
      </c>
      <c r="AL99" s="53">
        <v>10</v>
      </c>
      <c r="AM99" s="53">
        <v>2570</v>
      </c>
      <c r="AN99" s="53">
        <v>2</v>
      </c>
      <c r="AO99" s="53">
        <v>1000</v>
      </c>
      <c r="AP99" s="53">
        <v>0</v>
      </c>
      <c r="AQ99" s="53">
        <v>0</v>
      </c>
      <c r="AR99" s="53">
        <v>0</v>
      </c>
      <c r="AS99" s="53">
        <v>0</v>
      </c>
      <c r="AT99" s="53">
        <v>184</v>
      </c>
      <c r="AU99" s="53">
        <v>542709</v>
      </c>
      <c r="AV99" s="53">
        <v>64</v>
      </c>
      <c r="AW99" s="53">
        <v>27683</v>
      </c>
      <c r="AX99" s="53">
        <v>2362</v>
      </c>
      <c r="AY99" s="53">
        <v>0</v>
      </c>
      <c r="AZ99" s="53">
        <v>0</v>
      </c>
      <c r="BA99" s="53">
        <v>86</v>
      </c>
      <c r="BB99" s="53">
        <v>440</v>
      </c>
      <c r="BC99" s="53">
        <v>28549</v>
      </c>
      <c r="BD99" s="53">
        <v>8515468</v>
      </c>
      <c r="BE99" s="53">
        <v>13249878</v>
      </c>
      <c r="BF99" s="53">
        <f aca="true" t="shared" si="109" ref="BF99:BF105">4279*((Y99+Z99)+(AA99+AB99))+87088*((AC99+AD99)+(AE99+AF99))</f>
        <v>15238980.2</v>
      </c>
      <c r="BG99" s="53">
        <f aca="true" t="shared" si="110" ref="BG99:BG105">(6628*AG99)+(13891*AH99)+(24337*AJ99)+(102864*(AL99+AN99))+(598*(AQ99+AS99))</f>
        <v>8895587</v>
      </c>
      <c r="BH99" s="53">
        <f aca="true" t="shared" si="111" ref="BH99:BH105">13523*AT99</f>
        <v>2488232</v>
      </c>
      <c r="BI99" s="53">
        <f aca="true" t="shared" si="112" ref="BI99:BI105">19.74*AW99</f>
        <v>546462.4199999999</v>
      </c>
      <c r="BJ99" s="53">
        <f aca="true" t="shared" si="113" ref="BJ99:BJ105">2540*BA99</f>
        <v>218440</v>
      </c>
      <c r="BK99" s="53">
        <f>SUMIF(Renseanlæg!$A:$A,SPILDEVAND!A99,Renseanlæg!$I:$I)</f>
        <v>30206890.626271933</v>
      </c>
      <c r="BL99" s="53">
        <f aca="true" t="shared" si="114" ref="BL99:BL105">(3965.4*AX99)+(4747.7*(AY99+AZ99))</f>
        <v>9366274.8</v>
      </c>
      <c r="BM99" s="53">
        <f aca="true" t="shared" si="115" ref="BM99:BM105">120.8*BC99</f>
        <v>3448719.1999999997</v>
      </c>
      <c r="BN99" s="53">
        <v>31.854633317277955</v>
      </c>
      <c r="BO99" s="53">
        <f aca="true" t="shared" si="116" ref="BO99:BO105">BC99/(SUM(Y99:AF99)*1000)</f>
        <v>0.015606516153720003</v>
      </c>
      <c r="BP99" s="53">
        <f aca="true" t="shared" si="117" ref="BP99:BP105">SUM(BE99:BM99)</f>
        <v>83659464.24627194</v>
      </c>
      <c r="BQ99" s="53">
        <f t="shared" si="108"/>
        <v>86727602.571144</v>
      </c>
      <c r="BR99" s="53">
        <f aca="true" t="shared" si="118" ref="BR99:BR105">(0.719+19.567*BO99)*BP99</f>
        <v>85698471.40267555</v>
      </c>
      <c r="BS99" s="53">
        <v>73885525</v>
      </c>
      <c r="BT99" s="53"/>
      <c r="BU99" s="53">
        <f t="shared" si="85"/>
        <v>21.64333155814685</v>
      </c>
      <c r="BV99" s="53">
        <f t="shared" si="86"/>
        <v>12.634056630990365</v>
      </c>
      <c r="BW99" s="53">
        <f t="shared" si="87"/>
        <v>3.5339392441490842</v>
      </c>
      <c r="BX99" s="53">
        <f t="shared" si="88"/>
        <v>0.7761193455797848</v>
      </c>
      <c r="BY99" s="53">
        <f t="shared" si="89"/>
        <v>0.3102418458133831</v>
      </c>
      <c r="BZ99" s="53">
        <f t="shared" si="90"/>
        <v>42.90167324747109</v>
      </c>
      <c r="CA99" s="53">
        <f t="shared" si="91"/>
        <v>13.3025562275562</v>
      </c>
      <c r="CB99" s="53">
        <f t="shared" si="92"/>
        <v>4.898081900293234</v>
      </c>
      <c r="CD99" s="53">
        <f t="shared" si="93"/>
        <v>30.07535270258917</v>
      </c>
      <c r="CF99" s="53">
        <f t="shared" si="94"/>
        <v>-0.018695775805415593</v>
      </c>
      <c r="CG99" s="53">
        <f t="shared" si="95"/>
        <v>7.516896163119288</v>
      </c>
      <c r="CH99" s="53">
        <f t="shared" si="96"/>
        <v>-1.5027584463541936</v>
      </c>
      <c r="CI99" s="53">
        <f t="shared" si="97"/>
        <v>0.7146770447912738</v>
      </c>
      <c r="CJ99" s="53">
        <f t="shared" si="98"/>
        <v>-0.25349716378811205</v>
      </c>
      <c r="CK99" s="53">
        <f t="shared" si="99"/>
        <v>-8.700008498942246</v>
      </c>
      <c r="CL99" s="53">
        <f t="shared" si="100"/>
        <v>0.07626335259229755</v>
      </c>
      <c r="CM99" s="53">
        <f t="shared" si="101"/>
        <v>2.1671233243871093</v>
      </c>
      <c r="CO99" s="53">
        <f t="shared" si="102"/>
        <v>0.6456691022274974</v>
      </c>
      <c r="CP99" s="53">
        <f t="shared" si="103"/>
        <v>0</v>
      </c>
      <c r="CQ99" s="53">
        <f t="shared" si="104"/>
        <v>43.485528679159316</v>
      </c>
    </row>
    <row r="100" spans="1:95" ht="15">
      <c r="A100" s="54" t="s">
        <v>63</v>
      </c>
      <c r="B100" s="70">
        <v>6</v>
      </c>
      <c r="C100" s="16">
        <v>44698563</v>
      </c>
      <c r="D100" s="51">
        <v>0.29954746902321805</v>
      </c>
      <c r="E100" s="16">
        <f t="shared" si="73"/>
        <v>13389341.41562486</v>
      </c>
      <c r="F100" s="51"/>
      <c r="G100" s="16"/>
      <c r="H100" s="51">
        <v>0.16327347702968853</v>
      </c>
      <c r="I100" s="52">
        <f t="shared" si="105"/>
        <v>0</v>
      </c>
      <c r="J100" s="52">
        <f t="shared" si="106"/>
        <v>0</v>
      </c>
      <c r="K100" s="52">
        <f t="shared" si="107"/>
        <v>0</v>
      </c>
      <c r="L100" s="16">
        <f t="shared" si="74"/>
        <v>7298089.799240585</v>
      </c>
      <c r="M100" s="16">
        <f t="shared" si="75"/>
        <v>31309221.58437514</v>
      </c>
      <c r="N100" s="52">
        <f t="shared" si="76"/>
        <v>0.04081836925742213</v>
      </c>
      <c r="O100" s="51">
        <f t="shared" si="77"/>
        <v>0.04081836925742213</v>
      </c>
      <c r="P100" s="16">
        <f t="shared" si="78"/>
        <v>1824522.4498101464</v>
      </c>
      <c r="Q100" s="51"/>
      <c r="R100" s="16">
        <f t="shared" si="79"/>
        <v>45950395.85676081</v>
      </c>
      <c r="S100" s="16">
        <f t="shared" si="80"/>
        <v>47304687.17345261</v>
      </c>
      <c r="T100" s="16">
        <f t="shared" si="81"/>
        <v>46589280.570448734</v>
      </c>
      <c r="U100" s="16">
        <f t="shared" si="82"/>
        <v>54890108.45676081</v>
      </c>
      <c r="V100" s="16">
        <f t="shared" si="83"/>
        <v>56244399.77345261</v>
      </c>
      <c r="W100" s="16">
        <f t="shared" si="84"/>
        <v>55528993.170448735</v>
      </c>
      <c r="X100" s="54"/>
      <c r="Y100" s="53">
        <v>209</v>
      </c>
      <c r="Z100" s="53">
        <v>73</v>
      </c>
      <c r="AA100" s="53">
        <v>579</v>
      </c>
      <c r="AB100" s="53">
        <v>313</v>
      </c>
      <c r="AC100" s="53">
        <v>21</v>
      </c>
      <c r="AD100" s="53">
        <v>22</v>
      </c>
      <c r="AE100" s="53">
        <v>0</v>
      </c>
      <c r="AF100" s="53">
        <v>0</v>
      </c>
      <c r="AG100" s="53">
        <v>66</v>
      </c>
      <c r="AH100" s="53">
        <v>82</v>
      </c>
      <c r="AI100" s="53">
        <v>386</v>
      </c>
      <c r="AJ100" s="53">
        <v>122</v>
      </c>
      <c r="AK100" s="53">
        <v>2601</v>
      </c>
      <c r="AL100" s="53">
        <v>1</v>
      </c>
      <c r="AM100" s="53">
        <v>200</v>
      </c>
      <c r="AN100" s="53">
        <v>0</v>
      </c>
      <c r="AO100" s="53">
        <v>0</v>
      </c>
      <c r="AP100" s="53">
        <v>0</v>
      </c>
      <c r="AQ100" s="53">
        <v>0</v>
      </c>
      <c r="AR100" s="53">
        <v>2</v>
      </c>
      <c r="AS100" s="53">
        <v>2180</v>
      </c>
      <c r="AT100" s="53">
        <v>77</v>
      </c>
      <c r="AU100" s="53">
        <v>209250</v>
      </c>
      <c r="AV100" s="53">
        <v>20</v>
      </c>
      <c r="AW100" s="53">
        <v>6894</v>
      </c>
      <c r="AX100" s="53">
        <v>2367</v>
      </c>
      <c r="AY100" s="53">
        <v>73</v>
      </c>
      <c r="AZ100" s="53">
        <v>0</v>
      </c>
      <c r="BA100" s="53">
        <v>0</v>
      </c>
      <c r="BB100" s="53">
        <v>0</v>
      </c>
      <c r="BC100" s="53">
        <v>18342</v>
      </c>
      <c r="BD100" s="53">
        <v>5330865</v>
      </c>
      <c r="BF100" s="53">
        <f t="shared" si="109"/>
        <v>8768330</v>
      </c>
      <c r="BG100" s="53">
        <f t="shared" si="110"/>
        <v>5952128</v>
      </c>
      <c r="BH100" s="53">
        <f t="shared" si="111"/>
        <v>1041271</v>
      </c>
      <c r="BI100" s="53">
        <f t="shared" si="112"/>
        <v>136087.56</v>
      </c>
      <c r="BJ100" s="53">
        <f t="shared" si="113"/>
        <v>0</v>
      </c>
      <c r="BK100" s="53">
        <f>SUMIF(Renseanlæg!$A:$A,SPILDEVAND!A100,Renseanlæg!$I:$I)</f>
        <v>18104181.79676081</v>
      </c>
      <c r="BL100" s="53">
        <f t="shared" si="114"/>
        <v>9732683.9</v>
      </c>
      <c r="BM100" s="53">
        <f t="shared" si="115"/>
        <v>2215713.6</v>
      </c>
      <c r="BN100" s="53">
        <v>31.404556106700195</v>
      </c>
      <c r="BO100" s="53">
        <f t="shared" si="116"/>
        <v>0.015071487263763353</v>
      </c>
      <c r="BP100" s="53">
        <f t="shared" si="117"/>
        <v>45950395.85676081</v>
      </c>
      <c r="BQ100" s="53">
        <f t="shared" si="108"/>
        <v>47304687.17345261</v>
      </c>
      <c r="BR100" s="53">
        <f t="shared" si="118"/>
        <v>46589280.570448734</v>
      </c>
      <c r="BS100" s="53">
        <v>41337723</v>
      </c>
      <c r="BT100" s="53"/>
      <c r="BU100" s="53">
        <f t="shared" si="85"/>
        <v>19.08216422625202</v>
      </c>
      <c r="BV100" s="53">
        <f t="shared" si="86"/>
        <v>12.95337698189655</v>
      </c>
      <c r="BW100" s="53">
        <f t="shared" si="87"/>
        <v>2.266076234132801</v>
      </c>
      <c r="BX100" s="53">
        <f t="shared" si="88"/>
        <v>0.29616188818964667</v>
      </c>
      <c r="BY100" s="53">
        <f t="shared" si="89"/>
        <v>0</v>
      </c>
      <c r="BZ100" s="53">
        <f t="shared" si="90"/>
        <v>39.399403333099016</v>
      </c>
      <c r="CA100" s="53">
        <f t="shared" si="91"/>
        <v>21.180848866545738</v>
      </c>
      <c r="CB100" s="53">
        <f t="shared" si="92"/>
        <v>4.821968469884239</v>
      </c>
      <c r="CD100" s="53">
        <f t="shared" si="93"/>
        <v>26.17020893026906</v>
      </c>
      <c r="CF100" s="53">
        <f t="shared" si="94"/>
        <v>2.542471556089417</v>
      </c>
      <c r="CG100" s="53">
        <f t="shared" si="95"/>
        <v>7.197575812213103</v>
      </c>
      <c r="CH100" s="53">
        <f t="shared" si="96"/>
        <v>-0.23489543633791055</v>
      </c>
      <c r="CI100" s="53">
        <f t="shared" si="97"/>
        <v>1.194634502181412</v>
      </c>
      <c r="CJ100" s="53">
        <f t="shared" si="98"/>
        <v>0.05674468202527108</v>
      </c>
      <c r="CK100" s="53">
        <f t="shared" si="99"/>
        <v>-5.197738584570175</v>
      </c>
      <c r="CL100" s="53">
        <f t="shared" si="100"/>
        <v>-7.802029286397239</v>
      </c>
      <c r="CM100" s="53">
        <f t="shared" si="101"/>
        <v>2.2432367547961043</v>
      </c>
      <c r="CO100" s="53">
        <f t="shared" si="102"/>
        <v>4.55081287454761</v>
      </c>
      <c r="CP100" s="53">
        <f t="shared" si="103"/>
        <v>0</v>
      </c>
      <c r="CQ100" s="53">
        <f t="shared" si="104"/>
        <v>39.41974780035526</v>
      </c>
    </row>
    <row r="101" spans="1:95" ht="15">
      <c r="A101" s="54" t="s">
        <v>15</v>
      </c>
      <c r="B101" s="70">
        <v>6</v>
      </c>
      <c r="C101" s="16">
        <v>26699900.099999998</v>
      </c>
      <c r="D101" s="51">
        <v>0</v>
      </c>
      <c r="E101" s="16">
        <f t="shared" si="73"/>
        <v>0</v>
      </c>
      <c r="F101" s="51"/>
      <c r="G101" s="16"/>
      <c r="H101" s="51">
        <v>0</v>
      </c>
      <c r="I101" s="52">
        <f t="shared" si="105"/>
        <v>0</v>
      </c>
      <c r="J101" s="52">
        <f t="shared" si="106"/>
        <v>0</v>
      </c>
      <c r="K101" s="52">
        <f t="shared" si="107"/>
        <v>0</v>
      </c>
      <c r="L101" s="16">
        <f t="shared" si="74"/>
        <v>0</v>
      </c>
      <c r="M101" s="16">
        <v>27677898</v>
      </c>
      <c r="N101" s="52">
        <f t="shared" si="76"/>
        <v>0</v>
      </c>
      <c r="O101" s="51">
        <f t="shared" si="77"/>
        <v>0</v>
      </c>
      <c r="P101" s="16">
        <f t="shared" si="78"/>
        <v>0</v>
      </c>
      <c r="Q101" s="51"/>
      <c r="R101" s="16">
        <f t="shared" si="79"/>
        <v>40620951.949747086</v>
      </c>
      <c r="S101" s="16">
        <f t="shared" si="80"/>
        <v>44305325.717524186</v>
      </c>
      <c r="T101" s="16">
        <f t="shared" si="81"/>
        <v>41573003.55952889</v>
      </c>
      <c r="U101" s="16">
        <f t="shared" si="82"/>
        <v>45960931.96974708</v>
      </c>
      <c r="V101" s="16">
        <f t="shared" si="83"/>
        <v>49645305.73752418</v>
      </c>
      <c r="W101" s="16">
        <f t="shared" si="84"/>
        <v>46912983.57952888</v>
      </c>
      <c r="X101" s="54"/>
      <c r="Y101" s="53">
        <v>94</v>
      </c>
      <c r="Z101" s="53">
        <v>64</v>
      </c>
      <c r="AA101" s="53">
        <v>404</v>
      </c>
      <c r="AB101" s="53">
        <v>281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55</v>
      </c>
      <c r="AI101" s="53">
        <v>192</v>
      </c>
      <c r="AJ101" s="53">
        <v>82</v>
      </c>
      <c r="AK101" s="53">
        <v>2988</v>
      </c>
      <c r="AL101" s="53">
        <v>1</v>
      </c>
      <c r="AM101" s="53">
        <v>1371</v>
      </c>
      <c r="AN101" s="53">
        <v>2</v>
      </c>
      <c r="AO101" s="53">
        <v>2250</v>
      </c>
      <c r="AP101" s="53">
        <v>0</v>
      </c>
      <c r="AQ101" s="53">
        <v>0</v>
      </c>
      <c r="AR101" s="53">
        <v>0</v>
      </c>
      <c r="AS101" s="53">
        <v>0</v>
      </c>
      <c r="AT101" s="53">
        <v>59</v>
      </c>
      <c r="AU101" s="53">
        <v>300739</v>
      </c>
      <c r="AV101" s="53">
        <v>6</v>
      </c>
      <c r="AW101" s="53">
        <v>2464</v>
      </c>
      <c r="AX101" s="53">
        <v>2808</v>
      </c>
      <c r="AY101" s="53">
        <v>0</v>
      </c>
      <c r="AZ101" s="53">
        <v>112</v>
      </c>
      <c r="BA101" s="53">
        <v>0</v>
      </c>
      <c r="BB101" s="53">
        <v>0</v>
      </c>
      <c r="BC101" s="53">
        <v>13116</v>
      </c>
      <c r="BD101" s="53">
        <v>4466295</v>
      </c>
      <c r="BF101" s="53">
        <f t="shared" si="109"/>
        <v>3607197</v>
      </c>
      <c r="BG101" s="53">
        <f t="shared" si="110"/>
        <v>3068231</v>
      </c>
      <c r="BH101" s="53">
        <f t="shared" si="111"/>
        <v>797857</v>
      </c>
      <c r="BI101" s="53">
        <f t="shared" si="112"/>
        <v>48639.35999999999</v>
      </c>
      <c r="BJ101" s="53">
        <f t="shared" si="113"/>
        <v>0</v>
      </c>
      <c r="BK101" s="53">
        <f>SUMIF(Renseanlæg!$A:$A,SPILDEVAND!A101,Renseanlæg!$I:$I)</f>
        <v>19848029.189747084</v>
      </c>
      <c r="BL101" s="53">
        <f t="shared" si="114"/>
        <v>11666585.600000001</v>
      </c>
      <c r="BM101" s="53">
        <f t="shared" si="115"/>
        <v>1584412.8</v>
      </c>
      <c r="BN101" s="53">
        <v>35.23133220193718</v>
      </c>
      <c r="BO101" s="53">
        <f t="shared" si="116"/>
        <v>0.015558718861209964</v>
      </c>
      <c r="BP101" s="53">
        <f t="shared" si="117"/>
        <v>40620951.949747086</v>
      </c>
      <c r="BQ101" s="53">
        <f t="shared" si="108"/>
        <v>44305325.717524186</v>
      </c>
      <c r="BR101" s="53">
        <f t="shared" si="118"/>
        <v>41573003.55952889</v>
      </c>
      <c r="BS101" s="53">
        <v>27234571</v>
      </c>
      <c r="BT101" s="53"/>
      <c r="BU101" s="53">
        <f t="shared" si="85"/>
        <v>8.880139009205221</v>
      </c>
      <c r="BV101" s="53">
        <f t="shared" si="86"/>
        <v>7.553321260899459</v>
      </c>
      <c r="BW101" s="53">
        <f t="shared" si="87"/>
        <v>1.9641514088272558</v>
      </c>
      <c r="BX101" s="53">
        <f t="shared" si="88"/>
        <v>0.11973958675358623</v>
      </c>
      <c r="BY101" s="53">
        <f t="shared" si="89"/>
        <v>0</v>
      </c>
      <c r="BZ101" s="53">
        <f t="shared" si="90"/>
        <v>48.86155601252634</v>
      </c>
      <c r="CA101" s="53">
        <f t="shared" si="91"/>
        <v>28.72061101481065</v>
      </c>
      <c r="CB101" s="53">
        <f t="shared" si="92"/>
        <v>3.900481706977487</v>
      </c>
      <c r="CD101" s="53">
        <f t="shared" si="93"/>
        <v>14.744772125009964</v>
      </c>
      <c r="CF101" s="53">
        <f t="shared" si="94"/>
        <v>12.744496773136214</v>
      </c>
      <c r="CG101" s="53">
        <f t="shared" si="95"/>
        <v>12.597631533210194</v>
      </c>
      <c r="CH101" s="53">
        <f t="shared" si="96"/>
        <v>0.06702938896763477</v>
      </c>
      <c r="CI101" s="53">
        <f t="shared" si="97"/>
        <v>1.3710568036174724</v>
      </c>
      <c r="CJ101" s="53">
        <f t="shared" si="98"/>
        <v>0.05674468202527108</v>
      </c>
      <c r="CK101" s="53">
        <f t="shared" si="99"/>
        <v>-14.659891263997501</v>
      </c>
      <c r="CL101" s="53">
        <f t="shared" si="100"/>
        <v>-15.341791434662152</v>
      </c>
      <c r="CM101" s="53">
        <f t="shared" si="101"/>
        <v>3.1647235177028565</v>
      </c>
      <c r="CO101" s="53">
        <f t="shared" si="102"/>
        <v>15.976249679806704</v>
      </c>
      <c r="CP101" s="53">
        <f t="shared" si="103"/>
        <v>0</v>
      </c>
      <c r="CQ101" s="53">
        <f t="shared" si="104"/>
        <v>22.41783297266301</v>
      </c>
    </row>
    <row r="102" spans="1:95" ht="15">
      <c r="A102" s="54" t="s">
        <v>73</v>
      </c>
      <c r="B102" s="70">
        <v>4</v>
      </c>
      <c r="C102" s="16">
        <v>30714266</v>
      </c>
      <c r="D102" s="51">
        <v>0.23001288074237292</v>
      </c>
      <c r="E102" s="16">
        <f t="shared" si="73"/>
        <v>7064676.802547519</v>
      </c>
      <c r="F102" s="51"/>
      <c r="G102" s="16"/>
      <c r="H102" s="51">
        <v>0.11255017386396082</v>
      </c>
      <c r="I102" s="52">
        <f t="shared" si="105"/>
        <v>0</v>
      </c>
      <c r="J102" s="52">
        <f t="shared" si="106"/>
        <v>0</v>
      </c>
      <c r="K102" s="52">
        <f t="shared" si="107"/>
        <v>0</v>
      </c>
      <c r="L102" s="16">
        <f t="shared" si="74"/>
        <v>3456895.9784039403</v>
      </c>
      <c r="M102" s="16">
        <f t="shared" si="75"/>
        <v>23649589.19745248</v>
      </c>
      <c r="N102" s="52">
        <f t="shared" si="76"/>
        <v>0.028137543465990206</v>
      </c>
      <c r="O102" s="51">
        <f t="shared" si="77"/>
        <v>0.028137543465990206</v>
      </c>
      <c r="P102" s="16">
        <f t="shared" si="78"/>
        <v>864223.9946009851</v>
      </c>
      <c r="Q102" s="51"/>
      <c r="R102" s="16">
        <f t="shared" si="79"/>
        <v>33637306.36110449</v>
      </c>
      <c r="S102" s="16">
        <f t="shared" si="80"/>
        <v>35702534.199220695</v>
      </c>
      <c r="T102" s="16">
        <f t="shared" si="81"/>
        <v>40267398.75013016</v>
      </c>
      <c r="U102" s="16">
        <f t="shared" si="82"/>
        <v>39780159.56110449</v>
      </c>
      <c r="V102" s="16">
        <f t="shared" si="83"/>
        <v>41845387.3992207</v>
      </c>
      <c r="W102" s="16">
        <f t="shared" si="84"/>
        <v>46410251.950130165</v>
      </c>
      <c r="X102" s="54"/>
      <c r="Y102" s="53">
        <f>287700/1000</f>
        <v>287.7</v>
      </c>
      <c r="Z102" s="53">
        <f>100047/1000</f>
        <v>100.047</v>
      </c>
      <c r="AA102" s="53">
        <f>224718/1000</f>
        <v>224.718</v>
      </c>
      <c r="AB102" s="53">
        <f>174790/1000</f>
        <v>174.79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289</v>
      </c>
      <c r="AI102" s="53">
        <v>0</v>
      </c>
      <c r="AJ102" s="53">
        <v>231</v>
      </c>
      <c r="AK102" s="53">
        <v>0</v>
      </c>
      <c r="AL102" s="53">
        <v>9</v>
      </c>
      <c r="AM102" s="53">
        <v>0</v>
      </c>
      <c r="AN102" s="53">
        <v>1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65</v>
      </c>
      <c r="AU102" s="53">
        <v>184507</v>
      </c>
      <c r="AV102" s="53">
        <v>0</v>
      </c>
      <c r="AW102" s="53">
        <v>0</v>
      </c>
      <c r="AX102" s="53">
        <v>674</v>
      </c>
      <c r="AY102" s="53">
        <v>0</v>
      </c>
      <c r="AZ102" s="53">
        <v>0</v>
      </c>
      <c r="BA102" s="53">
        <v>0</v>
      </c>
      <c r="BB102" s="53">
        <v>0</v>
      </c>
      <c r="BC102" s="53">
        <v>19236</v>
      </c>
      <c r="BD102" s="53">
        <v>4951855</v>
      </c>
      <c r="BF102" s="53">
        <f t="shared" si="109"/>
        <v>3368664.1449999996</v>
      </c>
      <c r="BG102" s="53">
        <f t="shared" si="110"/>
        <v>10664986</v>
      </c>
      <c r="BH102" s="53">
        <f t="shared" si="111"/>
        <v>878995</v>
      </c>
      <c r="BI102" s="53">
        <f t="shared" si="112"/>
        <v>0</v>
      </c>
      <c r="BJ102" s="53">
        <f t="shared" si="113"/>
        <v>0</v>
      </c>
      <c r="BK102" s="53">
        <f>SUMIF(Renseanlæg!$A:$A,SPILDEVAND!A102,Renseanlæg!$I:$I)</f>
        <v>13728272.816104492</v>
      </c>
      <c r="BL102" s="53">
        <f t="shared" si="114"/>
        <v>2672679.6</v>
      </c>
      <c r="BM102" s="53">
        <f t="shared" si="115"/>
        <v>2323708.8</v>
      </c>
      <c r="BN102" s="53">
        <v>33.39980904301889</v>
      </c>
      <c r="BO102" s="53">
        <f t="shared" si="116"/>
        <v>0.024434268439069935</v>
      </c>
      <c r="BP102" s="53">
        <f t="shared" si="117"/>
        <v>33637306.36110449</v>
      </c>
      <c r="BQ102" s="53">
        <f t="shared" si="108"/>
        <v>35702534.199220695</v>
      </c>
      <c r="BR102" s="53">
        <f t="shared" si="118"/>
        <v>40267398.75013016</v>
      </c>
      <c r="BS102" s="53">
        <v>27898691</v>
      </c>
      <c r="BT102" s="53"/>
      <c r="BU102" s="53">
        <f t="shared" si="85"/>
        <v>10.01466677752549</v>
      </c>
      <c r="BV102" s="53">
        <f t="shared" si="86"/>
        <v>31.705826517464974</v>
      </c>
      <c r="BW102" s="53">
        <f t="shared" si="87"/>
        <v>2.613155139605352</v>
      </c>
      <c r="BX102" s="53">
        <f t="shared" si="88"/>
        <v>0</v>
      </c>
      <c r="BY102" s="53">
        <f t="shared" si="89"/>
        <v>0</v>
      </c>
      <c r="BZ102" s="53">
        <f t="shared" si="90"/>
        <v>40.812640193980506</v>
      </c>
      <c r="CA102" s="53">
        <f t="shared" si="91"/>
        <v>7.945581525786127</v>
      </c>
      <c r="CB102" s="53">
        <f t="shared" si="92"/>
        <v>6.908129845637558</v>
      </c>
      <c r="CD102" s="53">
        <f t="shared" si="93"/>
        <v>19.5359517627684</v>
      </c>
      <c r="CF102" s="53">
        <f t="shared" si="94"/>
        <v>11.609969004815946</v>
      </c>
      <c r="CG102" s="53">
        <f t="shared" si="95"/>
        <v>-11.554873723355321</v>
      </c>
      <c r="CH102" s="53">
        <f t="shared" si="96"/>
        <v>-0.5819743418104615</v>
      </c>
      <c r="CI102" s="53">
        <f t="shared" si="97"/>
        <v>1.4907963903710586</v>
      </c>
      <c r="CJ102" s="53">
        <f t="shared" si="98"/>
        <v>0.05674468202527108</v>
      </c>
      <c r="CK102" s="53">
        <f t="shared" si="99"/>
        <v>-6.610975445451665</v>
      </c>
      <c r="CL102" s="53">
        <f t="shared" si="100"/>
        <v>5.433238054362371</v>
      </c>
      <c r="CM102" s="53">
        <f t="shared" si="101"/>
        <v>0.15707537904278546</v>
      </c>
      <c r="CO102" s="53">
        <f t="shared" si="102"/>
        <v>11.18507004204827</v>
      </c>
      <c r="CP102" s="53">
        <f t="shared" si="103"/>
        <v>0</v>
      </c>
      <c r="CQ102" s="53">
        <f t="shared" si="104"/>
        <v>51.241778280233376</v>
      </c>
    </row>
    <row r="103" spans="1:95" ht="15">
      <c r="A103" s="54" t="s">
        <v>10</v>
      </c>
      <c r="B103" s="70">
        <v>6</v>
      </c>
      <c r="C103" s="16">
        <v>5904526</v>
      </c>
      <c r="D103" s="51">
        <v>0.22942175120601538</v>
      </c>
      <c r="E103" s="16">
        <f t="shared" si="73"/>
        <v>1354626.6949614491</v>
      </c>
      <c r="F103" s="51"/>
      <c r="G103" s="16"/>
      <c r="H103" s="51">
        <v>0.11195906039690673</v>
      </c>
      <c r="I103" s="52">
        <f t="shared" si="105"/>
        <v>0</v>
      </c>
      <c r="J103" s="52">
        <f t="shared" si="106"/>
        <v>0</v>
      </c>
      <c r="K103" s="52">
        <f t="shared" si="107"/>
        <v>0</v>
      </c>
      <c r="L103" s="16">
        <f t="shared" si="74"/>
        <v>661065.1830491062</v>
      </c>
      <c r="M103" s="16">
        <f t="shared" si="75"/>
        <v>4549899.305038551</v>
      </c>
      <c r="N103" s="52">
        <f t="shared" si="76"/>
        <v>0.027989765099226682</v>
      </c>
      <c r="O103" s="51">
        <f t="shared" si="77"/>
        <v>0.027989765099226682</v>
      </c>
      <c r="P103" s="16">
        <f t="shared" si="78"/>
        <v>165266.29576227654</v>
      </c>
      <c r="Q103" s="51"/>
      <c r="R103" s="16">
        <f t="shared" si="79"/>
        <v>6440693.073095895</v>
      </c>
      <c r="S103" s="16">
        <f t="shared" si="80"/>
        <v>5964175.595244361</v>
      </c>
      <c r="T103" s="16">
        <f t="shared" si="81"/>
        <v>7746967.940985502</v>
      </c>
      <c r="U103" s="16">
        <f t="shared" si="82"/>
        <v>7621598.273095896</v>
      </c>
      <c r="V103" s="16">
        <f t="shared" si="83"/>
        <v>7145080.795244361</v>
      </c>
      <c r="W103" s="16">
        <f t="shared" si="84"/>
        <v>8927873.140985502</v>
      </c>
      <c r="X103" s="54"/>
      <c r="Y103" s="53">
        <v>46</v>
      </c>
      <c r="Z103" s="53">
        <v>9</v>
      </c>
      <c r="AA103" s="53">
        <v>77</v>
      </c>
      <c r="AB103" s="53">
        <v>25</v>
      </c>
      <c r="AC103" s="53">
        <v>0</v>
      </c>
      <c r="AD103" s="53">
        <v>0</v>
      </c>
      <c r="AE103" s="53">
        <v>0</v>
      </c>
      <c r="AF103" s="53">
        <v>0</v>
      </c>
      <c r="AG103" s="53">
        <v>26</v>
      </c>
      <c r="AH103" s="53">
        <v>20</v>
      </c>
      <c r="AI103" s="53">
        <v>106</v>
      </c>
      <c r="AJ103" s="53">
        <v>18</v>
      </c>
      <c r="AK103" s="53">
        <v>577</v>
      </c>
      <c r="AL103" s="53">
        <v>2</v>
      </c>
      <c r="AM103" s="53">
        <v>230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53">
        <v>0</v>
      </c>
      <c r="AT103" s="53">
        <v>1</v>
      </c>
      <c r="AU103" s="53">
        <v>1870</v>
      </c>
      <c r="AV103" s="53">
        <v>3</v>
      </c>
      <c r="AW103" s="53">
        <v>1400</v>
      </c>
      <c r="AX103" s="53">
        <v>240</v>
      </c>
      <c r="AY103" s="53">
        <v>0</v>
      </c>
      <c r="AZ103" s="53">
        <v>0</v>
      </c>
      <c r="BA103" s="53">
        <v>5</v>
      </c>
      <c r="BB103" s="53">
        <v>25</v>
      </c>
      <c r="BC103" s="53">
        <v>3882</v>
      </c>
      <c r="BD103" s="53">
        <v>650000</v>
      </c>
      <c r="BF103" s="53">
        <f t="shared" si="109"/>
        <v>671803</v>
      </c>
      <c r="BG103" s="53">
        <f t="shared" si="110"/>
        <v>1093942</v>
      </c>
      <c r="BH103" s="53">
        <f t="shared" si="111"/>
        <v>13523</v>
      </c>
      <c r="BI103" s="53">
        <f t="shared" si="112"/>
        <v>27635.999999999996</v>
      </c>
      <c r="BJ103" s="53">
        <f t="shared" si="113"/>
        <v>12700</v>
      </c>
      <c r="BK103" s="53">
        <f>SUMIF(Renseanlæg!$A:$A,SPILDEVAND!A103,Renseanlæg!$I:$I)</f>
        <v>3200447.4730958957</v>
      </c>
      <c r="BL103" s="53">
        <f t="shared" si="114"/>
        <v>951696</v>
      </c>
      <c r="BM103" s="53">
        <f t="shared" si="115"/>
        <v>468945.6</v>
      </c>
      <c r="BN103" s="53">
        <v>24.938410320874027</v>
      </c>
      <c r="BO103" s="53">
        <f t="shared" si="116"/>
        <v>0.024726114649681528</v>
      </c>
      <c r="BP103" s="53">
        <f t="shared" si="117"/>
        <v>6440693.073095895</v>
      </c>
      <c r="BQ103" s="53">
        <f t="shared" si="108"/>
        <v>5964175.595244361</v>
      </c>
      <c r="BR103" s="53">
        <f t="shared" si="118"/>
        <v>7746967.940985502</v>
      </c>
      <c r="BS103" s="53">
        <v>6257060</v>
      </c>
      <c r="BT103" s="53"/>
      <c r="BU103" s="53">
        <f t="shared" si="85"/>
        <v>10.430601060719068</v>
      </c>
      <c r="BV103" s="53">
        <f t="shared" si="86"/>
        <v>16.9848491083921</v>
      </c>
      <c r="BW103" s="53">
        <f t="shared" si="87"/>
        <v>0.20996187594295346</v>
      </c>
      <c r="BX103" s="53">
        <f t="shared" si="88"/>
        <v>0.4290842567151861</v>
      </c>
      <c r="BY103" s="53">
        <f t="shared" si="89"/>
        <v>0.19718374802007754</v>
      </c>
      <c r="BZ103" s="53">
        <f t="shared" si="90"/>
        <v>49.691041581609056</v>
      </c>
      <c r="CA103" s="53">
        <f t="shared" si="91"/>
        <v>14.776297972891003</v>
      </c>
      <c r="CB103" s="53">
        <f t="shared" si="92"/>
        <v>7.280980395710557</v>
      </c>
      <c r="CD103" s="53">
        <f t="shared" si="93"/>
        <v>17.92154333237258</v>
      </c>
      <c r="CF103" s="53">
        <f t="shared" si="94"/>
        <v>11.194034721622367</v>
      </c>
      <c r="CG103" s="53">
        <f t="shared" si="95"/>
        <v>3.1661036857175517</v>
      </c>
      <c r="CH103" s="53">
        <f t="shared" si="96"/>
        <v>1.821218921851937</v>
      </c>
      <c r="CI103" s="53">
        <f t="shared" si="97"/>
        <v>1.0617121336558726</v>
      </c>
      <c r="CJ103" s="53">
        <f t="shared" si="98"/>
        <v>-0.14043906599480646</v>
      </c>
      <c r="CK103" s="53">
        <f t="shared" si="99"/>
        <v>-15.489376833080215</v>
      </c>
      <c r="CL103" s="53">
        <f t="shared" si="100"/>
        <v>-1.3974783927425047</v>
      </c>
      <c r="CM103" s="53">
        <f t="shared" si="101"/>
        <v>-0.21577517103021382</v>
      </c>
      <c r="CO103" s="53">
        <f t="shared" si="102"/>
        <v>12.79947847244409</v>
      </c>
      <c r="CP103" s="53">
        <f t="shared" si="103"/>
        <v>0</v>
      </c>
      <c r="CQ103" s="53">
        <f t="shared" si="104"/>
        <v>35.33547669747986</v>
      </c>
    </row>
    <row r="104" spans="1:95" ht="15">
      <c r="A104" s="54" t="s">
        <v>104</v>
      </c>
      <c r="B104" s="70">
        <v>4</v>
      </c>
      <c r="C104" s="16">
        <v>105329687.68668935</v>
      </c>
      <c r="D104" s="51">
        <v>0.3348787860992918</v>
      </c>
      <c r="E104" s="16">
        <f t="shared" si="73"/>
        <v>35272677.95273605</v>
      </c>
      <c r="F104" s="51"/>
      <c r="G104" s="16"/>
      <c r="H104" s="51">
        <v>0.19860478237199175</v>
      </c>
      <c r="I104" s="52">
        <f t="shared" si="105"/>
        <v>0</v>
      </c>
      <c r="J104" s="52">
        <f t="shared" si="106"/>
        <v>0</v>
      </c>
      <c r="K104" s="52">
        <f t="shared" si="107"/>
        <v>0</v>
      </c>
      <c r="L104" s="16">
        <f t="shared" si="74"/>
        <v>20918979.700324796</v>
      </c>
      <c r="M104" s="16">
        <f t="shared" si="75"/>
        <v>70057009.7339533</v>
      </c>
      <c r="N104" s="52">
        <f t="shared" si="76"/>
        <v>0.04965119559299794</v>
      </c>
      <c r="O104" s="51">
        <f t="shared" si="77"/>
        <v>0.04965119559299794</v>
      </c>
      <c r="P104" s="16">
        <f t="shared" si="78"/>
        <v>5229744.925081199</v>
      </c>
      <c r="Q104" s="51"/>
      <c r="R104" s="16">
        <f t="shared" si="79"/>
        <v>102817866.02079883</v>
      </c>
      <c r="S104" s="16">
        <f t="shared" si="80"/>
        <v>116695323.33637753</v>
      </c>
      <c r="T104" s="16">
        <f t="shared" si="81"/>
        <v>116944214.86251238</v>
      </c>
      <c r="U104" s="16">
        <f t="shared" si="82"/>
        <v>123883803.5581367</v>
      </c>
      <c r="V104" s="16">
        <f t="shared" si="83"/>
        <v>137761260.8737154</v>
      </c>
      <c r="W104" s="16">
        <f t="shared" si="84"/>
        <v>138010152.39985025</v>
      </c>
      <c r="X104" s="54"/>
      <c r="Y104" s="53">
        <v>255</v>
      </c>
      <c r="Z104" s="53">
        <v>175</v>
      </c>
      <c r="AA104" s="53">
        <v>877</v>
      </c>
      <c r="AB104" s="53">
        <v>810</v>
      </c>
      <c r="AC104" s="53">
        <v>27</v>
      </c>
      <c r="AD104" s="53">
        <v>45</v>
      </c>
      <c r="AE104" s="53">
        <v>64</v>
      </c>
      <c r="AF104" s="53">
        <v>71</v>
      </c>
      <c r="AG104" s="53">
        <v>0</v>
      </c>
      <c r="AH104" s="53">
        <v>82</v>
      </c>
      <c r="AI104" s="53">
        <v>320</v>
      </c>
      <c r="AJ104" s="53">
        <v>127</v>
      </c>
      <c r="AK104" s="53">
        <v>5629</v>
      </c>
      <c r="AL104" s="53">
        <v>29</v>
      </c>
      <c r="AM104" s="53">
        <v>4783</v>
      </c>
      <c r="AN104" s="53">
        <v>6</v>
      </c>
      <c r="AO104" s="53">
        <v>2315</v>
      </c>
      <c r="AP104" s="53">
        <v>2</v>
      </c>
      <c r="AQ104" s="53">
        <v>1520</v>
      </c>
      <c r="AR104" s="53">
        <v>2</v>
      </c>
      <c r="AS104" s="53">
        <v>3686</v>
      </c>
      <c r="AT104" s="53">
        <v>85</v>
      </c>
      <c r="AU104" s="53">
        <v>705133</v>
      </c>
      <c r="AV104" s="53">
        <v>11</v>
      </c>
      <c r="AW104" s="53">
        <v>17670</v>
      </c>
      <c r="AX104" s="53">
        <v>0</v>
      </c>
      <c r="AY104" s="53">
        <v>926</v>
      </c>
      <c r="AZ104" s="53">
        <v>3629</v>
      </c>
      <c r="BA104" s="53">
        <v>14</v>
      </c>
      <c r="BB104" s="53">
        <v>70</v>
      </c>
      <c r="BC104" s="53">
        <v>49693</v>
      </c>
      <c r="BD104" s="53">
        <v>14730531</v>
      </c>
      <c r="BF104" s="53">
        <f t="shared" si="109"/>
        <v>27085859</v>
      </c>
      <c r="BG104" s="53">
        <f t="shared" si="110"/>
        <v>10943289</v>
      </c>
      <c r="BH104" s="53">
        <f t="shared" si="111"/>
        <v>1149455</v>
      </c>
      <c r="BI104" s="53">
        <f t="shared" si="112"/>
        <v>348805.8</v>
      </c>
      <c r="BJ104" s="53">
        <f t="shared" si="113"/>
        <v>35560</v>
      </c>
      <c r="BK104" s="53">
        <f>SUMIF(Renseanlæg!$A:$A,SPILDEVAND!A104,Renseanlæg!$I:$I)</f>
        <v>35626209.32079884</v>
      </c>
      <c r="BL104" s="53">
        <f t="shared" si="114"/>
        <v>21625773.5</v>
      </c>
      <c r="BM104" s="53">
        <f t="shared" si="115"/>
        <v>6002914.399999999</v>
      </c>
      <c r="BN104" s="53">
        <v>37.99820398600003</v>
      </c>
      <c r="BO104" s="53">
        <f t="shared" si="116"/>
        <v>0.021382530120481927</v>
      </c>
      <c r="BP104" s="53">
        <f t="shared" si="117"/>
        <v>102817866.02079883</v>
      </c>
      <c r="BQ104" s="53">
        <f t="shared" si="108"/>
        <v>116695323.33637753</v>
      </c>
      <c r="BR104" s="53">
        <f t="shared" si="118"/>
        <v>116944214.86251238</v>
      </c>
      <c r="BS104" s="53">
        <v>99532402</v>
      </c>
      <c r="BT104" s="53"/>
      <c r="BU104" s="53">
        <f t="shared" si="85"/>
        <v>26.343533520254987</v>
      </c>
      <c r="BV104" s="53">
        <f t="shared" si="86"/>
        <v>10.643373008525876</v>
      </c>
      <c r="BW104" s="53">
        <f t="shared" si="87"/>
        <v>1.1179525937325707</v>
      </c>
      <c r="BX104" s="53">
        <f t="shared" si="88"/>
        <v>0.3392462939558002</v>
      </c>
      <c r="BY104" s="53">
        <f t="shared" si="89"/>
        <v>0.03458542894948494</v>
      </c>
      <c r="BZ104" s="53">
        <f t="shared" si="90"/>
        <v>34.64982371214754</v>
      </c>
      <c r="CA104" s="53">
        <f t="shared" si="91"/>
        <v>21.033089225587858</v>
      </c>
      <c r="CB104" s="53">
        <f t="shared" si="92"/>
        <v>5.8383962168458945</v>
      </c>
      <c r="CD104" s="53">
        <f t="shared" si="93"/>
        <v>33.299882330833455</v>
      </c>
      <c r="CF104" s="53">
        <f t="shared" si="94"/>
        <v>-4.718897737913551</v>
      </c>
      <c r="CG104" s="53">
        <f t="shared" si="95"/>
        <v>9.507579785583777</v>
      </c>
      <c r="CH104" s="53">
        <f t="shared" si="96"/>
        <v>0.9132282040623199</v>
      </c>
      <c r="CI104" s="53">
        <f t="shared" si="97"/>
        <v>1.1515500964152583</v>
      </c>
      <c r="CJ104" s="53">
        <f t="shared" si="98"/>
        <v>0.022159253075786138</v>
      </c>
      <c r="CK104" s="53">
        <f t="shared" si="99"/>
        <v>-0.44815896361869534</v>
      </c>
      <c r="CL104" s="53">
        <f t="shared" si="100"/>
        <v>-7.65426964543936</v>
      </c>
      <c r="CM104" s="53">
        <f t="shared" si="101"/>
        <v>1.226809007834449</v>
      </c>
      <c r="CO104" s="53">
        <f t="shared" si="102"/>
        <v>-2.5788605260167863</v>
      </c>
      <c r="CP104" s="53">
        <f t="shared" si="103"/>
        <v>0</v>
      </c>
      <c r="CQ104" s="53">
        <f t="shared" si="104"/>
        <v>44.28250163331513</v>
      </c>
    </row>
    <row r="105" spans="1:95" ht="15">
      <c r="A105" s="54" t="s">
        <v>16</v>
      </c>
      <c r="B105" s="70">
        <v>4</v>
      </c>
      <c r="C105" s="16">
        <v>133522734.79220809</v>
      </c>
      <c r="D105" s="51">
        <v>0.17367440144220792</v>
      </c>
      <c r="E105" s="16">
        <f t="shared" si="73"/>
        <v>23189481.04396341</v>
      </c>
      <c r="F105" s="51"/>
      <c r="G105" s="16"/>
      <c r="H105" s="51">
        <v>0.05621169073942567</v>
      </c>
      <c r="I105" s="52">
        <f t="shared" si="105"/>
        <v>0</v>
      </c>
      <c r="J105" s="52">
        <f t="shared" si="106"/>
        <v>0</v>
      </c>
      <c r="K105" s="52">
        <f t="shared" si="107"/>
        <v>0</v>
      </c>
      <c r="L105" s="16">
        <f t="shared" si="74"/>
        <v>7505538.674821953</v>
      </c>
      <c r="M105" s="16">
        <f t="shared" si="75"/>
        <v>110333253.74824467</v>
      </c>
      <c r="N105" s="52">
        <f t="shared" si="76"/>
        <v>0.014052922684856417</v>
      </c>
      <c r="O105" s="51">
        <f t="shared" si="77"/>
        <v>0.014052922684856417</v>
      </c>
      <c r="P105" s="16">
        <f t="shared" si="78"/>
        <v>1876384.6687054883</v>
      </c>
      <c r="Q105" s="51"/>
      <c r="R105" s="16">
        <f t="shared" si="79"/>
        <v>143428177.2536039</v>
      </c>
      <c r="S105" s="16">
        <f t="shared" si="80"/>
        <v>161705117.59560952</v>
      </c>
      <c r="T105" s="16">
        <f t="shared" si="81"/>
        <v>187860902.46823338</v>
      </c>
      <c r="U105" s="16">
        <f t="shared" si="82"/>
        <v>170132724.21204552</v>
      </c>
      <c r="V105" s="16">
        <f t="shared" si="83"/>
        <v>188409664.55405113</v>
      </c>
      <c r="W105" s="16">
        <f t="shared" si="84"/>
        <v>214565449.426675</v>
      </c>
      <c r="X105" s="54"/>
      <c r="Y105" s="53">
        <v>174</v>
      </c>
      <c r="Z105" s="53">
        <v>101</v>
      </c>
      <c r="AA105" s="53">
        <v>996</v>
      </c>
      <c r="AB105" s="53">
        <v>934</v>
      </c>
      <c r="AC105" s="53">
        <v>60</v>
      </c>
      <c r="AD105" s="53">
        <v>132</v>
      </c>
      <c r="AE105" s="53">
        <v>15</v>
      </c>
      <c r="AF105" s="53">
        <v>155</v>
      </c>
      <c r="AG105" s="53">
        <v>461</v>
      </c>
      <c r="AH105" s="53">
        <v>45</v>
      </c>
      <c r="AI105" s="53">
        <v>313</v>
      </c>
      <c r="AJ105" s="53">
        <v>70</v>
      </c>
      <c r="AK105" s="53">
        <v>1702</v>
      </c>
      <c r="AL105" s="53">
        <v>1</v>
      </c>
      <c r="AM105" s="53">
        <v>130</v>
      </c>
      <c r="AN105" s="53">
        <v>1</v>
      </c>
      <c r="AO105" s="53">
        <v>500</v>
      </c>
      <c r="AP105" s="53">
        <v>0</v>
      </c>
      <c r="AQ105" s="53">
        <v>0</v>
      </c>
      <c r="AR105" s="53">
        <v>1</v>
      </c>
      <c r="AS105" s="53">
        <v>1300</v>
      </c>
      <c r="AT105" s="53">
        <v>318</v>
      </c>
      <c r="AU105" s="53">
        <v>1782894</v>
      </c>
      <c r="AV105" s="53">
        <v>22</v>
      </c>
      <c r="AW105" s="53">
        <v>82917</v>
      </c>
      <c r="AX105" s="53">
        <v>7913</v>
      </c>
      <c r="AY105" s="53">
        <v>0</v>
      </c>
      <c r="AZ105" s="53">
        <v>0</v>
      </c>
      <c r="BA105" s="53">
        <v>159</v>
      </c>
      <c r="BB105" s="53">
        <v>795</v>
      </c>
      <c r="BC105" s="53">
        <v>77506</v>
      </c>
      <c r="BD105" s="53">
        <v>18091947</v>
      </c>
      <c r="BF105" s="53">
        <f t="shared" si="109"/>
        <v>40961051</v>
      </c>
      <c r="BG105" s="53">
        <f t="shared" si="110"/>
        <v>6367321</v>
      </c>
      <c r="BH105" s="53">
        <f t="shared" si="111"/>
        <v>4300314</v>
      </c>
      <c r="BI105" s="53">
        <f t="shared" si="112"/>
        <v>1636781.5799999998</v>
      </c>
      <c r="BJ105" s="53">
        <f t="shared" si="113"/>
        <v>403860</v>
      </c>
      <c r="BK105" s="53">
        <f>SUMIF(Renseanlæg!$A:$A,SPILDEVAND!A105,Renseanlæg!$I:$I)</f>
        <v>49017914.67360391</v>
      </c>
      <c r="BL105" s="53">
        <f t="shared" si="114"/>
        <v>31378210.2</v>
      </c>
      <c r="BM105" s="53">
        <f t="shared" si="115"/>
        <v>9362724.799999999</v>
      </c>
      <c r="BN105" s="53">
        <v>37.5268260707104</v>
      </c>
      <c r="BO105" s="53">
        <f t="shared" si="116"/>
        <v>0.030193221659524736</v>
      </c>
      <c r="BP105" s="53">
        <f t="shared" si="117"/>
        <v>143428177.2536039</v>
      </c>
      <c r="BQ105" s="53">
        <f t="shared" si="108"/>
        <v>161705117.59560952</v>
      </c>
      <c r="BR105" s="53">
        <f t="shared" si="118"/>
        <v>187860902.46823338</v>
      </c>
      <c r="BS105" s="53">
        <v>117542254</v>
      </c>
      <c r="BT105" s="53"/>
      <c r="BU105" s="53">
        <f t="shared" si="85"/>
        <v>28.558580178826592</v>
      </c>
      <c r="BV105" s="53">
        <f t="shared" si="86"/>
        <v>4.439379431519624</v>
      </c>
      <c r="BW105" s="53">
        <f t="shared" si="87"/>
        <v>2.998235132275549</v>
      </c>
      <c r="BX105" s="53">
        <f t="shared" si="88"/>
        <v>1.1411855127363912</v>
      </c>
      <c r="BY105" s="53">
        <f t="shared" si="89"/>
        <v>0.28157647104858</v>
      </c>
      <c r="BZ105" s="53">
        <f t="shared" si="90"/>
        <v>34.175930847208924</v>
      </c>
      <c r="CA105" s="53">
        <f t="shared" si="91"/>
        <v>21.877298311138905</v>
      </c>
      <c r="CB105" s="53">
        <f t="shared" si="92"/>
        <v>6.527814115245436</v>
      </c>
      <c r="CD105" s="53">
        <f t="shared" si="93"/>
        <v>38.084629426347576</v>
      </c>
      <c r="CF105" s="53">
        <f t="shared" si="94"/>
        <v>-6.933944396485156</v>
      </c>
      <c r="CG105" s="53">
        <f t="shared" si="95"/>
        <v>15.711573362590029</v>
      </c>
      <c r="CH105" s="53">
        <f t="shared" si="96"/>
        <v>-0.9670543344806584</v>
      </c>
      <c r="CI105" s="53">
        <f t="shared" si="97"/>
        <v>0.34961087763466736</v>
      </c>
      <c r="CJ105" s="53">
        <f t="shared" si="98"/>
        <v>-0.22483178902330894</v>
      </c>
      <c r="CK105" s="53">
        <f t="shared" si="99"/>
        <v>0.025733901319917152</v>
      </c>
      <c r="CL105" s="53">
        <f t="shared" si="100"/>
        <v>-8.498478730990406</v>
      </c>
      <c r="CM105" s="53">
        <f t="shared" si="101"/>
        <v>0.5373911094349078</v>
      </c>
      <c r="CO105" s="53">
        <f t="shared" si="102"/>
        <v>-7.363607621530907</v>
      </c>
      <c r="CP105" s="53">
        <f t="shared" si="103"/>
        <v>0</v>
      </c>
      <c r="CQ105" s="53">
        <f t="shared" si="104"/>
        <v>43.66519437060359</v>
      </c>
    </row>
    <row r="107" spans="3:15" ht="15">
      <c r="C107" s="16"/>
      <c r="D107" s="16"/>
      <c r="E107" s="16"/>
      <c r="F107" s="16"/>
      <c r="O107" s="7"/>
    </row>
    <row r="108" spans="3:82" ht="15">
      <c r="C108" s="16"/>
      <c r="D108" s="16"/>
      <c r="E108" s="16"/>
      <c r="F108" s="16"/>
      <c r="G108" s="16"/>
      <c r="H108" s="16"/>
      <c r="O108" s="7"/>
      <c r="BT108" s="62" t="s">
        <v>149</v>
      </c>
      <c r="BU108" s="63">
        <v>21.624635782341436</v>
      </c>
      <c r="BV108" s="63">
        <v>20.150952794109653</v>
      </c>
      <c r="BW108" s="63">
        <v>2.0311807977948906</v>
      </c>
      <c r="BX108" s="63">
        <v>1.4907963903710586</v>
      </c>
      <c r="BY108" s="63">
        <v>0.05674468202527108</v>
      </c>
      <c r="BZ108" s="63">
        <v>34.20166474852884</v>
      </c>
      <c r="CA108" s="63">
        <v>13.378819580148498</v>
      </c>
      <c r="CB108" s="63">
        <v>7.065205224680343</v>
      </c>
      <c r="CC108" s="63"/>
      <c r="CD108" s="64">
        <v>30.72102180481667</v>
      </c>
    </row>
    <row r="109" spans="4:82" ht="15">
      <c r="D109" s="53"/>
      <c r="E109" s="16"/>
      <c r="F109" s="16"/>
      <c r="G109" s="16"/>
      <c r="H109" s="16"/>
      <c r="O109" s="7"/>
      <c r="BT109" s="65" t="s">
        <v>150</v>
      </c>
      <c r="BU109" s="53">
        <v>324.41988756174305</v>
      </c>
      <c r="BV109" s="53">
        <v>157.78322314414504</v>
      </c>
      <c r="BW109" s="53">
        <v>3.241380724521319</v>
      </c>
      <c r="BX109" s="53">
        <v>4.986251795066612</v>
      </c>
      <c r="BY109" s="53">
        <v>0.021479347057795344</v>
      </c>
      <c r="BZ109" s="53">
        <v>329.1107506502171</v>
      </c>
      <c r="CA109" s="53">
        <v>160.35644166163368</v>
      </c>
      <c r="CB109" s="53">
        <v>22.872003601799406</v>
      </c>
      <c r="CC109" s="53"/>
      <c r="CD109" s="66">
        <v>434.21930609075963</v>
      </c>
    </row>
    <row r="110" spans="6:82" ht="15">
      <c r="F110" s="16"/>
      <c r="G110" s="16"/>
      <c r="H110" s="16"/>
      <c r="O110" s="7"/>
      <c r="BT110" s="65" t="s">
        <v>151</v>
      </c>
      <c r="BU110" s="53">
        <v>18.011659766988245</v>
      </c>
      <c r="BV110" s="53">
        <v>12.561179209936663</v>
      </c>
      <c r="BW110" s="53">
        <v>1.8003834937371868</v>
      </c>
      <c r="BX110" s="53">
        <v>2.2329916692783724</v>
      </c>
      <c r="BY110" s="53">
        <v>0.14655834011681268</v>
      </c>
      <c r="BZ110" s="53">
        <v>18.141409830832252</v>
      </c>
      <c r="CA110" s="53">
        <v>12.663192396139044</v>
      </c>
      <c r="CB110" s="53">
        <v>4.782468358682513</v>
      </c>
      <c r="CC110" s="53"/>
      <c r="CD110" s="66">
        <v>20.837929505849655</v>
      </c>
    </row>
    <row r="111" spans="5:82" ht="15">
      <c r="E111" s="16"/>
      <c r="F111" s="16"/>
      <c r="G111" s="16"/>
      <c r="H111" s="16"/>
      <c r="O111" s="7"/>
      <c r="BT111" s="67" t="s">
        <v>152</v>
      </c>
      <c r="BU111" s="68">
        <v>-18.011659766988245</v>
      </c>
      <c r="BV111" s="68">
        <v>-12.561179209936663</v>
      </c>
      <c r="BW111" s="68">
        <v>-1.8003834937371868</v>
      </c>
      <c r="BX111" s="68">
        <v>-2.2329916692783724</v>
      </c>
      <c r="BY111" s="68">
        <v>-0.14655834011681268</v>
      </c>
      <c r="BZ111" s="68">
        <v>-18.141409830832252</v>
      </c>
      <c r="CA111" s="68">
        <v>-12.663192396139044</v>
      </c>
      <c r="CB111" s="68">
        <v>-4.782468358682513</v>
      </c>
      <c r="CC111" s="68"/>
      <c r="CD111" s="69">
        <v>-20.837929505849655</v>
      </c>
    </row>
    <row r="112" ht="15">
      <c r="O112" s="7"/>
    </row>
    <row r="113" ht="15">
      <c r="O113" s="7"/>
    </row>
    <row r="114" ht="15">
      <c r="O114" s="7"/>
    </row>
    <row r="115" ht="15">
      <c r="O115" s="7"/>
    </row>
    <row r="116" ht="15">
      <c r="O116" s="7"/>
    </row>
    <row r="117" ht="15">
      <c r="O117" s="7"/>
    </row>
    <row r="118" ht="15">
      <c r="O118" s="7"/>
    </row>
    <row r="119" ht="15">
      <c r="O119" s="7"/>
    </row>
    <row r="120" ht="15">
      <c r="O120" s="7"/>
    </row>
    <row r="121" ht="15">
      <c r="O121" s="7"/>
    </row>
  </sheetData>
  <sheetProtection/>
  <conditionalFormatting sqref="BU2:CB105">
    <cfRule type="cellIs" priority="37" dxfId="15" operator="equal" stopIfTrue="1">
      <formula>0</formula>
    </cfRule>
  </conditionalFormatting>
  <conditionalFormatting sqref="CF2:CF105">
    <cfRule type="cellIs" priority="25" dxfId="15" operator="between" stopIfTrue="1">
      <formula>$BU$110</formula>
      <formula>$BU$111</formula>
    </cfRule>
  </conditionalFormatting>
  <conditionalFormatting sqref="CG2:CG105">
    <cfRule type="cellIs" priority="24" dxfId="15" operator="between" stopIfTrue="1">
      <formula>$BV$110</formula>
      <formula>$BV$111</formula>
    </cfRule>
  </conditionalFormatting>
  <conditionalFormatting sqref="CH2:CH105">
    <cfRule type="cellIs" priority="23" dxfId="15" operator="between" stopIfTrue="1">
      <formula>$BW$110</formula>
      <formula>$BW$111</formula>
    </cfRule>
  </conditionalFormatting>
  <conditionalFormatting sqref="CI2:CI105">
    <cfRule type="cellIs" priority="22" dxfId="15" operator="between" stopIfTrue="1">
      <formula>$BX$110</formula>
      <formula>$BX$111</formula>
    </cfRule>
  </conditionalFormatting>
  <conditionalFormatting sqref="CJ2:CJ105">
    <cfRule type="cellIs" priority="21" dxfId="15" operator="between" stopIfTrue="1">
      <formula>$BY$110</formula>
      <formula>$BY$111</formula>
    </cfRule>
  </conditionalFormatting>
  <conditionalFormatting sqref="CK2:CK105">
    <cfRule type="cellIs" priority="20" dxfId="15" operator="between" stopIfTrue="1">
      <formula>$BZ$110</formula>
      <formula>$BZ$111</formula>
    </cfRule>
  </conditionalFormatting>
  <conditionalFormatting sqref="CL2:CL105">
    <cfRule type="cellIs" priority="19" dxfId="15" operator="between" stopIfTrue="1">
      <formula>$CA$110</formula>
      <formula>$CA$111</formula>
    </cfRule>
  </conditionalFormatting>
  <conditionalFormatting sqref="CM2:CM105">
    <cfRule type="cellIs" priority="18" dxfId="15" operator="between" stopIfTrue="1">
      <formula>$CB$110</formula>
      <formula>$CB$111</formula>
    </cfRule>
  </conditionalFormatting>
  <conditionalFormatting sqref="CO2:CO105">
    <cfRule type="cellIs" priority="8" dxfId="15" operator="greaterThan" stopIfTrue="1">
      <formula>$CD$111</formula>
    </cfRule>
  </conditionalFormatting>
  <conditionalFormatting sqref="CP2:CP105">
    <cfRule type="cellIs" priority="7" dxfId="15" operator="equal" stopIfTrue="1">
      <formula>0</formula>
    </cfRule>
  </conditionalFormatting>
  <conditionalFormatting sqref="J2:K105">
    <cfRule type="cellIs" priority="4" dxfId="15" operator="equal" stopIfTrue="1">
      <formula>0</formula>
    </cfRule>
  </conditionalFormatting>
  <conditionalFormatting sqref="I2:I105">
    <cfRule type="cellIs" priority="3" dxfId="15" operator="equal" stopIfTrue="1">
      <formula>0</formula>
    </cfRule>
  </conditionalFormatting>
  <conditionalFormatting sqref="CQ2:CQ105">
    <cfRule type="cellIs" priority="2" dxfId="15" operator="lessThanOrEqual" stopIfTrue="1">
      <formula>20</formula>
    </cfRule>
  </conditionalFormatting>
  <conditionalFormatting sqref="O107:O121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36.8515625" style="11" bestFit="1" customWidth="1"/>
    <col min="2" max="2" width="13.57421875" style="9" customWidth="1"/>
    <col min="3" max="3" width="15.421875" style="9" customWidth="1"/>
    <col min="4" max="4" width="9.421875" style="9" customWidth="1"/>
    <col min="5" max="5" width="14.8515625" style="9" customWidth="1"/>
    <col min="6" max="6" width="10.140625" style="9" bestFit="1" customWidth="1"/>
    <col min="7" max="7" width="13.57421875" style="9" customWidth="1"/>
    <col min="8" max="8" width="13.421875" style="9" customWidth="1"/>
    <col min="9" max="9" width="14.28125" style="10" customWidth="1"/>
    <col min="10" max="16384" width="9.140625" style="9" customWidth="1"/>
  </cols>
  <sheetData>
    <row r="1" spans="1:9" ht="120.75" thickBot="1">
      <c r="A1" s="17" t="s">
        <v>177</v>
      </c>
      <c r="B1" s="18" t="s">
        <v>178</v>
      </c>
      <c r="C1" s="18" t="s">
        <v>179</v>
      </c>
      <c r="D1" s="18" t="s">
        <v>180</v>
      </c>
      <c r="E1" s="18" t="s">
        <v>181</v>
      </c>
      <c r="F1" s="19" t="s">
        <v>182</v>
      </c>
      <c r="G1" s="4" t="s">
        <v>183</v>
      </c>
      <c r="H1" s="5" t="s">
        <v>184</v>
      </c>
      <c r="I1" s="6" t="s">
        <v>185</v>
      </c>
    </row>
    <row r="2" spans="1:9" ht="15">
      <c r="A2" s="20" t="s">
        <v>2</v>
      </c>
      <c r="B2" s="21">
        <v>1</v>
      </c>
      <c r="C2" s="21">
        <v>1</v>
      </c>
      <c r="D2" s="22">
        <v>30</v>
      </c>
      <c r="E2" s="23">
        <v>0</v>
      </c>
      <c r="F2" s="24">
        <f>(D2+E2)/2</f>
        <v>15</v>
      </c>
      <c r="G2" s="25">
        <f>IF(C2=1,1581.92*(F2^0.6798),IF(C2=2,2991.14*(F2^0.6798),IF(C2=3,3113.49*(F2^0.6798),IF(C2=4,3279.19*(F2^0.6798),IF(C2=5,IF(B2=1,3891.82*(F2^0.6798),IF(B2=2,4076.24*(F2^0.6798),0)),0)))))</f>
        <v>9969.912682147515</v>
      </c>
      <c r="H2" s="26"/>
      <c r="I2" s="27">
        <f aca="true" t="shared" si="0" ref="I2:I14">IF(H2=0,"",H2+373.65)</f>
      </c>
    </row>
    <row r="3" spans="1:9" ht="15">
      <c r="A3" s="28" t="s">
        <v>2</v>
      </c>
      <c r="B3" s="29">
        <v>1</v>
      </c>
      <c r="C3" s="29">
        <v>2</v>
      </c>
      <c r="D3" s="30">
        <v>124</v>
      </c>
      <c r="E3" s="31">
        <v>7</v>
      </c>
      <c r="F3" s="32">
        <f aca="true" t="shared" si="1" ref="F3:F66">(D3+E3)/2</f>
        <v>65.5</v>
      </c>
      <c r="G3" s="2">
        <f aca="true" t="shared" si="2" ref="G3:G66">IF(C3=1,1581.92*(F3^0.6798),IF(C3=2,2991.14*(F3^0.6798),IF(C3=3,3113.49*(F3^0.6798),IF(C3=4,3279.19*(F3^0.6798),IF(C3=5,IF(B3=1,3891.82*(F3^0.6798),IF(B3=2,4076.24*(F3^0.6798),0)),0)))))</f>
        <v>51347.29578678496</v>
      </c>
      <c r="H3" s="26"/>
      <c r="I3" s="27">
        <f t="shared" si="0"/>
      </c>
    </row>
    <row r="4" spans="1:9" ht="15">
      <c r="A4" s="28" t="s">
        <v>2</v>
      </c>
      <c r="B4" s="29">
        <v>2</v>
      </c>
      <c r="C4" s="29">
        <v>3</v>
      </c>
      <c r="D4" s="30">
        <v>2227</v>
      </c>
      <c r="E4" s="31">
        <v>1509</v>
      </c>
      <c r="F4" s="32">
        <f t="shared" si="1"/>
        <v>1868</v>
      </c>
      <c r="G4" s="2">
        <f t="shared" si="2"/>
        <v>521350.1138225687</v>
      </c>
      <c r="H4" s="26"/>
      <c r="I4" s="27">
        <f t="shared" si="0"/>
      </c>
    </row>
    <row r="5" spans="1:9" ht="15">
      <c r="A5" s="28" t="s">
        <v>2</v>
      </c>
      <c r="B5" s="29">
        <v>2</v>
      </c>
      <c r="C5" s="29">
        <v>5</v>
      </c>
      <c r="D5" s="30">
        <v>1730</v>
      </c>
      <c r="E5" s="31">
        <v>1511</v>
      </c>
      <c r="F5" s="32">
        <f t="shared" si="1"/>
        <v>1620.5</v>
      </c>
      <c r="G5" s="2">
        <f t="shared" si="2"/>
        <v>619696.6674272568</v>
      </c>
      <c r="H5" s="26"/>
      <c r="I5" s="27">
        <f t="shared" si="0"/>
      </c>
    </row>
    <row r="6" spans="1:9" ht="15">
      <c r="A6" s="28" t="s">
        <v>2</v>
      </c>
      <c r="B6" s="29">
        <v>1</v>
      </c>
      <c r="C6" s="29">
        <v>2</v>
      </c>
      <c r="D6" s="30">
        <v>285</v>
      </c>
      <c r="E6" s="31">
        <v>483</v>
      </c>
      <c r="F6" s="32">
        <f t="shared" si="1"/>
        <v>384</v>
      </c>
      <c r="G6" s="2">
        <f t="shared" si="2"/>
        <v>170869.71967591075</v>
      </c>
      <c r="H6" s="26"/>
      <c r="I6" s="27">
        <f t="shared" si="0"/>
      </c>
    </row>
    <row r="7" spans="1:9" ht="15">
      <c r="A7" s="28" t="s">
        <v>2</v>
      </c>
      <c r="B7" s="29">
        <v>1</v>
      </c>
      <c r="C7" s="29">
        <v>1</v>
      </c>
      <c r="D7" s="30">
        <v>192</v>
      </c>
      <c r="E7" s="31">
        <v>75</v>
      </c>
      <c r="F7" s="32">
        <f t="shared" si="1"/>
        <v>133.5</v>
      </c>
      <c r="G7" s="2">
        <f t="shared" si="2"/>
        <v>44064.280303288266</v>
      </c>
      <c r="H7" s="26"/>
      <c r="I7" s="27">
        <f t="shared" si="0"/>
      </c>
    </row>
    <row r="8" spans="1:9" ht="15">
      <c r="A8" s="28" t="s">
        <v>2</v>
      </c>
      <c r="B8" s="29">
        <v>1</v>
      </c>
      <c r="C8" s="29">
        <v>1</v>
      </c>
      <c r="D8" s="30">
        <v>65</v>
      </c>
      <c r="E8" s="31">
        <v>0</v>
      </c>
      <c r="F8" s="32">
        <f t="shared" si="1"/>
        <v>32.5</v>
      </c>
      <c r="G8" s="2">
        <f t="shared" si="2"/>
        <v>16864.086673393875</v>
      </c>
      <c r="H8" s="26"/>
      <c r="I8" s="27">
        <f t="shared" si="0"/>
      </c>
    </row>
    <row r="9" spans="1:9" ht="15">
      <c r="A9" s="28" t="s">
        <v>2</v>
      </c>
      <c r="B9" s="29">
        <v>2</v>
      </c>
      <c r="C9" s="29">
        <v>5</v>
      </c>
      <c r="D9" s="30">
        <v>7500</v>
      </c>
      <c r="E9" s="31">
        <v>7973</v>
      </c>
      <c r="F9" s="32">
        <f t="shared" si="1"/>
        <v>7736.5</v>
      </c>
      <c r="G9" s="2">
        <f t="shared" si="2"/>
        <v>1793462.5721429843</v>
      </c>
      <c r="H9" s="26"/>
      <c r="I9" s="27">
        <f t="shared" si="0"/>
      </c>
    </row>
    <row r="10" spans="1:9" ht="15">
      <c r="A10" s="28" t="s">
        <v>2</v>
      </c>
      <c r="B10" s="29">
        <v>1</v>
      </c>
      <c r="C10" s="29">
        <v>3</v>
      </c>
      <c r="D10" s="30">
        <v>50</v>
      </c>
      <c r="E10" s="31">
        <v>0</v>
      </c>
      <c r="F10" s="32">
        <f t="shared" si="1"/>
        <v>25</v>
      </c>
      <c r="G10" s="2">
        <f t="shared" si="2"/>
        <v>27769.438161166636</v>
      </c>
      <c r="H10" s="26"/>
      <c r="I10" s="27">
        <f t="shared" si="0"/>
      </c>
    </row>
    <row r="11" spans="1:9" ht="15">
      <c r="A11" s="28" t="s">
        <v>2</v>
      </c>
      <c r="B11" s="29">
        <v>1</v>
      </c>
      <c r="C11" s="29">
        <v>3</v>
      </c>
      <c r="D11" s="30">
        <v>200</v>
      </c>
      <c r="E11" s="31">
        <v>219</v>
      </c>
      <c r="F11" s="32">
        <f t="shared" si="1"/>
        <v>209.5</v>
      </c>
      <c r="G11" s="2">
        <f t="shared" si="2"/>
        <v>117811.68755387641</v>
      </c>
      <c r="H11" s="26"/>
      <c r="I11" s="27">
        <f t="shared" si="0"/>
      </c>
    </row>
    <row r="12" spans="1:9" ht="15">
      <c r="A12" s="28" t="s">
        <v>2</v>
      </c>
      <c r="B12" s="29">
        <v>1</v>
      </c>
      <c r="C12" s="29">
        <v>3</v>
      </c>
      <c r="D12" s="30">
        <v>167</v>
      </c>
      <c r="E12" s="31">
        <v>171</v>
      </c>
      <c r="F12" s="32">
        <f t="shared" si="1"/>
        <v>169</v>
      </c>
      <c r="G12" s="2">
        <f t="shared" si="2"/>
        <v>101804.00344454788</v>
      </c>
      <c r="H12" s="26"/>
      <c r="I12" s="27">
        <f t="shared" si="0"/>
      </c>
    </row>
    <row r="13" spans="1:9" ht="15">
      <c r="A13" s="28" t="s">
        <v>2</v>
      </c>
      <c r="B13" s="29">
        <v>1</v>
      </c>
      <c r="C13" s="29">
        <v>2</v>
      </c>
      <c r="D13" s="30">
        <v>50</v>
      </c>
      <c r="E13" s="31">
        <v>0</v>
      </c>
      <c r="F13" s="32">
        <f t="shared" si="1"/>
        <v>25</v>
      </c>
      <c r="G13" s="2">
        <f t="shared" si="2"/>
        <v>26678.18983243626</v>
      </c>
      <c r="H13" s="26"/>
      <c r="I13" s="27">
        <f t="shared" si="0"/>
      </c>
    </row>
    <row r="14" spans="1:9" ht="15">
      <c r="A14" s="28" t="s">
        <v>2</v>
      </c>
      <c r="B14" s="29">
        <v>2</v>
      </c>
      <c r="C14" s="29">
        <v>3</v>
      </c>
      <c r="D14" s="30">
        <v>1100</v>
      </c>
      <c r="E14" s="31">
        <v>667</v>
      </c>
      <c r="F14" s="32">
        <f t="shared" si="1"/>
        <v>883.5</v>
      </c>
      <c r="G14" s="2">
        <f t="shared" si="2"/>
        <v>313385.35005891585</v>
      </c>
      <c r="H14" s="26"/>
      <c r="I14" s="27">
        <f t="shared" si="0"/>
      </c>
    </row>
    <row r="15" spans="1:9" ht="15.75" thickBot="1">
      <c r="A15" s="33" t="s">
        <v>2</v>
      </c>
      <c r="B15" s="34">
        <v>1</v>
      </c>
      <c r="C15" s="34">
        <v>3</v>
      </c>
      <c r="D15" s="35">
        <v>249</v>
      </c>
      <c r="E15" s="36">
        <v>91</v>
      </c>
      <c r="F15" s="37">
        <f t="shared" si="1"/>
        <v>170</v>
      </c>
      <c r="G15" s="38">
        <f t="shared" si="2"/>
        <v>102213.1216097017</v>
      </c>
      <c r="H15" s="39">
        <f>SUM(G2:G15)</f>
        <v>3917286.4391749804</v>
      </c>
      <c r="I15" s="27">
        <f>IF(H15=0,"",H15+373.65)</f>
        <v>3917660.0891749803</v>
      </c>
    </row>
    <row r="16" spans="1:9" ht="15">
      <c r="A16" s="20" t="s">
        <v>57</v>
      </c>
      <c r="B16" s="21">
        <v>2</v>
      </c>
      <c r="C16" s="21">
        <v>5</v>
      </c>
      <c r="D16" s="22">
        <v>750000</v>
      </c>
      <c r="E16" s="23">
        <v>806483</v>
      </c>
      <c r="F16" s="24">
        <f t="shared" si="1"/>
        <v>778241.5</v>
      </c>
      <c r="G16" s="25">
        <f t="shared" si="2"/>
        <v>41213481.782323875</v>
      </c>
      <c r="H16" s="26"/>
      <c r="I16" s="27">
        <f aca="true" t="shared" si="3" ref="I16:I79">IF(H16=0,"",H16+373.65)</f>
      </c>
    </row>
    <row r="17" spans="1:9" ht="15.75" thickBot="1">
      <c r="A17" s="28" t="s">
        <v>57</v>
      </c>
      <c r="B17" s="29">
        <v>2</v>
      </c>
      <c r="C17" s="29">
        <v>5</v>
      </c>
      <c r="D17" s="30">
        <v>350000</v>
      </c>
      <c r="E17" s="31">
        <v>280617</v>
      </c>
      <c r="F17" s="32">
        <f t="shared" si="1"/>
        <v>315308.5</v>
      </c>
      <c r="G17" s="2">
        <f t="shared" si="2"/>
        <v>22299763.67783255</v>
      </c>
      <c r="H17" s="39">
        <f>SUM(G16:G17)</f>
        <v>63513245.460156426</v>
      </c>
      <c r="I17" s="27">
        <f t="shared" si="3"/>
        <v>63513619.110156424</v>
      </c>
    </row>
    <row r="18" spans="1:9" ht="15">
      <c r="A18" s="20" t="s">
        <v>4</v>
      </c>
      <c r="B18" s="21">
        <v>2</v>
      </c>
      <c r="C18" s="21">
        <v>5</v>
      </c>
      <c r="D18" s="22">
        <v>410000</v>
      </c>
      <c r="E18" s="23">
        <v>226991</v>
      </c>
      <c r="F18" s="24">
        <f t="shared" si="1"/>
        <v>318495.5</v>
      </c>
      <c r="G18" s="25">
        <f t="shared" si="2"/>
        <v>22452741.179898556</v>
      </c>
      <c r="H18" s="26"/>
      <c r="I18" s="27">
        <f t="shared" si="3"/>
      </c>
    </row>
    <row r="19" spans="1:9" ht="15">
      <c r="A19" s="28" t="s">
        <v>4</v>
      </c>
      <c r="B19" s="29">
        <v>1</v>
      </c>
      <c r="C19" s="29">
        <v>5</v>
      </c>
      <c r="D19" s="30">
        <v>75000</v>
      </c>
      <c r="E19" s="31">
        <v>40214</v>
      </c>
      <c r="F19" s="32">
        <f t="shared" si="1"/>
        <v>57607</v>
      </c>
      <c r="G19" s="2">
        <f t="shared" si="2"/>
        <v>6703842.874270695</v>
      </c>
      <c r="H19" s="26"/>
      <c r="I19" s="27">
        <f t="shared" si="3"/>
      </c>
    </row>
    <row r="20" spans="1:9" ht="15">
      <c r="A20" s="28" t="s">
        <v>4</v>
      </c>
      <c r="B20" s="29">
        <v>1</v>
      </c>
      <c r="C20" s="29">
        <v>5</v>
      </c>
      <c r="D20" s="30">
        <v>37000</v>
      </c>
      <c r="E20" s="31">
        <v>20253</v>
      </c>
      <c r="F20" s="32">
        <f t="shared" si="1"/>
        <v>28626.5</v>
      </c>
      <c r="G20" s="2">
        <f t="shared" si="2"/>
        <v>4167386.721898058</v>
      </c>
      <c r="H20" s="26"/>
      <c r="I20" s="27">
        <f t="shared" si="3"/>
      </c>
    </row>
    <row r="21" spans="1:9" ht="15">
      <c r="A21" s="28" t="s">
        <v>4</v>
      </c>
      <c r="B21" s="29">
        <v>1</v>
      </c>
      <c r="C21" s="29">
        <v>5</v>
      </c>
      <c r="D21" s="30">
        <v>12500</v>
      </c>
      <c r="E21" s="31">
        <v>10855</v>
      </c>
      <c r="F21" s="32">
        <f t="shared" si="1"/>
        <v>11677.5</v>
      </c>
      <c r="G21" s="2">
        <f t="shared" si="2"/>
        <v>2265359.8093281114</v>
      </c>
      <c r="H21" s="26"/>
      <c r="I21" s="27">
        <f t="shared" si="3"/>
      </c>
    </row>
    <row r="22" spans="1:9" ht="15">
      <c r="A22" s="28" t="s">
        <v>4</v>
      </c>
      <c r="B22" s="29">
        <v>1</v>
      </c>
      <c r="C22" s="29">
        <v>5</v>
      </c>
      <c r="D22" s="30">
        <v>30000</v>
      </c>
      <c r="E22" s="31">
        <v>11098</v>
      </c>
      <c r="F22" s="32">
        <f t="shared" si="1"/>
        <v>20549</v>
      </c>
      <c r="G22" s="2">
        <f t="shared" si="2"/>
        <v>3326502.530019508</v>
      </c>
      <c r="H22" s="26"/>
      <c r="I22" s="27">
        <f t="shared" si="3"/>
      </c>
    </row>
    <row r="23" spans="1:9" ht="15">
      <c r="A23" s="28" t="s">
        <v>4</v>
      </c>
      <c r="B23" s="29">
        <v>1</v>
      </c>
      <c r="C23" s="29">
        <v>5</v>
      </c>
      <c r="D23" s="30">
        <v>7000</v>
      </c>
      <c r="E23" s="31">
        <v>6455</v>
      </c>
      <c r="F23" s="32">
        <f t="shared" si="1"/>
        <v>6727.5</v>
      </c>
      <c r="G23" s="2">
        <f t="shared" si="2"/>
        <v>1557140.1224430425</v>
      </c>
      <c r="H23" s="26"/>
      <c r="I23" s="27">
        <f t="shared" si="3"/>
      </c>
    </row>
    <row r="24" spans="1:9" ht="15">
      <c r="A24" s="28" t="s">
        <v>4</v>
      </c>
      <c r="B24" s="29">
        <v>1</v>
      </c>
      <c r="C24" s="29">
        <v>4</v>
      </c>
      <c r="D24" s="30">
        <v>7500</v>
      </c>
      <c r="E24" s="31">
        <v>1919</v>
      </c>
      <c r="F24" s="32">
        <f t="shared" si="1"/>
        <v>4709.5</v>
      </c>
      <c r="G24" s="2">
        <f t="shared" si="2"/>
        <v>1029567.5614094004</v>
      </c>
      <c r="H24" s="26"/>
      <c r="I24" s="27">
        <f t="shared" si="3"/>
      </c>
    </row>
    <row r="25" spans="1:9" ht="15">
      <c r="A25" s="28" t="s">
        <v>4</v>
      </c>
      <c r="B25" s="29">
        <v>1</v>
      </c>
      <c r="C25" s="29">
        <v>4</v>
      </c>
      <c r="D25" s="30">
        <v>3200</v>
      </c>
      <c r="E25" s="31">
        <v>437</v>
      </c>
      <c r="F25" s="32">
        <f t="shared" si="1"/>
        <v>1818.5</v>
      </c>
      <c r="G25" s="2">
        <f t="shared" si="2"/>
        <v>539162.5093462502</v>
      </c>
      <c r="H25" s="26"/>
      <c r="I25" s="27">
        <f t="shared" si="3"/>
      </c>
    </row>
    <row r="26" spans="1:9" ht="15">
      <c r="A26" s="28" t="s">
        <v>4</v>
      </c>
      <c r="B26" s="29">
        <v>1</v>
      </c>
      <c r="C26" s="29">
        <v>1</v>
      </c>
      <c r="D26" s="30">
        <v>1000</v>
      </c>
      <c r="E26" s="31">
        <v>1000</v>
      </c>
      <c r="F26" s="32">
        <f t="shared" si="1"/>
        <v>1000</v>
      </c>
      <c r="G26" s="2">
        <f t="shared" si="2"/>
        <v>173214.6085968268</v>
      </c>
      <c r="H26" s="26"/>
      <c r="I26" s="27">
        <f t="shared" si="3"/>
      </c>
    </row>
    <row r="27" spans="1:9" ht="15">
      <c r="A27" s="28" t="s">
        <v>4</v>
      </c>
      <c r="B27" s="29">
        <v>1</v>
      </c>
      <c r="C27" s="29">
        <v>1</v>
      </c>
      <c r="D27" s="30">
        <v>1000</v>
      </c>
      <c r="E27" s="31">
        <v>1000</v>
      </c>
      <c r="F27" s="32">
        <f t="shared" si="1"/>
        <v>1000</v>
      </c>
      <c r="G27" s="2">
        <f t="shared" si="2"/>
        <v>173214.6085968268</v>
      </c>
      <c r="H27" s="26"/>
      <c r="I27" s="27">
        <f t="shared" si="3"/>
      </c>
    </row>
    <row r="28" spans="1:9" ht="15">
      <c r="A28" s="28" t="s">
        <v>4</v>
      </c>
      <c r="B28" s="29">
        <v>1</v>
      </c>
      <c r="C28" s="29">
        <v>1</v>
      </c>
      <c r="D28" s="30">
        <v>40</v>
      </c>
      <c r="E28" s="31">
        <v>40</v>
      </c>
      <c r="F28" s="32">
        <f t="shared" si="1"/>
        <v>40</v>
      </c>
      <c r="G28" s="2">
        <f t="shared" si="2"/>
        <v>19420.70086510808</v>
      </c>
      <c r="H28" s="26"/>
      <c r="I28" s="27">
        <f t="shared" si="3"/>
      </c>
    </row>
    <row r="29" spans="1:9" ht="15">
      <c r="A29" s="28" t="s">
        <v>4</v>
      </c>
      <c r="B29" s="29">
        <v>1</v>
      </c>
      <c r="C29" s="29">
        <v>1</v>
      </c>
      <c r="D29" s="30">
        <v>40</v>
      </c>
      <c r="E29" s="31">
        <v>40</v>
      </c>
      <c r="F29" s="32">
        <f t="shared" si="1"/>
        <v>40</v>
      </c>
      <c r="G29" s="2">
        <f t="shared" si="2"/>
        <v>19420.70086510808</v>
      </c>
      <c r="H29" s="26"/>
      <c r="I29" s="27">
        <f t="shared" si="3"/>
      </c>
    </row>
    <row r="30" spans="1:9" ht="15">
      <c r="A30" s="28" t="s">
        <v>4</v>
      </c>
      <c r="B30" s="29">
        <v>1</v>
      </c>
      <c r="C30" s="29">
        <v>1</v>
      </c>
      <c r="D30" s="30">
        <v>40</v>
      </c>
      <c r="E30" s="31">
        <v>40</v>
      </c>
      <c r="F30" s="32">
        <f t="shared" si="1"/>
        <v>40</v>
      </c>
      <c r="G30" s="2">
        <f t="shared" si="2"/>
        <v>19420.70086510808</v>
      </c>
      <c r="H30" s="26"/>
      <c r="I30" s="27">
        <f t="shared" si="3"/>
      </c>
    </row>
    <row r="31" spans="1:9" ht="15.75" thickBot="1">
      <c r="A31" s="33" t="s">
        <v>4</v>
      </c>
      <c r="B31" s="34">
        <v>1</v>
      </c>
      <c r="C31" s="34">
        <v>1</v>
      </c>
      <c r="D31" s="35">
        <v>20</v>
      </c>
      <c r="E31" s="36">
        <v>20</v>
      </c>
      <c r="F31" s="37">
        <f t="shared" si="1"/>
        <v>20</v>
      </c>
      <c r="G31" s="38">
        <f t="shared" si="2"/>
        <v>12123.407630171541</v>
      </c>
      <c r="H31" s="39">
        <f>SUM(G18:G31)</f>
        <v>42458518.036032744</v>
      </c>
      <c r="I31" s="27">
        <f t="shared" si="3"/>
        <v>42458891.68603274</v>
      </c>
    </row>
    <row r="32" spans="1:9" ht="15.75" thickBot="1">
      <c r="A32" s="40" t="s">
        <v>58</v>
      </c>
      <c r="B32" s="41">
        <v>1</v>
      </c>
      <c r="C32" s="41">
        <v>5</v>
      </c>
      <c r="D32" s="42">
        <v>40000</v>
      </c>
      <c r="E32" s="43">
        <v>19170</v>
      </c>
      <c r="F32" s="14">
        <f t="shared" si="1"/>
        <v>29585</v>
      </c>
      <c r="G32" s="15">
        <f t="shared" si="2"/>
        <v>4261742.458551203</v>
      </c>
      <c r="H32" s="39">
        <f>G32</f>
        <v>4261742.458551203</v>
      </c>
      <c r="I32" s="27">
        <f t="shared" si="3"/>
        <v>4262116.108551203</v>
      </c>
    </row>
    <row r="33" spans="1:9" ht="15.75" thickBot="1">
      <c r="A33" s="40" t="s">
        <v>59</v>
      </c>
      <c r="B33" s="41">
        <v>1</v>
      </c>
      <c r="C33" s="41">
        <v>5</v>
      </c>
      <c r="D33" s="42">
        <v>400000</v>
      </c>
      <c r="E33" s="43">
        <v>255000</v>
      </c>
      <c r="F33" s="14">
        <f t="shared" si="1"/>
        <v>327500</v>
      </c>
      <c r="G33" s="15">
        <f t="shared" si="2"/>
        <v>21847079.56047615</v>
      </c>
      <c r="H33" s="39">
        <f>G33</f>
        <v>21847079.56047615</v>
      </c>
      <c r="I33" s="27">
        <f t="shared" si="3"/>
        <v>21847453.21047615</v>
      </c>
    </row>
    <row r="34" spans="1:9" ht="15">
      <c r="A34" s="20" t="s">
        <v>5</v>
      </c>
      <c r="B34" s="21">
        <v>2</v>
      </c>
      <c r="C34" s="21">
        <v>5</v>
      </c>
      <c r="D34" s="22">
        <v>175000</v>
      </c>
      <c r="E34" s="23">
        <v>157606</v>
      </c>
      <c r="F34" s="24">
        <f t="shared" si="1"/>
        <v>166303</v>
      </c>
      <c r="G34" s="25">
        <f t="shared" si="2"/>
        <v>14435360.138183346</v>
      </c>
      <c r="H34" s="26"/>
      <c r="I34" s="27">
        <f t="shared" si="3"/>
      </c>
    </row>
    <row r="35" spans="1:9" ht="15">
      <c r="A35" s="28" t="s">
        <v>5</v>
      </c>
      <c r="B35" s="29">
        <v>1</v>
      </c>
      <c r="C35" s="29">
        <v>4</v>
      </c>
      <c r="D35" s="30">
        <v>7000</v>
      </c>
      <c r="E35" s="31">
        <v>4789</v>
      </c>
      <c r="F35" s="32">
        <f t="shared" si="1"/>
        <v>5894.5</v>
      </c>
      <c r="G35" s="2">
        <f t="shared" si="2"/>
        <v>1199268.5161749</v>
      </c>
      <c r="H35" s="26"/>
      <c r="I35" s="27">
        <f t="shared" si="3"/>
      </c>
    </row>
    <row r="36" spans="1:9" ht="15">
      <c r="A36" s="28" t="s">
        <v>5</v>
      </c>
      <c r="B36" s="29">
        <v>2</v>
      </c>
      <c r="C36" s="29">
        <v>5</v>
      </c>
      <c r="D36" s="30">
        <v>4500</v>
      </c>
      <c r="E36" s="31">
        <v>3448</v>
      </c>
      <c r="F36" s="32">
        <f t="shared" si="1"/>
        <v>3974</v>
      </c>
      <c r="G36" s="2">
        <f t="shared" si="2"/>
        <v>1140288.770667383</v>
      </c>
      <c r="H36" s="26"/>
      <c r="I36" s="27">
        <f t="shared" si="3"/>
      </c>
    </row>
    <row r="37" spans="1:9" ht="15">
      <c r="A37" s="28" t="s">
        <v>5</v>
      </c>
      <c r="B37" s="29">
        <v>1</v>
      </c>
      <c r="C37" s="29">
        <v>5</v>
      </c>
      <c r="D37" s="30">
        <v>1410</v>
      </c>
      <c r="E37" s="31">
        <v>2077</v>
      </c>
      <c r="F37" s="32">
        <f t="shared" si="1"/>
        <v>1743.5</v>
      </c>
      <c r="G37" s="2">
        <f t="shared" si="2"/>
        <v>621829.595834775</v>
      </c>
      <c r="H37" s="26"/>
      <c r="I37" s="27">
        <f t="shared" si="3"/>
      </c>
    </row>
    <row r="38" spans="1:9" ht="15">
      <c r="A38" s="28" t="s">
        <v>5</v>
      </c>
      <c r="B38" s="29">
        <v>1</v>
      </c>
      <c r="C38" s="29">
        <v>4</v>
      </c>
      <c r="D38" s="30">
        <v>460</v>
      </c>
      <c r="E38" s="31">
        <v>178</v>
      </c>
      <c r="F38" s="32">
        <f t="shared" si="1"/>
        <v>319</v>
      </c>
      <c r="G38" s="2">
        <f t="shared" si="2"/>
        <v>165136.65650420016</v>
      </c>
      <c r="H38" s="26"/>
      <c r="I38" s="27">
        <f t="shared" si="3"/>
      </c>
    </row>
    <row r="39" spans="1:9" ht="15">
      <c r="A39" s="28" t="s">
        <v>5</v>
      </c>
      <c r="B39" s="29">
        <v>1</v>
      </c>
      <c r="C39" s="29">
        <v>5</v>
      </c>
      <c r="D39" s="30">
        <v>480</v>
      </c>
      <c r="E39" s="31">
        <v>146</v>
      </c>
      <c r="F39" s="32">
        <f t="shared" si="1"/>
        <v>313</v>
      </c>
      <c r="G39" s="2">
        <f t="shared" si="2"/>
        <v>193474.5237254256</v>
      </c>
      <c r="H39" s="26"/>
      <c r="I39" s="27">
        <f t="shared" si="3"/>
      </c>
    </row>
    <row r="40" spans="1:9" ht="15">
      <c r="A40" s="28" t="s">
        <v>5</v>
      </c>
      <c r="B40" s="29">
        <v>1</v>
      </c>
      <c r="C40" s="29">
        <v>1</v>
      </c>
      <c r="D40" s="30">
        <v>200</v>
      </c>
      <c r="E40" s="31">
        <v>46</v>
      </c>
      <c r="F40" s="32">
        <f t="shared" si="1"/>
        <v>123</v>
      </c>
      <c r="G40" s="2">
        <f t="shared" si="2"/>
        <v>41677.5337216459</v>
      </c>
      <c r="H40" s="26"/>
      <c r="I40" s="27">
        <f t="shared" si="3"/>
      </c>
    </row>
    <row r="41" spans="1:9" ht="15">
      <c r="A41" s="28" t="s">
        <v>5</v>
      </c>
      <c r="B41" s="29">
        <v>1</v>
      </c>
      <c r="C41" s="29">
        <v>5</v>
      </c>
      <c r="D41" s="30">
        <v>7000</v>
      </c>
      <c r="E41" s="31">
        <v>7178</v>
      </c>
      <c r="F41" s="32">
        <f t="shared" si="1"/>
        <v>7089</v>
      </c>
      <c r="G41" s="2">
        <f t="shared" si="2"/>
        <v>1613542.5129211794</v>
      </c>
      <c r="H41" s="26"/>
      <c r="I41" s="27">
        <f t="shared" si="3"/>
      </c>
    </row>
    <row r="42" spans="1:9" ht="15">
      <c r="A42" s="28" t="s">
        <v>5</v>
      </c>
      <c r="B42" s="29">
        <v>1</v>
      </c>
      <c r="C42" s="29">
        <v>5</v>
      </c>
      <c r="D42" s="30">
        <v>1500</v>
      </c>
      <c r="E42" s="31">
        <v>841</v>
      </c>
      <c r="F42" s="32">
        <f t="shared" si="1"/>
        <v>1170.5</v>
      </c>
      <c r="G42" s="2">
        <f t="shared" si="2"/>
        <v>474276.5319847121</v>
      </c>
      <c r="H42" s="26"/>
      <c r="I42" s="27">
        <f t="shared" si="3"/>
      </c>
    </row>
    <row r="43" spans="1:9" ht="15">
      <c r="A43" s="28" t="s">
        <v>5</v>
      </c>
      <c r="B43" s="29">
        <v>1</v>
      </c>
      <c r="C43" s="29">
        <v>4</v>
      </c>
      <c r="D43" s="30">
        <v>130</v>
      </c>
      <c r="E43" s="31">
        <v>99</v>
      </c>
      <c r="F43" s="32">
        <f t="shared" si="1"/>
        <v>114.5</v>
      </c>
      <c r="G43" s="2">
        <f t="shared" si="2"/>
        <v>82289.145153946</v>
      </c>
      <c r="H43" s="26"/>
      <c r="I43" s="27">
        <f t="shared" si="3"/>
      </c>
    </row>
    <row r="44" spans="1:9" ht="15">
      <c r="A44" s="28" t="s">
        <v>5</v>
      </c>
      <c r="B44" s="29">
        <v>2</v>
      </c>
      <c r="C44" s="29">
        <v>4</v>
      </c>
      <c r="D44" s="30">
        <v>4464</v>
      </c>
      <c r="E44" s="31">
        <v>5170</v>
      </c>
      <c r="F44" s="32">
        <f t="shared" si="1"/>
        <v>4817</v>
      </c>
      <c r="G44" s="2">
        <f t="shared" si="2"/>
        <v>1045485.8157952124</v>
      </c>
      <c r="H44" s="26"/>
      <c r="I44" s="27">
        <f t="shared" si="3"/>
      </c>
    </row>
    <row r="45" spans="1:9" ht="15">
      <c r="A45" s="28" t="s">
        <v>5</v>
      </c>
      <c r="B45" s="29">
        <v>1</v>
      </c>
      <c r="C45" s="29">
        <v>3</v>
      </c>
      <c r="D45" s="30">
        <v>480</v>
      </c>
      <c r="E45" s="31">
        <v>484</v>
      </c>
      <c r="F45" s="32">
        <f t="shared" si="1"/>
        <v>482</v>
      </c>
      <c r="G45" s="2">
        <f t="shared" si="2"/>
        <v>207578.73058994277</v>
      </c>
      <c r="H45" s="26"/>
      <c r="I45" s="27">
        <f t="shared" si="3"/>
      </c>
    </row>
    <row r="46" spans="1:9" ht="15">
      <c r="A46" s="28" t="s">
        <v>5</v>
      </c>
      <c r="B46" s="29">
        <v>1</v>
      </c>
      <c r="C46" s="29">
        <v>3</v>
      </c>
      <c r="D46" s="30">
        <v>668</v>
      </c>
      <c r="E46" s="31">
        <v>352</v>
      </c>
      <c r="F46" s="32">
        <f t="shared" si="1"/>
        <v>510</v>
      </c>
      <c r="G46" s="2">
        <f t="shared" si="2"/>
        <v>215701.7561187664</v>
      </c>
      <c r="H46" s="26"/>
      <c r="I46" s="27">
        <f t="shared" si="3"/>
      </c>
    </row>
    <row r="47" spans="1:9" ht="15.75" thickBot="1">
      <c r="A47" s="28" t="s">
        <v>5</v>
      </c>
      <c r="B47" s="29">
        <v>1</v>
      </c>
      <c r="C47" s="29">
        <v>3</v>
      </c>
      <c r="D47" s="30">
        <v>645</v>
      </c>
      <c r="E47" s="31">
        <v>906</v>
      </c>
      <c r="F47" s="32">
        <f t="shared" si="1"/>
        <v>775.5</v>
      </c>
      <c r="G47" s="2">
        <f t="shared" si="2"/>
        <v>286803.98693862336</v>
      </c>
      <c r="H47" s="39">
        <f>SUM(G34:G47)</f>
        <v>21722714.214314055</v>
      </c>
      <c r="I47" s="27">
        <f t="shared" si="3"/>
        <v>21723087.864314053</v>
      </c>
    </row>
    <row r="48" spans="1:9" ht="15">
      <c r="A48" s="20" t="s">
        <v>60</v>
      </c>
      <c r="B48" s="21">
        <v>1</v>
      </c>
      <c r="C48" s="21">
        <v>5</v>
      </c>
      <c r="D48" s="22">
        <v>80000</v>
      </c>
      <c r="E48" s="23">
        <v>63514</v>
      </c>
      <c r="F48" s="24">
        <f t="shared" si="1"/>
        <v>71757</v>
      </c>
      <c r="G48" s="25">
        <f t="shared" si="2"/>
        <v>7783398.721876744</v>
      </c>
      <c r="H48" s="26"/>
      <c r="I48" s="27">
        <f t="shared" si="3"/>
      </c>
    </row>
    <row r="49" spans="1:9" ht="15">
      <c r="A49" s="28" t="s">
        <v>60</v>
      </c>
      <c r="B49" s="29">
        <v>1</v>
      </c>
      <c r="C49" s="29">
        <v>5</v>
      </c>
      <c r="D49" s="30">
        <v>4400</v>
      </c>
      <c r="E49" s="31">
        <v>2704</v>
      </c>
      <c r="F49" s="32">
        <f t="shared" si="1"/>
        <v>3552</v>
      </c>
      <c r="G49" s="2">
        <f t="shared" si="2"/>
        <v>1008705.204959423</v>
      </c>
      <c r="H49" s="26"/>
      <c r="I49" s="27">
        <f t="shared" si="3"/>
      </c>
    </row>
    <row r="50" spans="1:9" ht="15">
      <c r="A50" s="28" t="s">
        <v>60</v>
      </c>
      <c r="B50" s="29">
        <v>1</v>
      </c>
      <c r="C50" s="29">
        <v>1</v>
      </c>
      <c r="D50" s="30">
        <v>70</v>
      </c>
      <c r="E50" s="31">
        <v>74</v>
      </c>
      <c r="F50" s="32">
        <f t="shared" si="1"/>
        <v>72</v>
      </c>
      <c r="G50" s="2">
        <f t="shared" si="2"/>
        <v>28960.039366984758</v>
      </c>
      <c r="H50" s="26"/>
      <c r="I50" s="27">
        <f t="shared" si="3"/>
      </c>
    </row>
    <row r="51" spans="1:9" ht="15">
      <c r="A51" s="28" t="s">
        <v>60</v>
      </c>
      <c r="B51" s="29">
        <v>1</v>
      </c>
      <c r="C51" s="29">
        <v>1</v>
      </c>
      <c r="D51" s="30">
        <v>200</v>
      </c>
      <c r="E51" s="31">
        <v>196</v>
      </c>
      <c r="F51" s="32">
        <f t="shared" si="1"/>
        <v>198</v>
      </c>
      <c r="G51" s="2">
        <f t="shared" si="2"/>
        <v>57604.64614179863</v>
      </c>
      <c r="H51" s="26"/>
      <c r="I51" s="27">
        <f t="shared" si="3"/>
      </c>
    </row>
    <row r="52" spans="1:9" ht="15">
      <c r="A52" s="28" t="s">
        <v>60</v>
      </c>
      <c r="B52" s="29">
        <v>2</v>
      </c>
      <c r="C52" s="29">
        <v>5</v>
      </c>
      <c r="D52" s="30">
        <v>80000</v>
      </c>
      <c r="E52" s="31">
        <v>31251</v>
      </c>
      <c r="F52" s="32">
        <f t="shared" si="1"/>
        <v>55625.5</v>
      </c>
      <c r="G52" s="2">
        <f t="shared" si="2"/>
        <v>6856412.886062771</v>
      </c>
      <c r="H52" s="26"/>
      <c r="I52" s="27">
        <f t="shared" si="3"/>
      </c>
    </row>
    <row r="53" spans="1:9" ht="15">
      <c r="A53" s="28" t="s">
        <v>60</v>
      </c>
      <c r="B53" s="29">
        <v>1</v>
      </c>
      <c r="C53" s="29">
        <v>3</v>
      </c>
      <c r="D53" s="30">
        <v>800</v>
      </c>
      <c r="E53" s="31">
        <v>160</v>
      </c>
      <c r="F53" s="32">
        <f t="shared" si="1"/>
        <v>480</v>
      </c>
      <c r="G53" s="2">
        <f t="shared" si="2"/>
        <v>206992.81384502596</v>
      </c>
      <c r="H53" s="26"/>
      <c r="I53" s="27">
        <f t="shared" si="3"/>
      </c>
    </row>
    <row r="54" spans="1:9" ht="15">
      <c r="A54" s="28" t="s">
        <v>60</v>
      </c>
      <c r="B54" s="29">
        <v>1</v>
      </c>
      <c r="C54" s="29">
        <v>5</v>
      </c>
      <c r="D54" s="30">
        <v>4500</v>
      </c>
      <c r="E54" s="31">
        <v>3795</v>
      </c>
      <c r="F54" s="32">
        <f t="shared" si="1"/>
        <v>4147.5</v>
      </c>
      <c r="G54" s="2">
        <f t="shared" si="2"/>
        <v>1120789.1981354407</v>
      </c>
      <c r="H54" s="26"/>
      <c r="I54" s="27">
        <f t="shared" si="3"/>
      </c>
    </row>
    <row r="55" spans="1:9" ht="15">
      <c r="A55" s="28" t="s">
        <v>60</v>
      </c>
      <c r="B55" s="29">
        <v>1</v>
      </c>
      <c r="C55" s="29">
        <v>5</v>
      </c>
      <c r="D55" s="30">
        <v>3500</v>
      </c>
      <c r="E55" s="31">
        <v>4988</v>
      </c>
      <c r="F55" s="32">
        <f t="shared" si="1"/>
        <v>4244</v>
      </c>
      <c r="G55" s="2">
        <f t="shared" si="2"/>
        <v>1138451.269319922</v>
      </c>
      <c r="H55" s="26"/>
      <c r="I55" s="27">
        <f t="shared" si="3"/>
      </c>
    </row>
    <row r="56" spans="1:9" ht="15">
      <c r="A56" s="28" t="s">
        <v>60</v>
      </c>
      <c r="B56" s="29">
        <v>1</v>
      </c>
      <c r="C56" s="29">
        <v>5</v>
      </c>
      <c r="D56" s="30">
        <v>1400</v>
      </c>
      <c r="E56" s="31">
        <v>1133</v>
      </c>
      <c r="F56" s="32">
        <f t="shared" si="1"/>
        <v>1266.5</v>
      </c>
      <c r="G56" s="2">
        <f t="shared" si="2"/>
        <v>500384.3941047594</v>
      </c>
      <c r="H56" s="26"/>
      <c r="I56" s="27">
        <f t="shared" si="3"/>
      </c>
    </row>
    <row r="57" spans="1:9" ht="15">
      <c r="A57" s="28" t="s">
        <v>60</v>
      </c>
      <c r="B57" s="29">
        <v>1</v>
      </c>
      <c r="C57" s="29">
        <v>2</v>
      </c>
      <c r="D57" s="30">
        <v>700</v>
      </c>
      <c r="E57" s="31">
        <v>458</v>
      </c>
      <c r="F57" s="32">
        <f t="shared" si="1"/>
        <v>579</v>
      </c>
      <c r="G57" s="2">
        <f t="shared" si="2"/>
        <v>225894.48503970858</v>
      </c>
      <c r="H57" s="26"/>
      <c r="I57" s="27">
        <f t="shared" si="3"/>
      </c>
    </row>
    <row r="58" spans="1:9" ht="15">
      <c r="A58" s="28" t="s">
        <v>60</v>
      </c>
      <c r="B58" s="29">
        <v>1</v>
      </c>
      <c r="C58" s="29">
        <v>1</v>
      </c>
      <c r="D58" s="30">
        <v>150</v>
      </c>
      <c r="E58" s="31">
        <v>140</v>
      </c>
      <c r="F58" s="32">
        <f t="shared" si="1"/>
        <v>145</v>
      </c>
      <c r="G58" s="2">
        <f t="shared" si="2"/>
        <v>46610.362947868576</v>
      </c>
      <c r="H58" s="26"/>
      <c r="I58" s="27">
        <f t="shared" si="3"/>
      </c>
    </row>
    <row r="59" spans="1:9" ht="15">
      <c r="A59" s="28" t="s">
        <v>60</v>
      </c>
      <c r="B59" s="29">
        <v>1</v>
      </c>
      <c r="C59" s="29">
        <v>4</v>
      </c>
      <c r="D59" s="30">
        <v>4000</v>
      </c>
      <c r="E59" s="31">
        <v>3270</v>
      </c>
      <c r="F59" s="32">
        <f t="shared" si="1"/>
        <v>3635</v>
      </c>
      <c r="G59" s="2">
        <f t="shared" si="2"/>
        <v>863371.0505604614</v>
      </c>
      <c r="H59" s="26"/>
      <c r="I59" s="27">
        <f t="shared" si="3"/>
      </c>
    </row>
    <row r="60" spans="1:9" ht="15">
      <c r="A60" s="28" t="s">
        <v>60</v>
      </c>
      <c r="B60" s="29">
        <v>1</v>
      </c>
      <c r="C60" s="29">
        <v>3</v>
      </c>
      <c r="D60" s="30">
        <v>2500</v>
      </c>
      <c r="E60" s="31">
        <v>2391</v>
      </c>
      <c r="F60" s="32">
        <f t="shared" si="1"/>
        <v>2445.5</v>
      </c>
      <c r="G60" s="2">
        <f t="shared" si="2"/>
        <v>626123.2275916133</v>
      </c>
      <c r="H60" s="26"/>
      <c r="I60" s="27">
        <f t="shared" si="3"/>
      </c>
    </row>
    <row r="61" spans="1:9" ht="15">
      <c r="A61" s="28" t="s">
        <v>60</v>
      </c>
      <c r="B61" s="29">
        <v>1</v>
      </c>
      <c r="C61" s="29">
        <v>3</v>
      </c>
      <c r="D61" s="30">
        <v>850</v>
      </c>
      <c r="E61" s="31">
        <v>780</v>
      </c>
      <c r="F61" s="32">
        <f t="shared" si="1"/>
        <v>815</v>
      </c>
      <c r="G61" s="2">
        <f t="shared" si="2"/>
        <v>296655.5088957005</v>
      </c>
      <c r="H61" s="26"/>
      <c r="I61" s="27">
        <f t="shared" si="3"/>
      </c>
    </row>
    <row r="62" spans="1:9" ht="15">
      <c r="A62" s="28" t="s">
        <v>60</v>
      </c>
      <c r="B62" s="29">
        <v>1</v>
      </c>
      <c r="C62" s="29">
        <v>5</v>
      </c>
      <c r="D62" s="30">
        <v>850</v>
      </c>
      <c r="E62" s="31">
        <v>723</v>
      </c>
      <c r="F62" s="32">
        <f t="shared" si="1"/>
        <v>786.5</v>
      </c>
      <c r="G62" s="2">
        <f t="shared" si="2"/>
        <v>361950.1326743011</v>
      </c>
      <c r="H62" s="26"/>
      <c r="I62" s="27">
        <f t="shared" si="3"/>
      </c>
    </row>
    <row r="63" spans="1:9" ht="15">
      <c r="A63" s="28" t="s">
        <v>60</v>
      </c>
      <c r="B63" s="29">
        <v>1</v>
      </c>
      <c r="C63" s="29">
        <v>5</v>
      </c>
      <c r="D63" s="30">
        <v>850</v>
      </c>
      <c r="E63" s="31">
        <v>769</v>
      </c>
      <c r="F63" s="32">
        <f t="shared" si="1"/>
        <v>809.5</v>
      </c>
      <c r="G63" s="2">
        <f t="shared" si="2"/>
        <v>369112.3380633342</v>
      </c>
      <c r="H63" s="26"/>
      <c r="I63" s="27">
        <f t="shared" si="3"/>
      </c>
    </row>
    <row r="64" spans="1:9" ht="15">
      <c r="A64" s="28" t="s">
        <v>60</v>
      </c>
      <c r="B64" s="29">
        <v>2</v>
      </c>
      <c r="C64" s="29">
        <v>5</v>
      </c>
      <c r="D64" s="30">
        <v>6000</v>
      </c>
      <c r="E64" s="31">
        <v>3809</v>
      </c>
      <c r="F64" s="32">
        <f t="shared" si="1"/>
        <v>4904.5</v>
      </c>
      <c r="G64" s="2">
        <f t="shared" si="2"/>
        <v>1315606.6191755226</v>
      </c>
      <c r="H64" s="26"/>
      <c r="I64" s="27">
        <f t="shared" si="3"/>
      </c>
    </row>
    <row r="65" spans="1:9" ht="15">
      <c r="A65" s="28" t="s">
        <v>60</v>
      </c>
      <c r="B65" s="29">
        <v>1</v>
      </c>
      <c r="C65" s="29">
        <v>5</v>
      </c>
      <c r="D65" s="30">
        <v>3000</v>
      </c>
      <c r="E65" s="31">
        <v>2725</v>
      </c>
      <c r="F65" s="32">
        <f t="shared" si="1"/>
        <v>2862.5</v>
      </c>
      <c r="G65" s="2">
        <f t="shared" si="2"/>
        <v>871060.5262409304</v>
      </c>
      <c r="H65" s="26"/>
      <c r="I65" s="27">
        <f t="shared" si="3"/>
      </c>
    </row>
    <row r="66" spans="1:9" ht="15">
      <c r="A66" s="28" t="s">
        <v>60</v>
      </c>
      <c r="B66" s="29">
        <v>2</v>
      </c>
      <c r="C66" s="29">
        <v>2</v>
      </c>
      <c r="D66" s="30">
        <v>200</v>
      </c>
      <c r="E66" s="31">
        <v>134</v>
      </c>
      <c r="F66" s="32">
        <f t="shared" si="1"/>
        <v>167</v>
      </c>
      <c r="G66" s="2">
        <f t="shared" si="2"/>
        <v>97015.11385667659</v>
      </c>
      <c r="H66" s="26"/>
      <c r="I66" s="27">
        <f t="shared" si="3"/>
      </c>
    </row>
    <row r="67" spans="1:9" ht="15">
      <c r="A67" s="28" t="s">
        <v>60</v>
      </c>
      <c r="B67" s="29">
        <v>1</v>
      </c>
      <c r="C67" s="29">
        <v>1</v>
      </c>
      <c r="D67" s="30">
        <v>150</v>
      </c>
      <c r="E67" s="31">
        <v>59</v>
      </c>
      <c r="F67" s="32">
        <f aca="true" t="shared" si="4" ref="F67:F130">(D67+E67)/2</f>
        <v>104.5</v>
      </c>
      <c r="G67" s="2">
        <f aca="true" t="shared" si="5" ref="G67:G130">IF(C67=1,1581.92*(F67^0.6798),IF(C67=2,2991.14*(F67^0.6798),IF(C67=3,3113.49*(F67^0.6798),IF(C67=4,3279.19*(F67^0.6798),IF(C67=5,IF(B67=1,3891.82*(F67^0.6798),IF(B67=2,4076.24*(F67^0.6798),0)),0)))))</f>
        <v>37306.09321607184</v>
      </c>
      <c r="H67" s="26"/>
      <c r="I67" s="27">
        <f t="shared" si="3"/>
      </c>
    </row>
    <row r="68" spans="1:9" ht="15">
      <c r="A68" s="28" t="s">
        <v>60</v>
      </c>
      <c r="B68" s="29">
        <v>1</v>
      </c>
      <c r="C68" s="29">
        <v>1</v>
      </c>
      <c r="D68" s="30">
        <v>250</v>
      </c>
      <c r="E68" s="31">
        <v>34</v>
      </c>
      <c r="F68" s="32">
        <f t="shared" si="4"/>
        <v>142</v>
      </c>
      <c r="G68" s="2">
        <f t="shared" si="5"/>
        <v>45952.60470924304</v>
      </c>
      <c r="H68" s="26"/>
      <c r="I68" s="27">
        <f t="shared" si="3"/>
      </c>
    </row>
    <row r="69" spans="1:9" ht="15.75" thickBot="1">
      <c r="A69" s="33" t="s">
        <v>60</v>
      </c>
      <c r="B69" s="34">
        <v>1</v>
      </c>
      <c r="C69" s="34">
        <v>5</v>
      </c>
      <c r="D69" s="35">
        <v>15000</v>
      </c>
      <c r="E69" s="36">
        <v>18622</v>
      </c>
      <c r="F69" s="37">
        <f t="shared" si="4"/>
        <v>16811</v>
      </c>
      <c r="G69" s="38">
        <f>IF(C69=1,1581.92*(F69^0.6798),IF(C69=2,2991.14*(F69^0.6798),IF(C69=3,3113.49*(F69^0.6798),IF(C69=4,3279.19*(F69^0.6798),IF(C69=5,IF(B69=1,3891.82*(F69^0.6798),IF(B69=2,4076.24*(F69^0.6798),0)),0)))))</f>
        <v>2902092.424990782</v>
      </c>
      <c r="H69" s="39">
        <f>SUM(G48:G69)</f>
        <v>26760449.661775082</v>
      </c>
      <c r="I69" s="27">
        <f t="shared" si="3"/>
        <v>26760823.31177508</v>
      </c>
    </row>
    <row r="70" spans="1:9" ht="15">
      <c r="A70" s="20" t="s">
        <v>62</v>
      </c>
      <c r="B70" s="21">
        <v>1</v>
      </c>
      <c r="C70" s="21">
        <v>5</v>
      </c>
      <c r="D70" s="22">
        <v>10000</v>
      </c>
      <c r="E70" s="23">
        <v>3673</v>
      </c>
      <c r="F70" s="24">
        <f t="shared" si="4"/>
        <v>6836.5</v>
      </c>
      <c r="G70" s="25">
        <f t="shared" si="5"/>
        <v>1574246.6403695063</v>
      </c>
      <c r="H70" s="26"/>
      <c r="I70" s="27">
        <f t="shared" si="3"/>
      </c>
    </row>
    <row r="71" spans="1:9" ht="15">
      <c r="A71" s="28" t="s">
        <v>62</v>
      </c>
      <c r="B71" s="29">
        <v>1</v>
      </c>
      <c r="C71" s="29">
        <v>5</v>
      </c>
      <c r="D71" s="30">
        <v>70000</v>
      </c>
      <c r="E71" s="31">
        <v>22110</v>
      </c>
      <c r="F71" s="32">
        <f t="shared" si="4"/>
        <v>46055</v>
      </c>
      <c r="G71" s="2">
        <f t="shared" si="5"/>
        <v>5757690.355588551</v>
      </c>
      <c r="H71" s="26"/>
      <c r="I71" s="27">
        <f t="shared" si="3"/>
      </c>
    </row>
    <row r="72" spans="1:9" ht="15">
      <c r="A72" s="28" t="s">
        <v>62</v>
      </c>
      <c r="B72" s="29">
        <v>1</v>
      </c>
      <c r="C72" s="29">
        <v>3</v>
      </c>
      <c r="D72" s="30">
        <v>450</v>
      </c>
      <c r="E72" s="31">
        <v>115</v>
      </c>
      <c r="F72" s="32">
        <f t="shared" si="4"/>
        <v>282.5</v>
      </c>
      <c r="G72" s="2">
        <f t="shared" si="5"/>
        <v>144360.97911344672</v>
      </c>
      <c r="H72" s="26"/>
      <c r="I72" s="27">
        <f t="shared" si="3"/>
      </c>
    </row>
    <row r="73" spans="1:9" ht="15">
      <c r="A73" s="28" t="s">
        <v>62</v>
      </c>
      <c r="B73" s="29">
        <v>1</v>
      </c>
      <c r="C73" s="29">
        <v>5</v>
      </c>
      <c r="D73" s="30">
        <v>2000</v>
      </c>
      <c r="E73" s="31">
        <v>5089</v>
      </c>
      <c r="F73" s="32">
        <f t="shared" si="4"/>
        <v>3544.5</v>
      </c>
      <c r="G73" s="2">
        <f t="shared" si="5"/>
        <v>1007256.8311836729</v>
      </c>
      <c r="H73" s="26"/>
      <c r="I73" s="27">
        <f t="shared" si="3"/>
      </c>
    </row>
    <row r="74" spans="1:9" ht="15">
      <c r="A74" s="28" t="s">
        <v>62</v>
      </c>
      <c r="B74" s="29">
        <v>1</v>
      </c>
      <c r="C74" s="29">
        <v>5</v>
      </c>
      <c r="D74" s="30">
        <v>4000</v>
      </c>
      <c r="E74" s="31">
        <v>4276</v>
      </c>
      <c r="F74" s="32">
        <f t="shared" si="4"/>
        <v>4138</v>
      </c>
      <c r="G74" s="2">
        <f t="shared" si="5"/>
        <v>1119043.3691435617</v>
      </c>
      <c r="H74" s="26"/>
      <c r="I74" s="27">
        <f t="shared" si="3"/>
      </c>
    </row>
    <row r="75" spans="1:9" ht="15">
      <c r="A75" s="28" t="s">
        <v>62</v>
      </c>
      <c r="B75" s="29">
        <v>1</v>
      </c>
      <c r="C75" s="29">
        <v>5</v>
      </c>
      <c r="D75" s="30">
        <v>12000</v>
      </c>
      <c r="E75" s="31">
        <v>5853</v>
      </c>
      <c r="F75" s="32">
        <f t="shared" si="4"/>
        <v>8926.5</v>
      </c>
      <c r="G75" s="2">
        <f t="shared" si="5"/>
        <v>1887234.3457400596</v>
      </c>
      <c r="H75" s="26"/>
      <c r="I75" s="27">
        <f t="shared" si="3"/>
      </c>
    </row>
    <row r="76" spans="1:9" ht="15">
      <c r="A76" s="28" t="s">
        <v>62</v>
      </c>
      <c r="B76" s="29">
        <v>1</v>
      </c>
      <c r="C76" s="29">
        <v>5</v>
      </c>
      <c r="D76" s="30">
        <v>3500</v>
      </c>
      <c r="E76" s="31">
        <v>3221</v>
      </c>
      <c r="F76" s="32">
        <f t="shared" si="4"/>
        <v>3360.5</v>
      </c>
      <c r="G76" s="2">
        <f t="shared" si="5"/>
        <v>971408.9860509223</v>
      </c>
      <c r="H76" s="26"/>
      <c r="I76" s="27">
        <f t="shared" si="3"/>
      </c>
    </row>
    <row r="77" spans="1:9" ht="15">
      <c r="A77" s="28" t="s">
        <v>62</v>
      </c>
      <c r="B77" s="29">
        <v>1</v>
      </c>
      <c r="C77" s="29">
        <v>5</v>
      </c>
      <c r="D77" s="30">
        <v>10000</v>
      </c>
      <c r="E77" s="31">
        <v>1436</v>
      </c>
      <c r="F77" s="32">
        <f t="shared" si="4"/>
        <v>5718</v>
      </c>
      <c r="G77" s="2">
        <f t="shared" si="5"/>
        <v>1394207.194330364</v>
      </c>
      <c r="H77" s="26"/>
      <c r="I77" s="27">
        <f t="shared" si="3"/>
      </c>
    </row>
    <row r="78" spans="1:9" ht="15">
      <c r="A78" s="28" t="s">
        <v>62</v>
      </c>
      <c r="B78" s="29">
        <v>1</v>
      </c>
      <c r="C78" s="29">
        <v>4</v>
      </c>
      <c r="D78" s="30">
        <v>3000</v>
      </c>
      <c r="E78" s="31">
        <v>1231</v>
      </c>
      <c r="F78" s="32">
        <f t="shared" si="4"/>
        <v>2115.5</v>
      </c>
      <c r="G78" s="2">
        <f t="shared" si="5"/>
        <v>597561.1556342333</v>
      </c>
      <c r="H78" s="26"/>
      <c r="I78" s="27">
        <f t="shared" si="3"/>
      </c>
    </row>
    <row r="79" spans="1:9" ht="15">
      <c r="A79" s="28" t="s">
        <v>62</v>
      </c>
      <c r="B79" s="29">
        <v>1</v>
      </c>
      <c r="C79" s="29">
        <v>5</v>
      </c>
      <c r="D79" s="30">
        <v>8200</v>
      </c>
      <c r="E79" s="31">
        <v>3382</v>
      </c>
      <c r="F79" s="32">
        <f t="shared" si="4"/>
        <v>5791</v>
      </c>
      <c r="G79" s="2">
        <f t="shared" si="5"/>
        <v>1406282.6510379093</v>
      </c>
      <c r="H79" s="26"/>
      <c r="I79" s="27">
        <f t="shared" si="3"/>
      </c>
    </row>
    <row r="80" spans="1:9" ht="15.75" thickBot="1">
      <c r="A80" s="33" t="s">
        <v>62</v>
      </c>
      <c r="B80" s="34">
        <v>1</v>
      </c>
      <c r="C80" s="34">
        <v>5</v>
      </c>
      <c r="D80" s="35">
        <v>4500</v>
      </c>
      <c r="E80" s="36">
        <v>2791</v>
      </c>
      <c r="F80" s="37">
        <f t="shared" si="4"/>
        <v>3645.5</v>
      </c>
      <c r="G80" s="38">
        <f t="shared" si="5"/>
        <v>1026680.2883292929</v>
      </c>
      <c r="H80" s="39">
        <f>SUM(G70:G80)</f>
        <v>16885972.796521522</v>
      </c>
      <c r="I80" s="27">
        <f aca="true" t="shared" si="6" ref="I80:I143">IF(H80=0,"",H80+373.65)</f>
        <v>16886346.44652152</v>
      </c>
    </row>
    <row r="81" spans="1:9" ht="15">
      <c r="A81" s="20" t="s">
        <v>63</v>
      </c>
      <c r="B81" s="21">
        <v>2</v>
      </c>
      <c r="C81" s="21">
        <v>5</v>
      </c>
      <c r="D81" s="22">
        <v>188000</v>
      </c>
      <c r="E81" s="23">
        <v>134689</v>
      </c>
      <c r="F81" s="24">
        <f t="shared" si="4"/>
        <v>161344.5</v>
      </c>
      <c r="G81" s="25">
        <f t="shared" si="5"/>
        <v>14141355.10789528</v>
      </c>
      <c r="H81" s="26"/>
      <c r="I81" s="27">
        <f t="shared" si="6"/>
      </c>
    </row>
    <row r="82" spans="1:9" ht="15">
      <c r="A82" s="28" t="s">
        <v>63</v>
      </c>
      <c r="B82" s="29">
        <v>1</v>
      </c>
      <c r="C82" s="29">
        <v>3</v>
      </c>
      <c r="D82" s="30">
        <v>445</v>
      </c>
      <c r="E82" s="31">
        <v>228</v>
      </c>
      <c r="F82" s="32">
        <f t="shared" si="4"/>
        <v>336.5</v>
      </c>
      <c r="G82" s="2">
        <f t="shared" si="5"/>
        <v>162589.28633651353</v>
      </c>
      <c r="H82" s="26"/>
      <c r="I82" s="27">
        <f t="shared" si="6"/>
      </c>
    </row>
    <row r="83" spans="1:9" ht="15">
      <c r="A83" s="28" t="s">
        <v>63</v>
      </c>
      <c r="B83" s="29">
        <v>1</v>
      </c>
      <c r="C83" s="29">
        <v>4</v>
      </c>
      <c r="D83" s="30">
        <v>2500</v>
      </c>
      <c r="E83" s="31">
        <v>243</v>
      </c>
      <c r="F83" s="32">
        <f t="shared" si="4"/>
        <v>1371.5</v>
      </c>
      <c r="G83" s="2">
        <f t="shared" si="5"/>
        <v>445074.0708547763</v>
      </c>
      <c r="H83" s="26"/>
      <c r="I83" s="27">
        <f t="shared" si="6"/>
      </c>
    </row>
    <row r="84" spans="1:9" ht="15">
      <c r="A84" s="28" t="s">
        <v>63</v>
      </c>
      <c r="B84" s="29">
        <v>2</v>
      </c>
      <c r="C84" s="29">
        <v>4</v>
      </c>
      <c r="D84" s="30">
        <v>4900</v>
      </c>
      <c r="E84" s="31">
        <v>5857</v>
      </c>
      <c r="F84" s="32">
        <f t="shared" si="4"/>
        <v>5378.5</v>
      </c>
      <c r="G84" s="2">
        <f t="shared" si="5"/>
        <v>1126860.2159406436</v>
      </c>
      <c r="H84" s="26"/>
      <c r="I84" s="27">
        <f t="shared" si="6"/>
      </c>
    </row>
    <row r="85" spans="1:9" ht="15">
      <c r="A85" s="28" t="s">
        <v>63</v>
      </c>
      <c r="B85" s="29">
        <v>1</v>
      </c>
      <c r="C85" s="29">
        <v>4</v>
      </c>
      <c r="D85" s="30">
        <v>2700</v>
      </c>
      <c r="E85" s="31">
        <v>1840</v>
      </c>
      <c r="F85" s="32">
        <f t="shared" si="4"/>
        <v>2270</v>
      </c>
      <c r="G85" s="2">
        <f t="shared" si="5"/>
        <v>626892.333373551</v>
      </c>
      <c r="H85" s="26"/>
      <c r="I85" s="27">
        <f t="shared" si="6"/>
      </c>
    </row>
    <row r="86" spans="1:9" ht="15.75" thickBot="1">
      <c r="A86" s="33" t="s">
        <v>63</v>
      </c>
      <c r="B86" s="34">
        <v>2</v>
      </c>
      <c r="C86" s="34">
        <v>4</v>
      </c>
      <c r="D86" s="35">
        <v>15000</v>
      </c>
      <c r="E86" s="36">
        <v>3033</v>
      </c>
      <c r="F86" s="37">
        <f t="shared" si="4"/>
        <v>9016.5</v>
      </c>
      <c r="G86" s="38">
        <f t="shared" si="5"/>
        <v>1601037.13236005</v>
      </c>
      <c r="H86" s="39">
        <f>SUM(G81:G86)</f>
        <v>18103808.14676081</v>
      </c>
      <c r="I86" s="27">
        <f t="shared" si="6"/>
        <v>18104181.79676081</v>
      </c>
    </row>
    <row r="87" spans="1:9" ht="15">
      <c r="A87" s="20" t="s">
        <v>64</v>
      </c>
      <c r="B87" s="21">
        <v>2</v>
      </c>
      <c r="C87" s="21">
        <v>5</v>
      </c>
      <c r="D87" s="22">
        <v>115000</v>
      </c>
      <c r="E87" s="23">
        <v>90157</v>
      </c>
      <c r="F87" s="24">
        <f t="shared" si="4"/>
        <v>102578.5</v>
      </c>
      <c r="G87" s="25">
        <f t="shared" si="5"/>
        <v>10393835.739689035</v>
      </c>
      <c r="H87" s="26"/>
      <c r="I87" s="27">
        <f t="shared" si="6"/>
      </c>
    </row>
    <row r="88" spans="1:9" ht="15">
      <c r="A88" s="28" t="s">
        <v>64</v>
      </c>
      <c r="B88" s="29">
        <v>1</v>
      </c>
      <c r="C88" s="29">
        <v>5</v>
      </c>
      <c r="D88" s="30">
        <v>40000</v>
      </c>
      <c r="E88" s="31">
        <v>16097</v>
      </c>
      <c r="F88" s="32">
        <f t="shared" si="4"/>
        <v>28048.5</v>
      </c>
      <c r="G88" s="2">
        <f t="shared" si="5"/>
        <v>4109999.029217407</v>
      </c>
      <c r="H88" s="26"/>
      <c r="I88" s="27">
        <f t="shared" si="6"/>
      </c>
    </row>
    <row r="89" spans="1:9" ht="15">
      <c r="A89" s="28" t="s">
        <v>64</v>
      </c>
      <c r="B89" s="29">
        <v>2</v>
      </c>
      <c r="C89" s="29">
        <v>5</v>
      </c>
      <c r="D89" s="30">
        <v>35000</v>
      </c>
      <c r="E89" s="31">
        <v>17766</v>
      </c>
      <c r="F89" s="32">
        <f t="shared" si="4"/>
        <v>26383</v>
      </c>
      <c r="G89" s="2">
        <f t="shared" si="5"/>
        <v>4129295.1132638906</v>
      </c>
      <c r="H89" s="26"/>
      <c r="I89" s="27">
        <f t="shared" si="6"/>
      </c>
    </row>
    <row r="90" spans="1:9" ht="15">
      <c r="A90" s="28" t="s">
        <v>64</v>
      </c>
      <c r="B90" s="29">
        <v>1</v>
      </c>
      <c r="C90" s="29">
        <v>5</v>
      </c>
      <c r="D90" s="30">
        <v>2000</v>
      </c>
      <c r="E90" s="31">
        <v>1543</v>
      </c>
      <c r="F90" s="32">
        <f t="shared" si="4"/>
        <v>1771.5</v>
      </c>
      <c r="G90" s="2">
        <f t="shared" si="5"/>
        <v>628600.9946461145</v>
      </c>
      <c r="H90" s="26"/>
      <c r="I90" s="27">
        <f t="shared" si="6"/>
      </c>
    </row>
    <row r="91" spans="1:9" ht="15">
      <c r="A91" s="28" t="s">
        <v>64</v>
      </c>
      <c r="B91" s="29">
        <v>1</v>
      </c>
      <c r="C91" s="29">
        <v>5</v>
      </c>
      <c r="D91" s="30">
        <v>3000</v>
      </c>
      <c r="E91" s="31">
        <v>1951</v>
      </c>
      <c r="F91" s="32">
        <f t="shared" si="4"/>
        <v>2475.5</v>
      </c>
      <c r="G91" s="2">
        <f t="shared" si="5"/>
        <v>789159.5306410865</v>
      </c>
      <c r="H91" s="26"/>
      <c r="I91" s="27">
        <f t="shared" si="6"/>
      </c>
    </row>
    <row r="92" spans="1:9" ht="15">
      <c r="A92" s="28" t="s">
        <v>64</v>
      </c>
      <c r="B92" s="29">
        <v>2</v>
      </c>
      <c r="C92" s="29">
        <v>4</v>
      </c>
      <c r="D92" s="30">
        <v>1500</v>
      </c>
      <c r="E92" s="31">
        <v>1500</v>
      </c>
      <c r="F92" s="32">
        <f t="shared" si="4"/>
        <v>1500</v>
      </c>
      <c r="G92" s="2">
        <f t="shared" si="5"/>
        <v>473013.37252864864</v>
      </c>
      <c r="H92" s="26"/>
      <c r="I92" s="27">
        <f t="shared" si="6"/>
      </c>
    </row>
    <row r="93" spans="1:9" ht="15">
      <c r="A93" s="28" t="s">
        <v>64</v>
      </c>
      <c r="B93" s="29">
        <v>2</v>
      </c>
      <c r="C93" s="29">
        <v>4</v>
      </c>
      <c r="D93" s="30">
        <v>3000</v>
      </c>
      <c r="E93" s="31">
        <v>1702</v>
      </c>
      <c r="F93" s="32">
        <f t="shared" si="4"/>
        <v>2351</v>
      </c>
      <c r="G93" s="2">
        <f t="shared" si="5"/>
        <v>642013.437705656</v>
      </c>
      <c r="H93" s="26"/>
      <c r="I93" s="27">
        <f t="shared" si="6"/>
      </c>
    </row>
    <row r="94" spans="1:9" ht="15">
      <c r="A94" s="28" t="s">
        <v>64</v>
      </c>
      <c r="B94" s="29">
        <v>1</v>
      </c>
      <c r="C94" s="29">
        <v>4</v>
      </c>
      <c r="D94" s="30">
        <v>800</v>
      </c>
      <c r="E94" s="31">
        <v>336</v>
      </c>
      <c r="F94" s="32">
        <f t="shared" si="4"/>
        <v>568</v>
      </c>
      <c r="G94" s="2">
        <f t="shared" si="5"/>
        <v>244440.17137669746</v>
      </c>
      <c r="H94" s="26"/>
      <c r="I94" s="27">
        <f t="shared" si="6"/>
      </c>
    </row>
    <row r="95" spans="1:9" ht="15">
      <c r="A95" s="28" t="s">
        <v>64</v>
      </c>
      <c r="B95" s="29">
        <v>2</v>
      </c>
      <c r="C95" s="29">
        <v>4</v>
      </c>
      <c r="D95" s="30">
        <v>1900</v>
      </c>
      <c r="E95" s="31">
        <v>600</v>
      </c>
      <c r="F95" s="32">
        <f t="shared" si="4"/>
        <v>1250</v>
      </c>
      <c r="G95" s="2">
        <f t="shared" si="5"/>
        <v>417874.63259370544</v>
      </c>
      <c r="H95" s="26"/>
      <c r="I95" s="27">
        <f t="shared" si="6"/>
      </c>
    </row>
    <row r="96" spans="1:9" ht="15">
      <c r="A96" s="28" t="s">
        <v>64</v>
      </c>
      <c r="B96" s="29">
        <v>1</v>
      </c>
      <c r="C96" s="29">
        <v>3</v>
      </c>
      <c r="D96" s="30">
        <v>175</v>
      </c>
      <c r="E96" s="31">
        <v>150</v>
      </c>
      <c r="F96" s="32">
        <f t="shared" si="4"/>
        <v>162.5</v>
      </c>
      <c r="G96" s="2">
        <f t="shared" si="5"/>
        <v>99125.54609637552</v>
      </c>
      <c r="H96" s="26"/>
      <c r="I96" s="27">
        <f t="shared" si="6"/>
      </c>
    </row>
    <row r="97" spans="1:9" ht="15">
      <c r="A97" s="28" t="s">
        <v>64</v>
      </c>
      <c r="B97" s="29">
        <v>1</v>
      </c>
      <c r="C97" s="29">
        <v>3</v>
      </c>
      <c r="D97" s="30">
        <v>120</v>
      </c>
      <c r="E97" s="31">
        <v>100</v>
      </c>
      <c r="F97" s="32">
        <f t="shared" si="4"/>
        <v>110</v>
      </c>
      <c r="G97" s="2">
        <f t="shared" si="5"/>
        <v>76030.21569217407</v>
      </c>
      <c r="H97" s="26"/>
      <c r="I97" s="27">
        <f t="shared" si="6"/>
      </c>
    </row>
    <row r="98" spans="1:9" ht="15">
      <c r="A98" s="28" t="s">
        <v>64</v>
      </c>
      <c r="B98" s="29">
        <v>1</v>
      </c>
      <c r="C98" s="29">
        <v>3</v>
      </c>
      <c r="D98" s="30">
        <v>75</v>
      </c>
      <c r="E98" s="31">
        <v>70</v>
      </c>
      <c r="F98" s="32">
        <f t="shared" si="4"/>
        <v>72.5</v>
      </c>
      <c r="G98" s="2">
        <f t="shared" si="5"/>
        <v>57267.108044129964</v>
      </c>
      <c r="H98" s="26"/>
      <c r="I98" s="27">
        <f t="shared" si="6"/>
      </c>
    </row>
    <row r="99" spans="1:9" ht="15">
      <c r="A99" s="28" t="s">
        <v>64</v>
      </c>
      <c r="B99" s="29">
        <v>1</v>
      </c>
      <c r="C99" s="29">
        <v>3</v>
      </c>
      <c r="D99" s="30">
        <v>100</v>
      </c>
      <c r="E99" s="31">
        <v>90</v>
      </c>
      <c r="F99" s="32">
        <f t="shared" si="4"/>
        <v>95</v>
      </c>
      <c r="G99" s="2">
        <f t="shared" si="5"/>
        <v>68818.3066391087</v>
      </c>
      <c r="H99" s="26"/>
      <c r="I99" s="27">
        <f t="shared" si="6"/>
      </c>
    </row>
    <row r="100" spans="1:9" ht="15">
      <c r="A100" s="28" t="s">
        <v>64</v>
      </c>
      <c r="B100" s="29">
        <v>1</v>
      </c>
      <c r="C100" s="29">
        <v>3</v>
      </c>
      <c r="D100" s="30">
        <v>75</v>
      </c>
      <c r="E100" s="31">
        <v>70</v>
      </c>
      <c r="F100" s="32">
        <f t="shared" si="4"/>
        <v>72.5</v>
      </c>
      <c r="G100" s="2">
        <f t="shared" si="5"/>
        <v>57267.108044129964</v>
      </c>
      <c r="H100" s="26"/>
      <c r="I100" s="27">
        <f t="shared" si="6"/>
      </c>
    </row>
    <row r="101" spans="1:9" ht="15">
      <c r="A101" s="28" t="s">
        <v>64</v>
      </c>
      <c r="B101" s="29">
        <v>1</v>
      </c>
      <c r="C101" s="29">
        <v>3</v>
      </c>
      <c r="D101" s="30">
        <v>30</v>
      </c>
      <c r="E101" s="31">
        <v>25</v>
      </c>
      <c r="F101" s="32">
        <f t="shared" si="4"/>
        <v>27.5</v>
      </c>
      <c r="G101" s="2">
        <f t="shared" si="5"/>
        <v>29628.239079105137</v>
      </c>
      <c r="H101" s="26"/>
      <c r="I101" s="27">
        <f t="shared" si="6"/>
      </c>
    </row>
    <row r="102" spans="1:9" ht="15">
      <c r="A102" s="28" t="s">
        <v>64</v>
      </c>
      <c r="B102" s="29">
        <v>1</v>
      </c>
      <c r="C102" s="29">
        <v>1</v>
      </c>
      <c r="D102" s="30">
        <v>500</v>
      </c>
      <c r="E102" s="31">
        <v>450</v>
      </c>
      <c r="F102" s="32">
        <f t="shared" si="4"/>
        <v>475</v>
      </c>
      <c r="G102" s="2">
        <f t="shared" si="5"/>
        <v>104424.1220574156</v>
      </c>
      <c r="H102" s="26"/>
      <c r="I102" s="27">
        <f t="shared" si="6"/>
      </c>
    </row>
    <row r="103" spans="1:9" ht="15">
      <c r="A103" s="28" t="s">
        <v>64</v>
      </c>
      <c r="B103" s="29">
        <v>1</v>
      </c>
      <c r="C103" s="29">
        <v>1</v>
      </c>
      <c r="D103" s="30">
        <v>750</v>
      </c>
      <c r="E103" s="31">
        <v>250</v>
      </c>
      <c r="F103" s="32">
        <f t="shared" si="4"/>
        <v>500</v>
      </c>
      <c r="G103" s="2">
        <f t="shared" si="5"/>
        <v>108129.53261088498</v>
      </c>
      <c r="H103" s="26"/>
      <c r="I103" s="27">
        <f t="shared" si="6"/>
      </c>
    </row>
    <row r="104" spans="1:9" ht="15">
      <c r="A104" s="28" t="s">
        <v>64</v>
      </c>
      <c r="B104" s="29">
        <v>1</v>
      </c>
      <c r="C104" s="29">
        <v>1</v>
      </c>
      <c r="D104" s="30">
        <v>150</v>
      </c>
      <c r="E104" s="31">
        <v>100</v>
      </c>
      <c r="F104" s="32">
        <f t="shared" si="4"/>
        <v>125</v>
      </c>
      <c r="G104" s="2">
        <f t="shared" si="5"/>
        <v>42137.03215939923</v>
      </c>
      <c r="H104" s="26"/>
      <c r="I104" s="27">
        <f t="shared" si="6"/>
      </c>
    </row>
    <row r="105" spans="1:9" ht="15">
      <c r="A105" s="28" t="s">
        <v>64</v>
      </c>
      <c r="B105" s="29">
        <v>1</v>
      </c>
      <c r="C105" s="29">
        <v>1</v>
      </c>
      <c r="D105" s="30">
        <v>115</v>
      </c>
      <c r="E105" s="31">
        <v>50</v>
      </c>
      <c r="F105" s="32">
        <f t="shared" si="4"/>
        <v>82.5</v>
      </c>
      <c r="G105" s="2">
        <f t="shared" si="5"/>
        <v>31768.002705067523</v>
      </c>
      <c r="H105" s="26"/>
      <c r="I105" s="27">
        <f t="shared" si="6"/>
      </c>
    </row>
    <row r="106" spans="1:9" ht="15.75" thickBot="1">
      <c r="A106" s="33" t="s">
        <v>64</v>
      </c>
      <c r="B106" s="34">
        <v>1</v>
      </c>
      <c r="C106" s="34">
        <v>1</v>
      </c>
      <c r="D106" s="35">
        <v>200</v>
      </c>
      <c r="E106" s="36">
        <v>50</v>
      </c>
      <c r="F106" s="37">
        <f t="shared" si="4"/>
        <v>125</v>
      </c>
      <c r="G106" s="38">
        <f t="shared" si="5"/>
        <v>42137.03215939923</v>
      </c>
      <c r="H106" s="39">
        <f>SUM(G87:G106)</f>
        <v>22544964.266949434</v>
      </c>
      <c r="I106" s="27">
        <f t="shared" si="6"/>
        <v>22545337.916949432</v>
      </c>
    </row>
    <row r="107" spans="1:9" ht="15">
      <c r="A107" s="20" t="s">
        <v>6</v>
      </c>
      <c r="B107" s="21">
        <v>1</v>
      </c>
      <c r="C107" s="21">
        <v>5</v>
      </c>
      <c r="D107" s="22">
        <v>153000</v>
      </c>
      <c r="E107" s="23">
        <v>95338</v>
      </c>
      <c r="F107" s="24">
        <f t="shared" si="4"/>
        <v>124169</v>
      </c>
      <c r="G107" s="25">
        <f t="shared" si="5"/>
        <v>11299595.779209774</v>
      </c>
      <c r="H107" s="26"/>
      <c r="I107" s="27">
        <f t="shared" si="6"/>
      </c>
    </row>
    <row r="108" spans="1:9" ht="15">
      <c r="A108" s="28" t="s">
        <v>6</v>
      </c>
      <c r="B108" s="29">
        <v>1</v>
      </c>
      <c r="C108" s="29">
        <v>5</v>
      </c>
      <c r="D108" s="30">
        <v>133000</v>
      </c>
      <c r="E108" s="31">
        <v>83392</v>
      </c>
      <c r="F108" s="32">
        <f t="shared" si="4"/>
        <v>108196</v>
      </c>
      <c r="G108" s="2">
        <f t="shared" si="5"/>
        <v>10289861.34881323</v>
      </c>
      <c r="H108" s="26"/>
      <c r="I108" s="27">
        <f t="shared" si="6"/>
      </c>
    </row>
    <row r="109" spans="1:9" ht="15">
      <c r="A109" s="28" t="s">
        <v>6</v>
      </c>
      <c r="B109" s="29">
        <v>1</v>
      </c>
      <c r="C109" s="29">
        <v>5</v>
      </c>
      <c r="D109" s="30">
        <v>23000</v>
      </c>
      <c r="E109" s="31">
        <v>18856</v>
      </c>
      <c r="F109" s="32">
        <f t="shared" si="4"/>
        <v>20928</v>
      </c>
      <c r="G109" s="2">
        <f t="shared" si="5"/>
        <v>3368088.1869150274</v>
      </c>
      <c r="H109" s="26"/>
      <c r="I109" s="27">
        <f t="shared" si="6"/>
      </c>
    </row>
    <row r="110" spans="1:9" ht="15">
      <c r="A110" s="28" t="s">
        <v>6</v>
      </c>
      <c r="B110" s="29">
        <v>1</v>
      </c>
      <c r="C110" s="29">
        <v>4</v>
      </c>
      <c r="D110" s="30">
        <v>10000</v>
      </c>
      <c r="E110" s="31">
        <v>7158</v>
      </c>
      <c r="F110" s="32">
        <f t="shared" si="4"/>
        <v>8579</v>
      </c>
      <c r="G110" s="2">
        <f t="shared" si="5"/>
        <v>1547807.0757919357</v>
      </c>
      <c r="H110" s="26"/>
      <c r="I110" s="27">
        <f t="shared" si="6"/>
      </c>
    </row>
    <row r="111" spans="1:9" ht="15">
      <c r="A111" s="28" t="s">
        <v>6</v>
      </c>
      <c r="B111" s="29">
        <v>1</v>
      </c>
      <c r="C111" s="29">
        <v>3</v>
      </c>
      <c r="D111" s="30">
        <v>7000</v>
      </c>
      <c r="E111" s="31">
        <v>547</v>
      </c>
      <c r="F111" s="32">
        <f t="shared" si="4"/>
        <v>3773.5</v>
      </c>
      <c r="G111" s="2">
        <f t="shared" si="5"/>
        <v>840849.5328773136</v>
      </c>
      <c r="H111" s="26"/>
      <c r="I111" s="27">
        <f t="shared" si="6"/>
      </c>
    </row>
    <row r="112" spans="1:9" ht="15">
      <c r="A112" s="28" t="s">
        <v>6</v>
      </c>
      <c r="B112" s="29">
        <v>1</v>
      </c>
      <c r="C112" s="29">
        <v>3</v>
      </c>
      <c r="D112" s="30">
        <v>400</v>
      </c>
      <c r="E112" s="31">
        <v>305</v>
      </c>
      <c r="F112" s="32">
        <f t="shared" si="4"/>
        <v>352.5</v>
      </c>
      <c r="G112" s="2">
        <f t="shared" si="5"/>
        <v>167805.52112692912</v>
      </c>
      <c r="H112" s="26"/>
      <c r="I112" s="27">
        <f t="shared" si="6"/>
      </c>
    </row>
    <row r="113" spans="1:9" ht="15">
      <c r="A113" s="28" t="s">
        <v>6</v>
      </c>
      <c r="B113" s="29">
        <v>1</v>
      </c>
      <c r="C113" s="29">
        <v>3</v>
      </c>
      <c r="D113" s="30">
        <v>100</v>
      </c>
      <c r="E113" s="31">
        <v>18</v>
      </c>
      <c r="F113" s="32">
        <f t="shared" si="4"/>
        <v>59</v>
      </c>
      <c r="G113" s="2">
        <f t="shared" si="5"/>
        <v>49782.03808138374</v>
      </c>
      <c r="H113" s="26"/>
      <c r="I113" s="27">
        <f t="shared" si="6"/>
      </c>
    </row>
    <row r="114" spans="1:9" ht="15">
      <c r="A114" s="28" t="s">
        <v>6</v>
      </c>
      <c r="B114" s="29">
        <v>1</v>
      </c>
      <c r="C114" s="29">
        <v>3</v>
      </c>
      <c r="D114" s="30">
        <v>250</v>
      </c>
      <c r="E114" s="31">
        <v>327</v>
      </c>
      <c r="F114" s="32">
        <f t="shared" si="4"/>
        <v>288.5</v>
      </c>
      <c r="G114" s="2">
        <f t="shared" si="5"/>
        <v>146438.27416808988</v>
      </c>
      <c r="H114" s="26"/>
      <c r="I114" s="27">
        <f t="shared" si="6"/>
      </c>
    </row>
    <row r="115" spans="1:9" ht="15">
      <c r="A115" s="28" t="s">
        <v>6</v>
      </c>
      <c r="B115" s="29">
        <v>1</v>
      </c>
      <c r="C115" s="29">
        <v>3</v>
      </c>
      <c r="D115" s="30">
        <v>150</v>
      </c>
      <c r="E115" s="31">
        <v>21</v>
      </c>
      <c r="F115" s="32">
        <f t="shared" si="4"/>
        <v>85.5</v>
      </c>
      <c r="G115" s="2">
        <f t="shared" si="5"/>
        <v>64061.63814344231</v>
      </c>
      <c r="H115" s="26"/>
      <c r="I115" s="27">
        <f t="shared" si="6"/>
      </c>
    </row>
    <row r="116" spans="1:9" ht="15.75" thickBot="1">
      <c r="A116" s="33" t="s">
        <v>6</v>
      </c>
      <c r="B116" s="34">
        <v>1</v>
      </c>
      <c r="C116" s="34">
        <v>3</v>
      </c>
      <c r="D116" s="35">
        <v>300</v>
      </c>
      <c r="E116" s="36">
        <v>114</v>
      </c>
      <c r="F116" s="37">
        <f t="shared" si="4"/>
        <v>207</v>
      </c>
      <c r="G116" s="38">
        <f t="shared" si="5"/>
        <v>116854.14336209983</v>
      </c>
      <c r="H116" s="39">
        <f>SUM(G107:G116)</f>
        <v>27891143.538489234</v>
      </c>
      <c r="I116" s="27">
        <f t="shared" si="6"/>
        <v>27891517.188489232</v>
      </c>
    </row>
    <row r="117" spans="1:9" ht="15">
      <c r="A117" s="20" t="s">
        <v>65</v>
      </c>
      <c r="B117" s="21">
        <v>1</v>
      </c>
      <c r="C117" s="21">
        <v>2</v>
      </c>
      <c r="D117" s="22">
        <v>100</v>
      </c>
      <c r="E117" s="23">
        <v>36</v>
      </c>
      <c r="F117" s="24">
        <f t="shared" si="4"/>
        <v>68</v>
      </c>
      <c r="G117" s="25">
        <f t="shared" si="5"/>
        <v>52671.57433634598</v>
      </c>
      <c r="H117" s="26"/>
      <c r="I117" s="27">
        <f t="shared" si="6"/>
      </c>
    </row>
    <row r="118" spans="1:9" ht="15">
      <c r="A118" s="28" t="s">
        <v>65</v>
      </c>
      <c r="B118" s="29">
        <v>1</v>
      </c>
      <c r="C118" s="29">
        <v>1</v>
      </c>
      <c r="D118" s="30">
        <v>55</v>
      </c>
      <c r="E118" s="31">
        <v>12</v>
      </c>
      <c r="F118" s="32">
        <f t="shared" si="4"/>
        <v>33.5</v>
      </c>
      <c r="G118" s="2">
        <f t="shared" si="5"/>
        <v>17215.116919401094</v>
      </c>
      <c r="H118" s="26"/>
      <c r="I118" s="27">
        <f t="shared" si="6"/>
      </c>
    </row>
    <row r="119" spans="1:9" ht="15">
      <c r="A119" s="28" t="s">
        <v>65</v>
      </c>
      <c r="B119" s="29">
        <v>1</v>
      </c>
      <c r="C119" s="29">
        <v>5</v>
      </c>
      <c r="D119" s="30">
        <v>23753</v>
      </c>
      <c r="E119" s="31">
        <v>20272</v>
      </c>
      <c r="F119" s="32">
        <f t="shared" si="4"/>
        <v>22012.5</v>
      </c>
      <c r="G119" s="2">
        <f t="shared" si="5"/>
        <v>3485775.2551180883</v>
      </c>
      <c r="H119" s="26"/>
      <c r="I119" s="27">
        <f t="shared" si="6"/>
      </c>
    </row>
    <row r="120" spans="1:9" ht="15">
      <c r="A120" s="28" t="s">
        <v>65</v>
      </c>
      <c r="B120" s="29">
        <v>1</v>
      </c>
      <c r="C120" s="29">
        <v>2</v>
      </c>
      <c r="D120" s="30">
        <v>65</v>
      </c>
      <c r="E120" s="31">
        <v>28</v>
      </c>
      <c r="F120" s="32">
        <f t="shared" si="4"/>
        <v>46.5</v>
      </c>
      <c r="G120" s="2">
        <f t="shared" si="5"/>
        <v>40679.09270621521</v>
      </c>
      <c r="H120" s="26"/>
      <c r="I120" s="27">
        <f t="shared" si="6"/>
      </c>
    </row>
    <row r="121" spans="1:9" ht="15">
      <c r="A121" s="28" t="s">
        <v>65</v>
      </c>
      <c r="B121" s="29">
        <v>1</v>
      </c>
      <c r="C121" s="29">
        <v>5</v>
      </c>
      <c r="D121" s="30">
        <v>3811</v>
      </c>
      <c r="E121" s="31">
        <v>3423</v>
      </c>
      <c r="F121" s="32">
        <f t="shared" si="4"/>
        <v>3617</v>
      </c>
      <c r="G121" s="2">
        <f t="shared" si="5"/>
        <v>1021217.0611804422</v>
      </c>
      <c r="H121" s="26"/>
      <c r="I121" s="27">
        <f t="shared" si="6"/>
      </c>
    </row>
    <row r="122" spans="1:9" ht="15">
      <c r="A122" s="28" t="s">
        <v>65</v>
      </c>
      <c r="B122" s="29">
        <v>1</v>
      </c>
      <c r="C122" s="29">
        <v>2</v>
      </c>
      <c r="D122" s="30">
        <v>190</v>
      </c>
      <c r="E122" s="31">
        <v>436</v>
      </c>
      <c r="F122" s="32">
        <f t="shared" si="4"/>
        <v>313</v>
      </c>
      <c r="G122" s="2">
        <f t="shared" si="5"/>
        <v>148698.9087100815</v>
      </c>
      <c r="H122" s="26"/>
      <c r="I122" s="27">
        <f t="shared" si="6"/>
      </c>
    </row>
    <row r="123" spans="1:9" ht="15">
      <c r="A123" s="28" t="s">
        <v>65</v>
      </c>
      <c r="B123" s="29">
        <v>1</v>
      </c>
      <c r="C123" s="29">
        <v>5</v>
      </c>
      <c r="D123" s="30">
        <v>14523</v>
      </c>
      <c r="E123" s="31">
        <v>11360</v>
      </c>
      <c r="F123" s="32">
        <f t="shared" si="4"/>
        <v>12941.5</v>
      </c>
      <c r="G123" s="2">
        <f t="shared" si="5"/>
        <v>2429292.939753756</v>
      </c>
      <c r="H123" s="26"/>
      <c r="I123" s="27">
        <f t="shared" si="6"/>
      </c>
    </row>
    <row r="124" spans="1:9" ht="15">
      <c r="A124" s="28" t="s">
        <v>65</v>
      </c>
      <c r="B124" s="29">
        <v>1</v>
      </c>
      <c r="C124" s="29">
        <v>4</v>
      </c>
      <c r="D124" s="30">
        <v>2971</v>
      </c>
      <c r="E124" s="31">
        <v>1170</v>
      </c>
      <c r="F124" s="32">
        <f t="shared" si="4"/>
        <v>2070.5</v>
      </c>
      <c r="G124" s="2">
        <f t="shared" si="5"/>
        <v>588890.4691299985</v>
      </c>
      <c r="H124" s="26"/>
      <c r="I124" s="27">
        <f t="shared" si="6"/>
      </c>
    </row>
    <row r="125" spans="1:9" ht="15">
      <c r="A125" s="28" t="s">
        <v>65</v>
      </c>
      <c r="B125" s="29">
        <v>1</v>
      </c>
      <c r="C125" s="29">
        <v>3</v>
      </c>
      <c r="D125" s="30">
        <v>1507</v>
      </c>
      <c r="E125" s="31">
        <v>1651</v>
      </c>
      <c r="F125" s="32">
        <f t="shared" si="4"/>
        <v>1579</v>
      </c>
      <c r="G125" s="2">
        <f t="shared" si="5"/>
        <v>465058.5649550505</v>
      </c>
      <c r="H125" s="26"/>
      <c r="I125" s="27">
        <f t="shared" si="6"/>
      </c>
    </row>
    <row r="126" spans="1:9" ht="15">
      <c r="A126" s="28" t="s">
        <v>65</v>
      </c>
      <c r="B126" s="29">
        <v>2</v>
      </c>
      <c r="C126" s="29">
        <v>3</v>
      </c>
      <c r="D126" s="30">
        <v>1897</v>
      </c>
      <c r="E126" s="31">
        <v>1267</v>
      </c>
      <c r="F126" s="32">
        <f t="shared" si="4"/>
        <v>1582</v>
      </c>
      <c r="G126" s="2">
        <f t="shared" si="5"/>
        <v>465659.0413210006</v>
      </c>
      <c r="H126" s="26"/>
      <c r="I126" s="27">
        <f t="shared" si="6"/>
      </c>
    </row>
    <row r="127" spans="1:9" ht="15">
      <c r="A127" s="28" t="s">
        <v>65</v>
      </c>
      <c r="B127" s="29">
        <v>1</v>
      </c>
      <c r="C127" s="29">
        <v>5</v>
      </c>
      <c r="D127" s="30">
        <v>5591</v>
      </c>
      <c r="E127" s="31">
        <v>7961</v>
      </c>
      <c r="F127" s="32">
        <f t="shared" si="4"/>
        <v>6776</v>
      </c>
      <c r="G127" s="2">
        <f t="shared" si="5"/>
        <v>1564762.6134889284</v>
      </c>
      <c r="H127" s="26"/>
      <c r="I127" s="27">
        <f t="shared" si="6"/>
      </c>
    </row>
    <row r="128" spans="1:9" ht="15">
      <c r="A128" s="28" t="s">
        <v>65</v>
      </c>
      <c r="B128" s="29">
        <v>1</v>
      </c>
      <c r="C128" s="29">
        <v>1</v>
      </c>
      <c r="D128" s="30">
        <v>298</v>
      </c>
      <c r="E128" s="31">
        <v>101</v>
      </c>
      <c r="F128" s="32">
        <f t="shared" si="4"/>
        <v>199.5</v>
      </c>
      <c r="G128" s="2">
        <f t="shared" si="5"/>
        <v>57900.95144637205</v>
      </c>
      <c r="H128" s="26"/>
      <c r="I128" s="27">
        <f t="shared" si="6"/>
      </c>
    </row>
    <row r="129" spans="1:9" ht="15.75" thickBot="1">
      <c r="A129" s="33" t="s">
        <v>65</v>
      </c>
      <c r="B129" s="34">
        <v>1</v>
      </c>
      <c r="C129" s="34">
        <v>1</v>
      </c>
      <c r="D129" s="35">
        <v>70</v>
      </c>
      <c r="E129" s="36">
        <v>70</v>
      </c>
      <c r="F129" s="37">
        <f t="shared" si="4"/>
        <v>70</v>
      </c>
      <c r="G129" s="38">
        <f t="shared" si="5"/>
        <v>28410.71505590611</v>
      </c>
      <c r="H129" s="39">
        <f>SUM(G117:G129)</f>
        <v>10366232.304121582</v>
      </c>
      <c r="I129" s="27">
        <f t="shared" si="6"/>
        <v>10366605.954121582</v>
      </c>
    </row>
    <row r="130" spans="1:9" ht="15">
      <c r="A130" s="20" t="s">
        <v>66</v>
      </c>
      <c r="B130" s="21">
        <v>2</v>
      </c>
      <c r="C130" s="21">
        <v>5</v>
      </c>
      <c r="D130" s="22">
        <v>60000</v>
      </c>
      <c r="E130" s="23">
        <v>27578</v>
      </c>
      <c r="F130" s="24">
        <f t="shared" si="4"/>
        <v>43789</v>
      </c>
      <c r="G130" s="25">
        <f t="shared" si="5"/>
        <v>5827196.885882893</v>
      </c>
      <c r="H130" s="26"/>
      <c r="I130" s="27">
        <f t="shared" si="6"/>
      </c>
    </row>
    <row r="131" spans="1:9" ht="15">
      <c r="A131" s="28" t="s">
        <v>66</v>
      </c>
      <c r="B131" s="29">
        <v>2</v>
      </c>
      <c r="C131" s="29">
        <v>5</v>
      </c>
      <c r="D131" s="30">
        <v>28000</v>
      </c>
      <c r="E131" s="31">
        <v>17244</v>
      </c>
      <c r="F131" s="32">
        <f aca="true" t="shared" si="7" ref="F131:F194">(D131+E131)/2</f>
        <v>22622</v>
      </c>
      <c r="G131" s="2">
        <f aca="true" t="shared" si="8" ref="G131:G194">IF(C131=1,1581.92*(F131^0.6798),IF(C131=2,2991.14*(F131^0.6798),IF(C131=3,3113.49*(F131^0.6798),IF(C131=4,3279.19*(F131^0.6798),IF(C131=5,IF(B131=1,3891.82*(F131^0.6798),IF(B131=2,4076.24*(F131^0.6798),0)),0)))))</f>
        <v>3719374.582513366</v>
      </c>
      <c r="H131" s="26"/>
      <c r="I131" s="27">
        <f t="shared" si="6"/>
      </c>
    </row>
    <row r="132" spans="1:9" ht="15">
      <c r="A132" s="28" t="s">
        <v>66</v>
      </c>
      <c r="B132" s="29">
        <v>1</v>
      </c>
      <c r="C132" s="29">
        <v>4</v>
      </c>
      <c r="D132" s="30">
        <v>5000</v>
      </c>
      <c r="E132" s="31">
        <v>3084</v>
      </c>
      <c r="F132" s="32">
        <f t="shared" si="7"/>
        <v>4042</v>
      </c>
      <c r="G132" s="2">
        <f t="shared" si="8"/>
        <v>927963.1958122873</v>
      </c>
      <c r="H132" s="26"/>
      <c r="I132" s="27">
        <f t="shared" si="6"/>
      </c>
    </row>
    <row r="133" spans="1:9" ht="15">
      <c r="A133" s="28" t="s">
        <v>66</v>
      </c>
      <c r="B133" s="29">
        <v>2</v>
      </c>
      <c r="C133" s="29">
        <v>5</v>
      </c>
      <c r="D133" s="30">
        <v>5000</v>
      </c>
      <c r="E133" s="31">
        <v>3777</v>
      </c>
      <c r="F133" s="32">
        <f t="shared" si="7"/>
        <v>4388.5</v>
      </c>
      <c r="G133" s="2">
        <f t="shared" si="8"/>
        <v>1219849.4451685422</v>
      </c>
      <c r="H133" s="26"/>
      <c r="I133" s="27">
        <f t="shared" si="6"/>
      </c>
    </row>
    <row r="134" spans="1:9" ht="15.75" thickBot="1">
      <c r="A134" s="33" t="s">
        <v>66</v>
      </c>
      <c r="B134" s="34">
        <v>1</v>
      </c>
      <c r="C134" s="34">
        <v>4</v>
      </c>
      <c r="D134" s="35">
        <v>900</v>
      </c>
      <c r="E134" s="36">
        <v>430</v>
      </c>
      <c r="F134" s="37">
        <f t="shared" si="7"/>
        <v>665</v>
      </c>
      <c r="G134" s="38">
        <f t="shared" si="8"/>
        <v>272095.1090812084</v>
      </c>
      <c r="H134" s="39">
        <f>SUM(G130:G134)</f>
        <v>11966479.218458295</v>
      </c>
      <c r="I134" s="27">
        <f t="shared" si="6"/>
        <v>11966852.868458295</v>
      </c>
    </row>
    <row r="135" spans="1:9" ht="15.75" thickBot="1">
      <c r="A135" s="20" t="s">
        <v>68</v>
      </c>
      <c r="B135" s="21">
        <v>2</v>
      </c>
      <c r="C135" s="21">
        <v>5</v>
      </c>
      <c r="D135" s="22">
        <v>22000</v>
      </c>
      <c r="E135" s="23">
        <v>15967</v>
      </c>
      <c r="F135" s="24">
        <f t="shared" si="7"/>
        <v>18983.5</v>
      </c>
      <c r="G135" s="25">
        <f t="shared" si="8"/>
        <v>3301413.6762156</v>
      </c>
      <c r="H135" s="39">
        <f>G135</f>
        <v>3301413.6762156</v>
      </c>
      <c r="I135" s="27">
        <f t="shared" si="6"/>
        <v>3301787.3262156</v>
      </c>
    </row>
    <row r="136" spans="1:9" ht="15">
      <c r="A136" s="20" t="s">
        <v>69</v>
      </c>
      <c r="B136" s="21">
        <v>1</v>
      </c>
      <c r="C136" s="21">
        <v>5</v>
      </c>
      <c r="D136" s="22">
        <v>105000</v>
      </c>
      <c r="E136" s="23">
        <v>33165</v>
      </c>
      <c r="F136" s="24">
        <f t="shared" si="7"/>
        <v>69082.5</v>
      </c>
      <c r="G136" s="25">
        <f t="shared" si="8"/>
        <v>7584992.278873978</v>
      </c>
      <c r="H136" s="26"/>
      <c r="I136" s="27">
        <f t="shared" si="6"/>
      </c>
    </row>
    <row r="137" spans="1:9" ht="15">
      <c r="A137" s="28" t="s">
        <v>69</v>
      </c>
      <c r="B137" s="29">
        <v>1</v>
      </c>
      <c r="C137" s="29">
        <v>5</v>
      </c>
      <c r="D137" s="30">
        <v>20000</v>
      </c>
      <c r="E137" s="31">
        <v>33383</v>
      </c>
      <c r="F137" s="32">
        <f t="shared" si="7"/>
        <v>26691.5</v>
      </c>
      <c r="G137" s="2">
        <f t="shared" si="8"/>
        <v>3973755.096509606</v>
      </c>
      <c r="H137" s="26"/>
      <c r="I137" s="27">
        <f t="shared" si="6"/>
      </c>
    </row>
    <row r="138" spans="1:9" ht="15">
      <c r="A138" s="28" t="s">
        <v>69</v>
      </c>
      <c r="B138" s="29">
        <v>1</v>
      </c>
      <c r="C138" s="29">
        <v>5</v>
      </c>
      <c r="D138" s="30">
        <v>6500</v>
      </c>
      <c r="E138" s="31">
        <v>2379</v>
      </c>
      <c r="F138" s="32">
        <f t="shared" si="7"/>
        <v>4439.5</v>
      </c>
      <c r="G138" s="2">
        <f t="shared" si="8"/>
        <v>1173844.149571239</v>
      </c>
      <c r="H138" s="26"/>
      <c r="I138" s="27">
        <f t="shared" si="6"/>
      </c>
    </row>
    <row r="139" spans="1:9" ht="15">
      <c r="A139" s="28" t="s">
        <v>69</v>
      </c>
      <c r="B139" s="29">
        <v>1</v>
      </c>
      <c r="C139" s="29">
        <v>4</v>
      </c>
      <c r="D139" s="30">
        <v>3000</v>
      </c>
      <c r="E139" s="31">
        <v>2938</v>
      </c>
      <c r="F139" s="32">
        <f t="shared" si="7"/>
        <v>2969</v>
      </c>
      <c r="G139" s="2">
        <f t="shared" si="8"/>
        <v>752396.8925918554</v>
      </c>
      <c r="H139" s="26"/>
      <c r="I139" s="27">
        <f t="shared" si="6"/>
      </c>
    </row>
    <row r="140" spans="1:9" ht="15">
      <c r="A140" s="28" t="s">
        <v>69</v>
      </c>
      <c r="B140" s="29">
        <v>1</v>
      </c>
      <c r="C140" s="29">
        <v>5</v>
      </c>
      <c r="D140" s="30">
        <v>5300</v>
      </c>
      <c r="E140" s="31">
        <v>3901</v>
      </c>
      <c r="F140" s="32">
        <f t="shared" si="7"/>
        <v>4600.5</v>
      </c>
      <c r="G140" s="2">
        <f t="shared" si="8"/>
        <v>1202617.7468874434</v>
      </c>
      <c r="H140" s="26"/>
      <c r="I140" s="27">
        <f t="shared" si="6"/>
      </c>
    </row>
    <row r="141" spans="1:9" ht="15">
      <c r="A141" s="28" t="s">
        <v>69</v>
      </c>
      <c r="B141" s="29">
        <v>1</v>
      </c>
      <c r="C141" s="29">
        <v>5</v>
      </c>
      <c r="D141" s="30">
        <v>3000</v>
      </c>
      <c r="E141" s="31">
        <v>1028</v>
      </c>
      <c r="F141" s="32">
        <f t="shared" si="7"/>
        <v>2014</v>
      </c>
      <c r="G141" s="2">
        <f t="shared" si="8"/>
        <v>685886.6828652549</v>
      </c>
      <c r="H141" s="26"/>
      <c r="I141" s="27">
        <f t="shared" si="6"/>
      </c>
    </row>
    <row r="142" spans="1:9" ht="15.75" thickBot="1">
      <c r="A142" s="33" t="s">
        <v>69</v>
      </c>
      <c r="B142" s="34">
        <v>1</v>
      </c>
      <c r="C142" s="34">
        <v>4</v>
      </c>
      <c r="D142" s="35">
        <v>120</v>
      </c>
      <c r="E142" s="36">
        <v>39</v>
      </c>
      <c r="F142" s="37">
        <f t="shared" si="7"/>
        <v>79.5</v>
      </c>
      <c r="G142" s="38">
        <f t="shared" si="8"/>
        <v>64214.95092298002</v>
      </c>
      <c r="H142" s="39">
        <f>SUM(G136:G142)</f>
        <v>15437707.798222356</v>
      </c>
      <c r="I142" s="27">
        <f t="shared" si="6"/>
        <v>15438081.448222356</v>
      </c>
    </row>
    <row r="143" spans="1:9" ht="15">
      <c r="A143" s="20" t="s">
        <v>7</v>
      </c>
      <c r="B143" s="21">
        <v>2</v>
      </c>
      <c r="C143" s="21">
        <v>5</v>
      </c>
      <c r="D143" s="22">
        <v>123000</v>
      </c>
      <c r="E143" s="23">
        <v>43546</v>
      </c>
      <c r="F143" s="24">
        <f t="shared" si="7"/>
        <v>83273</v>
      </c>
      <c r="G143" s="25">
        <f t="shared" si="8"/>
        <v>9020248.641091403</v>
      </c>
      <c r="H143" s="26"/>
      <c r="I143" s="27">
        <f t="shared" si="6"/>
      </c>
    </row>
    <row r="144" spans="1:9" ht="15">
      <c r="A144" s="28" t="s">
        <v>7</v>
      </c>
      <c r="B144" s="29">
        <v>1</v>
      </c>
      <c r="C144" s="29">
        <v>5</v>
      </c>
      <c r="D144" s="30">
        <v>17800</v>
      </c>
      <c r="E144" s="31">
        <v>7760</v>
      </c>
      <c r="F144" s="32">
        <f t="shared" si="7"/>
        <v>12780</v>
      </c>
      <c r="G144" s="2">
        <f t="shared" si="8"/>
        <v>2408642.9152766033</v>
      </c>
      <c r="H144" s="26"/>
      <c r="I144" s="27">
        <f aca="true" t="shared" si="9" ref="I144:I207">IF(H144=0,"",H144+373.65)</f>
      </c>
    </row>
    <row r="145" spans="1:9" ht="15">
      <c r="A145" s="28" t="s">
        <v>7</v>
      </c>
      <c r="B145" s="29">
        <v>1</v>
      </c>
      <c r="C145" s="29">
        <v>5</v>
      </c>
      <c r="D145" s="30">
        <v>5200</v>
      </c>
      <c r="E145" s="31">
        <v>2606</v>
      </c>
      <c r="F145" s="32">
        <f t="shared" si="7"/>
        <v>3903</v>
      </c>
      <c r="G145" s="2">
        <f t="shared" si="8"/>
        <v>1075438.2544787615</v>
      </c>
      <c r="H145" s="26"/>
      <c r="I145" s="27">
        <f t="shared" si="9"/>
      </c>
    </row>
    <row r="146" spans="1:9" ht="15">
      <c r="A146" s="28" t="s">
        <v>7</v>
      </c>
      <c r="B146" s="29">
        <v>1</v>
      </c>
      <c r="C146" s="29">
        <v>5</v>
      </c>
      <c r="D146" s="30">
        <v>1500</v>
      </c>
      <c r="E146" s="31">
        <v>418</v>
      </c>
      <c r="F146" s="32">
        <f t="shared" si="7"/>
        <v>959</v>
      </c>
      <c r="G146" s="2">
        <f t="shared" si="8"/>
        <v>414183.72983247106</v>
      </c>
      <c r="H146" s="26"/>
      <c r="I146" s="27">
        <f t="shared" si="9"/>
      </c>
    </row>
    <row r="147" spans="1:9" ht="15">
      <c r="A147" s="28" t="s">
        <v>7</v>
      </c>
      <c r="B147" s="29">
        <v>1</v>
      </c>
      <c r="C147" s="29">
        <v>5</v>
      </c>
      <c r="D147" s="30">
        <v>1500</v>
      </c>
      <c r="E147" s="31">
        <v>458</v>
      </c>
      <c r="F147" s="32">
        <f t="shared" si="7"/>
        <v>979</v>
      </c>
      <c r="G147" s="2">
        <f t="shared" si="8"/>
        <v>420036.2953867717</v>
      </c>
      <c r="H147" s="26"/>
      <c r="I147" s="27">
        <f t="shared" si="9"/>
      </c>
    </row>
    <row r="148" spans="1:9" ht="15.75" thickBot="1">
      <c r="A148" s="33" t="s">
        <v>7</v>
      </c>
      <c r="B148" s="34">
        <v>1</v>
      </c>
      <c r="C148" s="34">
        <v>3</v>
      </c>
      <c r="D148" s="35">
        <v>50</v>
      </c>
      <c r="E148" s="36">
        <v>16</v>
      </c>
      <c r="F148" s="37">
        <f t="shared" si="7"/>
        <v>33</v>
      </c>
      <c r="G148" s="38">
        <f t="shared" si="8"/>
        <v>33537.69814143947</v>
      </c>
      <c r="H148" s="39">
        <f>SUM(G143:G148)</f>
        <v>13372087.53420745</v>
      </c>
      <c r="I148" s="27">
        <f t="shared" si="9"/>
        <v>13372461.18420745</v>
      </c>
    </row>
    <row r="149" spans="1:9" ht="15">
      <c r="A149" s="20" t="s">
        <v>8</v>
      </c>
      <c r="B149" s="21">
        <v>1</v>
      </c>
      <c r="C149" s="21">
        <v>5</v>
      </c>
      <c r="D149" s="22">
        <v>69704</v>
      </c>
      <c r="E149" s="23">
        <v>60000</v>
      </c>
      <c r="F149" s="24">
        <f t="shared" si="7"/>
        <v>64852</v>
      </c>
      <c r="G149" s="25">
        <f t="shared" si="8"/>
        <v>7266047.87821086</v>
      </c>
      <c r="H149" s="26"/>
      <c r="I149" s="27">
        <f t="shared" si="9"/>
      </c>
    </row>
    <row r="150" spans="1:9" ht="15">
      <c r="A150" s="28" t="s">
        <v>8</v>
      </c>
      <c r="B150" s="29">
        <v>2</v>
      </c>
      <c r="C150" s="29">
        <v>1</v>
      </c>
      <c r="D150" s="30"/>
      <c r="E150" s="31"/>
      <c r="F150" s="32">
        <f t="shared" si="7"/>
        <v>0</v>
      </c>
      <c r="G150" s="2">
        <f t="shared" si="8"/>
        <v>0</v>
      </c>
      <c r="H150" s="26"/>
      <c r="I150" s="27">
        <f t="shared" si="9"/>
      </c>
    </row>
    <row r="151" spans="1:9" ht="15">
      <c r="A151" s="28" t="s">
        <v>8</v>
      </c>
      <c r="B151" s="29">
        <v>1</v>
      </c>
      <c r="C151" s="29">
        <v>5</v>
      </c>
      <c r="D151" s="30">
        <v>4810</v>
      </c>
      <c r="E151" s="31">
        <v>2167</v>
      </c>
      <c r="F151" s="32">
        <f t="shared" si="7"/>
        <v>3488.5</v>
      </c>
      <c r="G151" s="2">
        <f t="shared" si="8"/>
        <v>996411.0896192216</v>
      </c>
      <c r="H151" s="26"/>
      <c r="I151" s="27">
        <f t="shared" si="9"/>
      </c>
    </row>
    <row r="152" spans="1:9" ht="15">
      <c r="A152" s="28" t="s">
        <v>8</v>
      </c>
      <c r="B152" s="29">
        <v>1</v>
      </c>
      <c r="C152" s="29">
        <v>4</v>
      </c>
      <c r="D152" s="30">
        <v>65</v>
      </c>
      <c r="E152" s="31">
        <v>47</v>
      </c>
      <c r="F152" s="32">
        <f t="shared" si="7"/>
        <v>56</v>
      </c>
      <c r="G152" s="2">
        <f t="shared" si="8"/>
        <v>50603.99471129518</v>
      </c>
      <c r="H152" s="26"/>
      <c r="I152" s="27">
        <f t="shared" si="9"/>
      </c>
    </row>
    <row r="153" spans="1:9" ht="15">
      <c r="A153" s="28" t="s">
        <v>8</v>
      </c>
      <c r="B153" s="29">
        <v>1</v>
      </c>
      <c r="C153" s="29">
        <v>3</v>
      </c>
      <c r="D153" s="30">
        <v>170</v>
      </c>
      <c r="E153" s="31">
        <v>115</v>
      </c>
      <c r="F153" s="32">
        <f t="shared" si="7"/>
        <v>142.5</v>
      </c>
      <c r="G153" s="2">
        <f t="shared" si="8"/>
        <v>90658.97821270791</v>
      </c>
      <c r="H153" s="26"/>
      <c r="I153" s="27">
        <f t="shared" si="9"/>
      </c>
    </row>
    <row r="154" spans="1:9" ht="15">
      <c r="A154" s="28" t="s">
        <v>8</v>
      </c>
      <c r="B154" s="29">
        <v>1</v>
      </c>
      <c r="C154" s="29">
        <v>3</v>
      </c>
      <c r="D154" s="30">
        <v>110</v>
      </c>
      <c r="E154" s="31">
        <v>22</v>
      </c>
      <c r="F154" s="32">
        <f t="shared" si="7"/>
        <v>66</v>
      </c>
      <c r="G154" s="2">
        <f t="shared" si="8"/>
        <v>53724.63115801137</v>
      </c>
      <c r="H154" s="26"/>
      <c r="I154" s="27">
        <f t="shared" si="9"/>
      </c>
    </row>
    <row r="155" spans="1:9" ht="15">
      <c r="A155" s="28" t="s">
        <v>8</v>
      </c>
      <c r="B155" s="29">
        <v>1</v>
      </c>
      <c r="C155" s="29">
        <v>5</v>
      </c>
      <c r="D155" s="30">
        <v>5510</v>
      </c>
      <c r="E155" s="31">
        <v>2667</v>
      </c>
      <c r="F155" s="32">
        <f t="shared" si="7"/>
        <v>4088.5</v>
      </c>
      <c r="G155" s="2">
        <f t="shared" si="8"/>
        <v>1109925.8193975273</v>
      </c>
      <c r="H155" s="26"/>
      <c r="I155" s="27">
        <f t="shared" si="9"/>
      </c>
    </row>
    <row r="156" spans="1:9" ht="15.75" thickBot="1">
      <c r="A156" s="33" t="s">
        <v>8</v>
      </c>
      <c r="B156" s="34">
        <v>1</v>
      </c>
      <c r="C156" s="34">
        <v>3</v>
      </c>
      <c r="D156" s="35">
        <v>500</v>
      </c>
      <c r="E156" s="36">
        <v>345</v>
      </c>
      <c r="F156" s="37">
        <f t="shared" si="7"/>
        <v>422.5</v>
      </c>
      <c r="G156" s="38">
        <f t="shared" si="8"/>
        <v>189794.87229251707</v>
      </c>
      <c r="H156" s="39">
        <f>SUM(G149:G156)</f>
        <v>9757167.263602141</v>
      </c>
      <c r="I156" s="27">
        <f t="shared" si="9"/>
        <v>9757540.913602142</v>
      </c>
    </row>
    <row r="157" spans="1:9" ht="15.75" thickBot="1">
      <c r="A157" s="40" t="s">
        <v>71</v>
      </c>
      <c r="B157" s="41">
        <v>1</v>
      </c>
      <c r="C157" s="41">
        <v>5</v>
      </c>
      <c r="D157" s="42">
        <v>7300</v>
      </c>
      <c r="E157" s="43">
        <v>7563</v>
      </c>
      <c r="F157" s="14">
        <f t="shared" si="7"/>
        <v>7431.5</v>
      </c>
      <c r="G157" s="15">
        <f t="shared" si="8"/>
        <v>1666136.3448419063</v>
      </c>
      <c r="H157" s="39">
        <f>G157</f>
        <v>1666136.3448419063</v>
      </c>
      <c r="I157" s="27">
        <f t="shared" si="9"/>
        <v>1666509.9948419062</v>
      </c>
    </row>
    <row r="158" spans="1:9" ht="15">
      <c r="A158" s="20" t="s">
        <v>72</v>
      </c>
      <c r="B158" s="21">
        <v>2</v>
      </c>
      <c r="C158" s="21">
        <v>5</v>
      </c>
      <c r="D158" s="22">
        <v>100000</v>
      </c>
      <c r="E158" s="23">
        <v>64456</v>
      </c>
      <c r="F158" s="24">
        <f t="shared" si="7"/>
        <v>82228</v>
      </c>
      <c r="G158" s="25">
        <f t="shared" si="8"/>
        <v>8943142.625396704</v>
      </c>
      <c r="H158" s="26"/>
      <c r="I158" s="27">
        <f t="shared" si="9"/>
      </c>
    </row>
    <row r="159" spans="1:9" ht="15">
      <c r="A159" s="28" t="s">
        <v>72</v>
      </c>
      <c r="B159" s="29">
        <v>1</v>
      </c>
      <c r="C159" s="29">
        <v>5</v>
      </c>
      <c r="D159" s="30">
        <v>10000</v>
      </c>
      <c r="E159" s="31">
        <v>5931</v>
      </c>
      <c r="F159" s="32">
        <f t="shared" si="7"/>
        <v>7965.5</v>
      </c>
      <c r="G159" s="2">
        <f t="shared" si="8"/>
        <v>1746615.7477119605</v>
      </c>
      <c r="H159" s="26"/>
      <c r="I159" s="27">
        <f t="shared" si="9"/>
      </c>
    </row>
    <row r="160" spans="1:9" ht="15">
      <c r="A160" s="28" t="s">
        <v>72</v>
      </c>
      <c r="B160" s="29">
        <v>2</v>
      </c>
      <c r="C160" s="29">
        <v>5</v>
      </c>
      <c r="D160" s="30">
        <v>600</v>
      </c>
      <c r="E160" s="31">
        <v>607</v>
      </c>
      <c r="F160" s="32">
        <f t="shared" si="7"/>
        <v>603.5</v>
      </c>
      <c r="G160" s="2">
        <f t="shared" si="8"/>
        <v>316638.81937398255</v>
      </c>
      <c r="H160" s="26"/>
      <c r="I160" s="27">
        <f t="shared" si="9"/>
      </c>
    </row>
    <row r="161" spans="1:9" ht="15">
      <c r="A161" s="28" t="s">
        <v>72</v>
      </c>
      <c r="B161" s="29">
        <v>1</v>
      </c>
      <c r="C161" s="29">
        <v>3</v>
      </c>
      <c r="D161" s="30">
        <v>435</v>
      </c>
      <c r="E161" s="31">
        <v>67</v>
      </c>
      <c r="F161" s="32">
        <f t="shared" si="7"/>
        <v>251</v>
      </c>
      <c r="G161" s="2">
        <f t="shared" si="8"/>
        <v>133212.71233828695</v>
      </c>
      <c r="H161" s="26"/>
      <c r="I161" s="27">
        <f t="shared" si="9"/>
      </c>
    </row>
    <row r="162" spans="1:9" ht="15">
      <c r="A162" s="28" t="s">
        <v>72</v>
      </c>
      <c r="B162" s="29">
        <v>1</v>
      </c>
      <c r="C162" s="29">
        <v>3</v>
      </c>
      <c r="D162" s="30">
        <v>145</v>
      </c>
      <c r="E162" s="31">
        <v>89</v>
      </c>
      <c r="F162" s="32">
        <f t="shared" si="7"/>
        <v>117</v>
      </c>
      <c r="G162" s="2">
        <f t="shared" si="8"/>
        <v>79286.67838129161</v>
      </c>
      <c r="H162" s="26"/>
      <c r="I162" s="27">
        <f t="shared" si="9"/>
      </c>
    </row>
    <row r="163" spans="1:9" ht="15">
      <c r="A163" s="28" t="s">
        <v>72</v>
      </c>
      <c r="B163" s="29">
        <v>1</v>
      </c>
      <c r="C163" s="29">
        <v>3</v>
      </c>
      <c r="D163" s="30">
        <v>120</v>
      </c>
      <c r="E163" s="31">
        <v>60</v>
      </c>
      <c r="F163" s="32">
        <f t="shared" si="7"/>
        <v>90</v>
      </c>
      <c r="G163" s="2">
        <f t="shared" si="8"/>
        <v>66334.81665212763</v>
      </c>
      <c r="H163" s="26"/>
      <c r="I163" s="27">
        <f t="shared" si="9"/>
      </c>
    </row>
    <row r="164" spans="1:9" ht="15">
      <c r="A164" s="28" t="s">
        <v>72</v>
      </c>
      <c r="B164" s="29">
        <v>1</v>
      </c>
      <c r="C164" s="29">
        <v>3</v>
      </c>
      <c r="D164" s="30">
        <v>150</v>
      </c>
      <c r="E164" s="31">
        <v>67</v>
      </c>
      <c r="F164" s="32">
        <f t="shared" si="7"/>
        <v>108.5</v>
      </c>
      <c r="G164" s="2">
        <f t="shared" si="8"/>
        <v>75323.86757860171</v>
      </c>
      <c r="H164" s="26"/>
      <c r="I164" s="27">
        <f t="shared" si="9"/>
      </c>
    </row>
    <row r="165" spans="1:9" ht="15">
      <c r="A165" s="28" t="s">
        <v>72</v>
      </c>
      <c r="B165" s="29">
        <v>1</v>
      </c>
      <c r="C165" s="29">
        <v>3</v>
      </c>
      <c r="D165" s="30">
        <v>40</v>
      </c>
      <c r="E165" s="31">
        <v>23</v>
      </c>
      <c r="F165" s="32">
        <f t="shared" si="7"/>
        <v>31.5</v>
      </c>
      <c r="G165" s="2">
        <f t="shared" si="8"/>
        <v>32493.6867676185</v>
      </c>
      <c r="H165" s="26"/>
      <c r="I165" s="27">
        <f t="shared" si="9"/>
      </c>
    </row>
    <row r="166" spans="1:9" ht="15.75" thickBot="1">
      <c r="A166" s="33" t="s">
        <v>72</v>
      </c>
      <c r="B166" s="34">
        <v>1</v>
      </c>
      <c r="C166" s="34">
        <v>3</v>
      </c>
      <c r="D166" s="35">
        <v>50</v>
      </c>
      <c r="E166" s="36">
        <v>8</v>
      </c>
      <c r="F166" s="37">
        <f t="shared" si="7"/>
        <v>29</v>
      </c>
      <c r="G166" s="38">
        <f t="shared" si="8"/>
        <v>30717.483534531508</v>
      </c>
      <c r="H166" s="39">
        <f>SUM(G158:G166)</f>
        <v>11423766.437735107</v>
      </c>
      <c r="I166" s="27">
        <f t="shared" si="9"/>
        <v>11424140.087735107</v>
      </c>
    </row>
    <row r="167" spans="1:9" ht="15">
      <c r="A167" s="20" t="s">
        <v>73</v>
      </c>
      <c r="B167" s="21"/>
      <c r="C167" s="21">
        <v>4</v>
      </c>
      <c r="D167" s="22">
        <v>1834</v>
      </c>
      <c r="E167" s="23">
        <v>398</v>
      </c>
      <c r="F167" s="24">
        <f t="shared" si="7"/>
        <v>1116</v>
      </c>
      <c r="G167" s="25">
        <f t="shared" si="8"/>
        <v>386873.2487027294</v>
      </c>
      <c r="H167" s="26"/>
      <c r="I167" s="27">
        <f t="shared" si="9"/>
      </c>
    </row>
    <row r="168" spans="1:9" ht="15">
      <c r="A168" s="28" t="s">
        <v>73</v>
      </c>
      <c r="B168" s="29">
        <v>2</v>
      </c>
      <c r="C168" s="29">
        <v>5</v>
      </c>
      <c r="D168" s="30">
        <v>12000</v>
      </c>
      <c r="E168" s="31">
        <v>9098</v>
      </c>
      <c r="F168" s="32">
        <f t="shared" si="7"/>
        <v>10549</v>
      </c>
      <c r="G168" s="2">
        <f t="shared" si="8"/>
        <v>2214311.843421496</v>
      </c>
      <c r="H168" s="26"/>
      <c r="I168" s="27">
        <f t="shared" si="9"/>
      </c>
    </row>
    <row r="169" spans="1:9" ht="15">
      <c r="A169" s="28" t="s">
        <v>73</v>
      </c>
      <c r="B169" s="29"/>
      <c r="C169" s="29">
        <v>3</v>
      </c>
      <c r="D169" s="30">
        <v>700</v>
      </c>
      <c r="E169" s="31">
        <v>105</v>
      </c>
      <c r="F169" s="32">
        <f t="shared" si="7"/>
        <v>402.5</v>
      </c>
      <c r="G169" s="2">
        <f t="shared" si="8"/>
        <v>183640.0167055815</v>
      </c>
      <c r="H169" s="26"/>
      <c r="I169" s="27">
        <f t="shared" si="9"/>
      </c>
    </row>
    <row r="170" spans="1:9" ht="15">
      <c r="A170" s="28" t="s">
        <v>73</v>
      </c>
      <c r="B170" s="29"/>
      <c r="C170" s="29">
        <v>4</v>
      </c>
      <c r="D170" s="30">
        <v>1795</v>
      </c>
      <c r="E170" s="31">
        <v>410</v>
      </c>
      <c r="F170" s="32">
        <f t="shared" si="7"/>
        <v>1102.5</v>
      </c>
      <c r="G170" s="2">
        <f t="shared" si="8"/>
        <v>383685.6457763807</v>
      </c>
      <c r="H170" s="26"/>
      <c r="I170" s="27">
        <f t="shared" si="9"/>
      </c>
    </row>
    <row r="171" spans="1:9" ht="15">
      <c r="A171" s="28" t="s">
        <v>73</v>
      </c>
      <c r="B171" s="29">
        <v>2</v>
      </c>
      <c r="C171" s="29">
        <v>5</v>
      </c>
      <c r="D171" s="30">
        <v>47700</v>
      </c>
      <c r="E171" s="31">
        <v>34006</v>
      </c>
      <c r="F171" s="32">
        <f t="shared" si="7"/>
        <v>40853</v>
      </c>
      <c r="G171" s="2">
        <f t="shared" si="8"/>
        <v>5558655.897349555</v>
      </c>
      <c r="H171" s="26"/>
      <c r="I171" s="27">
        <f t="shared" si="9"/>
      </c>
    </row>
    <row r="172" spans="1:9" ht="15">
      <c r="A172" s="28" t="s">
        <v>73</v>
      </c>
      <c r="B172" s="29">
        <v>2</v>
      </c>
      <c r="C172" s="29">
        <v>5</v>
      </c>
      <c r="D172" s="30">
        <v>17500</v>
      </c>
      <c r="E172" s="31">
        <v>2035</v>
      </c>
      <c r="F172" s="32">
        <f t="shared" si="7"/>
        <v>9767.5</v>
      </c>
      <c r="G172" s="2">
        <f t="shared" si="8"/>
        <v>2101428.002970145</v>
      </c>
      <c r="H172" s="26"/>
      <c r="I172" s="27">
        <f t="shared" si="9"/>
      </c>
    </row>
    <row r="173" spans="1:9" ht="15">
      <c r="A173" s="28" t="s">
        <v>73</v>
      </c>
      <c r="B173" s="29"/>
      <c r="C173" s="29">
        <v>4</v>
      </c>
      <c r="D173" s="30">
        <v>1150</v>
      </c>
      <c r="E173" s="31">
        <v>72</v>
      </c>
      <c r="F173" s="32">
        <f t="shared" si="7"/>
        <v>611</v>
      </c>
      <c r="G173" s="2">
        <f t="shared" si="8"/>
        <v>256872.37173868009</v>
      </c>
      <c r="H173" s="26"/>
      <c r="I173" s="27">
        <f t="shared" si="9"/>
      </c>
    </row>
    <row r="174" spans="1:9" ht="15">
      <c r="A174" s="28" t="s">
        <v>73</v>
      </c>
      <c r="B174" s="29"/>
      <c r="C174" s="29">
        <v>4</v>
      </c>
      <c r="D174" s="30">
        <v>1400</v>
      </c>
      <c r="E174" s="31">
        <v>520</v>
      </c>
      <c r="F174" s="32">
        <f t="shared" si="7"/>
        <v>960</v>
      </c>
      <c r="G174" s="2">
        <f t="shared" si="8"/>
        <v>349232.4294367219</v>
      </c>
      <c r="H174" s="26"/>
      <c r="I174" s="27">
        <f t="shared" si="9"/>
      </c>
    </row>
    <row r="175" spans="1:9" ht="15">
      <c r="A175" s="28" t="s">
        <v>73</v>
      </c>
      <c r="B175" s="29"/>
      <c r="C175" s="29">
        <v>4</v>
      </c>
      <c r="D175" s="30">
        <v>1650</v>
      </c>
      <c r="E175" s="31"/>
      <c r="F175" s="32">
        <f t="shared" si="7"/>
        <v>825</v>
      </c>
      <c r="G175" s="2">
        <f t="shared" si="8"/>
        <v>315044.5529338203</v>
      </c>
      <c r="H175" s="26"/>
      <c r="I175" s="27">
        <f t="shared" si="9"/>
      </c>
    </row>
    <row r="176" spans="1:9" ht="15">
      <c r="A176" s="28" t="s">
        <v>73</v>
      </c>
      <c r="B176" s="29"/>
      <c r="C176" s="29">
        <v>4</v>
      </c>
      <c r="D176" s="30">
        <v>1000</v>
      </c>
      <c r="E176" s="31">
        <v>192</v>
      </c>
      <c r="F176" s="32">
        <f t="shared" si="7"/>
        <v>596</v>
      </c>
      <c r="G176" s="2">
        <f t="shared" si="8"/>
        <v>252568.38561116217</v>
      </c>
      <c r="H176" s="26"/>
      <c r="I176" s="27">
        <f t="shared" si="9"/>
      </c>
    </row>
    <row r="177" spans="1:9" ht="15">
      <c r="A177" s="28" t="s">
        <v>73</v>
      </c>
      <c r="B177" s="29"/>
      <c r="C177" s="29">
        <v>4</v>
      </c>
      <c r="D177" s="30">
        <v>600</v>
      </c>
      <c r="E177" s="31"/>
      <c r="F177" s="32">
        <f t="shared" si="7"/>
        <v>300</v>
      </c>
      <c r="G177" s="2">
        <f t="shared" si="8"/>
        <v>158384.83987660988</v>
      </c>
      <c r="H177" s="26"/>
      <c r="I177" s="27">
        <f t="shared" si="9"/>
      </c>
    </row>
    <row r="178" spans="1:9" ht="15">
      <c r="A178" s="28" t="s">
        <v>73</v>
      </c>
      <c r="B178" s="29"/>
      <c r="C178" s="29">
        <v>3</v>
      </c>
      <c r="D178" s="30">
        <v>1200</v>
      </c>
      <c r="E178" s="31">
        <v>201</v>
      </c>
      <c r="F178" s="32">
        <f t="shared" si="7"/>
        <v>700.5</v>
      </c>
      <c r="G178" s="2">
        <f t="shared" si="8"/>
        <v>267643.0242009059</v>
      </c>
      <c r="H178" s="26"/>
      <c r="I178" s="27">
        <f t="shared" si="9"/>
      </c>
    </row>
    <row r="179" spans="1:9" ht="15">
      <c r="A179" s="28" t="s">
        <v>73</v>
      </c>
      <c r="B179" s="29"/>
      <c r="C179" s="29">
        <v>3</v>
      </c>
      <c r="D179" s="30">
        <v>2300</v>
      </c>
      <c r="E179" s="31">
        <v>859</v>
      </c>
      <c r="F179" s="32">
        <f t="shared" si="7"/>
        <v>1579.5</v>
      </c>
      <c r="G179" s="2">
        <f t="shared" si="8"/>
        <v>465158.66970080987</v>
      </c>
      <c r="H179" s="26"/>
      <c r="I179" s="27">
        <f t="shared" si="9"/>
      </c>
    </row>
    <row r="180" spans="1:9" ht="15.75" thickBot="1">
      <c r="A180" s="33" t="s">
        <v>73</v>
      </c>
      <c r="B180" s="34"/>
      <c r="C180" s="34">
        <v>4</v>
      </c>
      <c r="D180" s="35">
        <v>4500</v>
      </c>
      <c r="E180" s="36">
        <v>2414</v>
      </c>
      <c r="F180" s="37">
        <f t="shared" si="7"/>
        <v>3457</v>
      </c>
      <c r="G180" s="38">
        <f t="shared" si="8"/>
        <v>834400.237679895</v>
      </c>
      <c r="H180" s="39">
        <f>SUM(G167:G180)</f>
        <v>13727899.166104492</v>
      </c>
      <c r="I180" s="27">
        <f t="shared" si="9"/>
        <v>13728272.816104492</v>
      </c>
    </row>
    <row r="181" spans="1:9" ht="15">
      <c r="A181" s="20" t="s">
        <v>75</v>
      </c>
      <c r="B181" s="21">
        <v>1</v>
      </c>
      <c r="C181" s="21">
        <v>5</v>
      </c>
      <c r="D181" s="22">
        <v>15800</v>
      </c>
      <c r="E181" s="23">
        <v>6322</v>
      </c>
      <c r="F181" s="24">
        <f t="shared" si="7"/>
        <v>11061</v>
      </c>
      <c r="G181" s="25">
        <f t="shared" si="8"/>
        <v>2183354.087180997</v>
      </c>
      <c r="H181" s="26"/>
      <c r="I181" s="27">
        <f t="shared" si="9"/>
      </c>
    </row>
    <row r="182" spans="1:9" ht="15">
      <c r="A182" s="28" t="s">
        <v>75</v>
      </c>
      <c r="B182" s="29">
        <v>1</v>
      </c>
      <c r="C182" s="29">
        <v>3</v>
      </c>
      <c r="D182" s="30">
        <v>1000</v>
      </c>
      <c r="E182" s="31">
        <v>560</v>
      </c>
      <c r="F182" s="32">
        <f t="shared" si="7"/>
        <v>780</v>
      </c>
      <c r="G182" s="2">
        <f t="shared" si="8"/>
        <v>287934.28876917256</v>
      </c>
      <c r="H182" s="26"/>
      <c r="I182" s="27">
        <f t="shared" si="9"/>
      </c>
    </row>
    <row r="183" spans="1:9" ht="15">
      <c r="A183" s="28" t="s">
        <v>75</v>
      </c>
      <c r="B183" s="29">
        <v>2</v>
      </c>
      <c r="C183" s="29">
        <v>3</v>
      </c>
      <c r="D183" s="30">
        <v>4000</v>
      </c>
      <c r="E183" s="31">
        <v>3094</v>
      </c>
      <c r="F183" s="32">
        <f t="shared" si="7"/>
        <v>3547</v>
      </c>
      <c r="G183" s="2">
        <f t="shared" si="8"/>
        <v>806200.5889920036</v>
      </c>
      <c r="H183" s="26"/>
      <c r="I183" s="27">
        <f t="shared" si="9"/>
      </c>
    </row>
    <row r="184" spans="1:9" ht="15">
      <c r="A184" s="28" t="s">
        <v>75</v>
      </c>
      <c r="B184" s="29">
        <v>1</v>
      </c>
      <c r="C184" s="29">
        <v>3</v>
      </c>
      <c r="D184" s="30">
        <v>250</v>
      </c>
      <c r="E184" s="31">
        <v>140</v>
      </c>
      <c r="F184" s="32">
        <f t="shared" si="7"/>
        <v>195</v>
      </c>
      <c r="G184" s="2">
        <f t="shared" si="8"/>
        <v>112205.20511561885</v>
      </c>
      <c r="H184" s="26"/>
      <c r="I184" s="27">
        <f t="shared" si="9"/>
      </c>
    </row>
    <row r="185" spans="1:9" ht="15">
      <c r="A185" s="28" t="s">
        <v>75</v>
      </c>
      <c r="B185" s="29">
        <v>1</v>
      </c>
      <c r="C185" s="29">
        <v>1</v>
      </c>
      <c r="D185" s="30">
        <v>400</v>
      </c>
      <c r="E185" s="31">
        <v>536</v>
      </c>
      <c r="F185" s="32">
        <f t="shared" si="7"/>
        <v>468</v>
      </c>
      <c r="G185" s="2">
        <f t="shared" si="8"/>
        <v>103375.50585518563</v>
      </c>
      <c r="H185" s="26"/>
      <c r="I185" s="27">
        <f t="shared" si="9"/>
      </c>
    </row>
    <row r="186" spans="1:9" ht="15">
      <c r="A186" s="28" t="s">
        <v>75</v>
      </c>
      <c r="B186" s="29">
        <v>1</v>
      </c>
      <c r="C186" s="29">
        <v>3</v>
      </c>
      <c r="D186" s="30">
        <v>110</v>
      </c>
      <c r="E186" s="31">
        <v>15</v>
      </c>
      <c r="F186" s="32">
        <f t="shared" si="7"/>
        <v>62.5</v>
      </c>
      <c r="G186" s="2">
        <f t="shared" si="8"/>
        <v>51771.01873311288</v>
      </c>
      <c r="H186" s="26"/>
      <c r="I186" s="27">
        <f t="shared" si="9"/>
      </c>
    </row>
    <row r="187" spans="1:9" ht="15">
      <c r="A187" s="28" t="s">
        <v>75</v>
      </c>
      <c r="B187" s="29">
        <v>1</v>
      </c>
      <c r="C187" s="29">
        <v>3</v>
      </c>
      <c r="D187" s="30">
        <v>225</v>
      </c>
      <c r="E187" s="31">
        <v>28</v>
      </c>
      <c r="F187" s="32">
        <f t="shared" si="7"/>
        <v>126.5</v>
      </c>
      <c r="G187" s="2">
        <f t="shared" si="8"/>
        <v>83608.15010206462</v>
      </c>
      <c r="H187" s="26"/>
      <c r="I187" s="27">
        <f t="shared" si="9"/>
      </c>
    </row>
    <row r="188" spans="1:9" ht="15">
      <c r="A188" s="28" t="s">
        <v>75</v>
      </c>
      <c r="B188" s="29">
        <v>1</v>
      </c>
      <c r="C188" s="29">
        <v>3</v>
      </c>
      <c r="D188" s="30">
        <v>526</v>
      </c>
      <c r="E188" s="31">
        <v>301</v>
      </c>
      <c r="F188" s="32">
        <f t="shared" si="7"/>
        <v>413.5</v>
      </c>
      <c r="G188" s="2">
        <f t="shared" si="8"/>
        <v>187037.00067200803</v>
      </c>
      <c r="H188" s="26"/>
      <c r="I188" s="27">
        <f t="shared" si="9"/>
      </c>
    </row>
    <row r="189" spans="1:9" ht="15">
      <c r="A189" s="28" t="s">
        <v>75</v>
      </c>
      <c r="B189" s="29">
        <v>1</v>
      </c>
      <c r="C189" s="29">
        <v>3</v>
      </c>
      <c r="D189" s="30">
        <v>140</v>
      </c>
      <c r="E189" s="31">
        <v>68</v>
      </c>
      <c r="F189" s="32">
        <f t="shared" si="7"/>
        <v>104</v>
      </c>
      <c r="G189" s="2">
        <f t="shared" si="8"/>
        <v>73185.785631002</v>
      </c>
      <c r="H189" s="26"/>
      <c r="I189" s="27">
        <f t="shared" si="9"/>
      </c>
    </row>
    <row r="190" spans="1:9" ht="15">
      <c r="A190" s="28" t="s">
        <v>75</v>
      </c>
      <c r="B190" s="29">
        <v>1</v>
      </c>
      <c r="C190" s="29">
        <v>1</v>
      </c>
      <c r="D190" s="30">
        <v>225</v>
      </c>
      <c r="E190" s="31">
        <v>8</v>
      </c>
      <c r="F190" s="32">
        <f t="shared" si="7"/>
        <v>116.5</v>
      </c>
      <c r="G190" s="2">
        <f t="shared" si="8"/>
        <v>40167.32228413541</v>
      </c>
      <c r="H190" s="26"/>
      <c r="I190" s="27">
        <f t="shared" si="9"/>
      </c>
    </row>
    <row r="191" spans="1:9" ht="15">
      <c r="A191" s="28" t="s">
        <v>75</v>
      </c>
      <c r="B191" s="29">
        <v>1</v>
      </c>
      <c r="C191" s="29">
        <v>1</v>
      </c>
      <c r="D191" s="30">
        <v>240</v>
      </c>
      <c r="E191" s="31">
        <v>7</v>
      </c>
      <c r="F191" s="32">
        <f t="shared" si="7"/>
        <v>123.5</v>
      </c>
      <c r="G191" s="2">
        <f t="shared" si="8"/>
        <v>41792.6312063841</v>
      </c>
      <c r="H191" s="26"/>
      <c r="I191" s="27">
        <f t="shared" si="9"/>
      </c>
    </row>
    <row r="192" spans="1:9" ht="15">
      <c r="A192" s="28" t="s">
        <v>75</v>
      </c>
      <c r="B192" s="29">
        <v>1</v>
      </c>
      <c r="C192" s="29">
        <v>1</v>
      </c>
      <c r="D192" s="30">
        <v>40</v>
      </c>
      <c r="E192" s="31">
        <v>20</v>
      </c>
      <c r="F192" s="32">
        <f t="shared" si="7"/>
        <v>30</v>
      </c>
      <c r="G192" s="2">
        <f t="shared" si="8"/>
        <v>15970.979262411765</v>
      </c>
      <c r="H192" s="26"/>
      <c r="I192" s="27">
        <f t="shared" si="9"/>
      </c>
    </row>
    <row r="193" spans="1:9" ht="15">
      <c r="A193" s="28" t="s">
        <v>75</v>
      </c>
      <c r="B193" s="29">
        <v>1</v>
      </c>
      <c r="C193" s="29">
        <v>1</v>
      </c>
      <c r="D193" s="30">
        <v>80</v>
      </c>
      <c r="E193" s="31">
        <v>80</v>
      </c>
      <c r="F193" s="32">
        <f t="shared" si="7"/>
        <v>80</v>
      </c>
      <c r="G193" s="2">
        <f t="shared" si="8"/>
        <v>31110.363818285037</v>
      </c>
      <c r="H193" s="26"/>
      <c r="I193" s="27">
        <f t="shared" si="9"/>
      </c>
    </row>
    <row r="194" spans="1:9" ht="15">
      <c r="A194" s="28" t="s">
        <v>75</v>
      </c>
      <c r="B194" s="29">
        <v>1</v>
      </c>
      <c r="C194" s="29">
        <v>3</v>
      </c>
      <c r="D194" s="30">
        <v>600</v>
      </c>
      <c r="E194" s="31">
        <v>110</v>
      </c>
      <c r="F194" s="32">
        <f t="shared" si="7"/>
        <v>355</v>
      </c>
      <c r="G194" s="2">
        <f t="shared" si="8"/>
        <v>168613.642184152</v>
      </c>
      <c r="H194" s="26"/>
      <c r="I194" s="27">
        <f t="shared" si="9"/>
      </c>
    </row>
    <row r="195" spans="1:9" ht="15">
      <c r="A195" s="28" t="s">
        <v>75</v>
      </c>
      <c r="B195" s="29">
        <v>1</v>
      </c>
      <c r="C195" s="29">
        <v>3</v>
      </c>
      <c r="D195" s="30">
        <v>2000</v>
      </c>
      <c r="E195" s="31">
        <v>1232</v>
      </c>
      <c r="F195" s="32">
        <f aca="true" t="shared" si="10" ref="F195:F258">(D195+E195)/2</f>
        <v>1616</v>
      </c>
      <c r="G195" s="2">
        <f aca="true" t="shared" si="11" ref="G195:G258">IF(C195=1,1581.92*(F195^0.6798),IF(C195=2,2991.14*(F195^0.6798),IF(C195=3,3113.49*(F195^0.6798),IF(C195=4,3279.19*(F195^0.6798),IF(C195=5,IF(B195=1,3891.82*(F195^0.6798),IF(B195=2,4076.24*(F195^0.6798),0)),0)))))</f>
        <v>472439.1824382609</v>
      </c>
      <c r="H195" s="26"/>
      <c r="I195" s="27">
        <f t="shared" si="9"/>
      </c>
    </row>
    <row r="196" spans="1:9" ht="15">
      <c r="A196" s="28" t="s">
        <v>75</v>
      </c>
      <c r="B196" s="29">
        <v>1</v>
      </c>
      <c r="C196" s="29">
        <v>3</v>
      </c>
      <c r="D196" s="30">
        <v>1500</v>
      </c>
      <c r="E196" s="31">
        <v>1615</v>
      </c>
      <c r="F196" s="32">
        <f t="shared" si="10"/>
        <v>1557.5</v>
      </c>
      <c r="G196" s="2">
        <f t="shared" si="11"/>
        <v>460744.4019010255</v>
      </c>
      <c r="H196" s="26"/>
      <c r="I196" s="27">
        <f t="shared" si="9"/>
      </c>
    </row>
    <row r="197" spans="1:9" ht="15">
      <c r="A197" s="28" t="s">
        <v>75</v>
      </c>
      <c r="B197" s="29">
        <v>2</v>
      </c>
      <c r="C197" s="29">
        <v>4</v>
      </c>
      <c r="D197" s="30">
        <v>4500</v>
      </c>
      <c r="E197" s="31">
        <v>5267</v>
      </c>
      <c r="F197" s="32">
        <f t="shared" si="10"/>
        <v>4883.5</v>
      </c>
      <c r="G197" s="2">
        <f t="shared" si="11"/>
        <v>1055275.9614205083</v>
      </c>
      <c r="H197" s="26"/>
      <c r="I197" s="27">
        <f t="shared" si="9"/>
      </c>
    </row>
    <row r="198" spans="1:9" ht="15">
      <c r="A198" s="28" t="s">
        <v>75</v>
      </c>
      <c r="B198" s="29">
        <v>1</v>
      </c>
      <c r="C198" s="29">
        <v>1</v>
      </c>
      <c r="D198" s="30">
        <v>50</v>
      </c>
      <c r="E198" s="31">
        <v>42</v>
      </c>
      <c r="F198" s="32">
        <f t="shared" si="10"/>
        <v>46</v>
      </c>
      <c r="G198" s="2">
        <f t="shared" si="11"/>
        <v>21356.362838575846</v>
      </c>
      <c r="H198" s="26"/>
      <c r="I198" s="27">
        <f t="shared" si="9"/>
      </c>
    </row>
    <row r="199" spans="1:9" ht="15">
      <c r="A199" s="28" t="s">
        <v>75</v>
      </c>
      <c r="B199" s="29">
        <v>1</v>
      </c>
      <c r="C199" s="29">
        <v>1</v>
      </c>
      <c r="D199" s="30">
        <v>60</v>
      </c>
      <c r="E199" s="31">
        <v>48</v>
      </c>
      <c r="F199" s="32">
        <f t="shared" si="10"/>
        <v>54</v>
      </c>
      <c r="G199" s="2">
        <f t="shared" si="11"/>
        <v>23815.83401038435</v>
      </c>
      <c r="H199" s="26"/>
      <c r="I199" s="27">
        <f t="shared" si="9"/>
      </c>
    </row>
    <row r="200" spans="1:9" ht="15">
      <c r="A200" s="28" t="s">
        <v>75</v>
      </c>
      <c r="B200" s="29">
        <v>2</v>
      </c>
      <c r="C200" s="29">
        <v>4</v>
      </c>
      <c r="D200" s="30">
        <v>900</v>
      </c>
      <c r="E200" s="31">
        <v>612</v>
      </c>
      <c r="F200" s="32">
        <f t="shared" si="10"/>
        <v>756</v>
      </c>
      <c r="G200" s="2">
        <f t="shared" si="11"/>
        <v>296883.25128533936</v>
      </c>
      <c r="H200" s="26"/>
      <c r="I200" s="27">
        <f t="shared" si="9"/>
      </c>
    </row>
    <row r="201" spans="1:9" ht="15">
      <c r="A201" s="28" t="s">
        <v>75</v>
      </c>
      <c r="B201" s="29">
        <v>1</v>
      </c>
      <c r="C201" s="29">
        <v>1</v>
      </c>
      <c r="D201" s="30">
        <v>70</v>
      </c>
      <c r="E201" s="31">
        <v>30</v>
      </c>
      <c r="F201" s="32">
        <f t="shared" si="10"/>
        <v>50</v>
      </c>
      <c r="G201" s="2">
        <f t="shared" si="11"/>
        <v>22601.867559873106</v>
      </c>
      <c r="H201" s="26"/>
      <c r="I201" s="27">
        <f t="shared" si="9"/>
      </c>
    </row>
    <row r="202" spans="1:9" ht="15">
      <c r="A202" s="28" t="s">
        <v>75</v>
      </c>
      <c r="B202" s="29">
        <v>1</v>
      </c>
      <c r="C202" s="29">
        <v>1</v>
      </c>
      <c r="D202" s="30">
        <v>30</v>
      </c>
      <c r="E202" s="31">
        <v>20</v>
      </c>
      <c r="F202" s="32">
        <f t="shared" si="10"/>
        <v>25</v>
      </c>
      <c r="G202" s="2">
        <f t="shared" si="11"/>
        <v>14109.256691337609</v>
      </c>
      <c r="H202" s="26"/>
      <c r="I202" s="27">
        <f t="shared" si="9"/>
      </c>
    </row>
    <row r="203" spans="1:9" ht="15">
      <c r="A203" s="28" t="s">
        <v>75</v>
      </c>
      <c r="B203" s="29">
        <v>1</v>
      </c>
      <c r="C203" s="29">
        <v>1</v>
      </c>
      <c r="D203" s="30">
        <v>300</v>
      </c>
      <c r="E203" s="31">
        <v>45</v>
      </c>
      <c r="F203" s="32">
        <f t="shared" si="10"/>
        <v>172.5</v>
      </c>
      <c r="G203" s="2">
        <f t="shared" si="11"/>
        <v>52450.99685726554</v>
      </c>
      <c r="H203" s="26"/>
      <c r="I203" s="27">
        <f t="shared" si="9"/>
      </c>
    </row>
    <row r="204" spans="1:9" ht="15">
      <c r="A204" s="28" t="s">
        <v>75</v>
      </c>
      <c r="B204" s="29">
        <v>1</v>
      </c>
      <c r="C204" s="29">
        <v>1</v>
      </c>
      <c r="D204" s="30">
        <v>45</v>
      </c>
      <c r="E204" s="31">
        <v>30</v>
      </c>
      <c r="F204" s="32">
        <f t="shared" si="10"/>
        <v>37.5</v>
      </c>
      <c r="G204" s="2">
        <f t="shared" si="11"/>
        <v>18587.071630306044</v>
      </c>
      <c r="H204" s="26"/>
      <c r="I204" s="27">
        <f t="shared" si="9"/>
      </c>
    </row>
    <row r="205" spans="1:9" ht="15">
      <c r="A205" s="28" t="s">
        <v>75</v>
      </c>
      <c r="B205" s="29">
        <v>1</v>
      </c>
      <c r="C205" s="29">
        <v>1</v>
      </c>
      <c r="D205" s="30">
        <v>80</v>
      </c>
      <c r="E205" s="31">
        <v>50</v>
      </c>
      <c r="F205" s="32">
        <f t="shared" si="10"/>
        <v>65</v>
      </c>
      <c r="G205" s="2">
        <f t="shared" si="11"/>
        <v>27014.878377277142</v>
      </c>
      <c r="H205" s="26"/>
      <c r="I205" s="27">
        <f t="shared" si="9"/>
      </c>
    </row>
    <row r="206" spans="1:9" ht="15">
      <c r="A206" s="28" t="s">
        <v>75</v>
      </c>
      <c r="B206" s="29">
        <v>1</v>
      </c>
      <c r="C206" s="29">
        <v>1</v>
      </c>
      <c r="D206" s="30">
        <v>50</v>
      </c>
      <c r="E206" s="31">
        <v>35</v>
      </c>
      <c r="F206" s="32">
        <f t="shared" si="10"/>
        <v>42.5</v>
      </c>
      <c r="G206" s="2">
        <f t="shared" si="11"/>
        <v>20237.800548947533</v>
      </c>
      <c r="H206" s="26"/>
      <c r="I206" s="27">
        <f t="shared" si="9"/>
      </c>
    </row>
    <row r="207" spans="1:9" ht="15">
      <c r="A207" s="28" t="s">
        <v>75</v>
      </c>
      <c r="B207" s="29">
        <v>1</v>
      </c>
      <c r="C207" s="29">
        <v>3</v>
      </c>
      <c r="D207" s="30">
        <v>132</v>
      </c>
      <c r="E207" s="31">
        <v>122</v>
      </c>
      <c r="F207" s="32">
        <f t="shared" si="10"/>
        <v>127</v>
      </c>
      <c r="G207" s="2">
        <f t="shared" si="11"/>
        <v>83832.65965209296</v>
      </c>
      <c r="H207" s="26"/>
      <c r="I207" s="27">
        <f t="shared" si="9"/>
      </c>
    </row>
    <row r="208" spans="1:9" ht="15">
      <c r="A208" s="28" t="s">
        <v>75</v>
      </c>
      <c r="B208" s="29">
        <v>2</v>
      </c>
      <c r="C208" s="29">
        <v>5</v>
      </c>
      <c r="D208" s="30">
        <v>33000</v>
      </c>
      <c r="E208" s="31">
        <v>12240</v>
      </c>
      <c r="F208" s="32">
        <f t="shared" si="10"/>
        <v>22620</v>
      </c>
      <c r="G208" s="2">
        <f t="shared" si="11"/>
        <v>3719151.042010238</v>
      </c>
      <c r="H208" s="26"/>
      <c r="I208" s="27">
        <f aca="true" t="shared" si="12" ref="I208:I271">IF(H208=0,"",H208+373.65)</f>
      </c>
    </row>
    <row r="209" spans="1:9" ht="15">
      <c r="A209" s="28" t="s">
        <v>75</v>
      </c>
      <c r="B209" s="29">
        <v>2</v>
      </c>
      <c r="C209" s="29">
        <v>3</v>
      </c>
      <c r="D209" s="30">
        <v>4900</v>
      </c>
      <c r="E209" s="31">
        <v>3300</v>
      </c>
      <c r="F209" s="32">
        <f t="shared" si="10"/>
        <v>4100</v>
      </c>
      <c r="G209" s="2">
        <f t="shared" si="11"/>
        <v>889647.4555451773</v>
      </c>
      <c r="H209" s="26"/>
      <c r="I209" s="27">
        <f t="shared" si="12"/>
      </c>
    </row>
    <row r="210" spans="1:9" ht="15">
      <c r="A210" s="28" t="s">
        <v>75</v>
      </c>
      <c r="B210" s="29">
        <v>1</v>
      </c>
      <c r="C210" s="29">
        <v>1</v>
      </c>
      <c r="D210" s="30">
        <v>35</v>
      </c>
      <c r="E210" s="31">
        <v>28</v>
      </c>
      <c r="F210" s="32">
        <f t="shared" si="10"/>
        <v>31.5</v>
      </c>
      <c r="G210" s="2">
        <f t="shared" si="11"/>
        <v>16509.58023678607</v>
      </c>
      <c r="H210" s="26"/>
      <c r="I210" s="27">
        <f t="shared" si="12"/>
      </c>
    </row>
    <row r="211" spans="1:9" ht="15">
      <c r="A211" s="28" t="s">
        <v>75</v>
      </c>
      <c r="B211" s="29">
        <v>2</v>
      </c>
      <c r="C211" s="29">
        <v>3</v>
      </c>
      <c r="D211" s="30">
        <v>1700</v>
      </c>
      <c r="E211" s="31">
        <v>627</v>
      </c>
      <c r="F211" s="32">
        <f t="shared" si="10"/>
        <v>1163.5</v>
      </c>
      <c r="G211" s="2">
        <f t="shared" si="11"/>
        <v>377881.3563169266</v>
      </c>
      <c r="H211" s="26"/>
      <c r="I211" s="27">
        <f t="shared" si="12"/>
      </c>
    </row>
    <row r="212" spans="1:9" ht="15">
      <c r="A212" s="28" t="s">
        <v>75</v>
      </c>
      <c r="B212" s="29">
        <v>1</v>
      </c>
      <c r="C212" s="29">
        <v>1</v>
      </c>
      <c r="D212" s="30">
        <v>120</v>
      </c>
      <c r="E212" s="31">
        <v>10</v>
      </c>
      <c r="F212" s="32">
        <f t="shared" si="10"/>
        <v>65</v>
      </c>
      <c r="G212" s="2">
        <f t="shared" si="11"/>
        <v>27014.878377277142</v>
      </c>
      <c r="H212" s="26"/>
      <c r="I212" s="27">
        <f t="shared" si="12"/>
      </c>
    </row>
    <row r="213" spans="1:9" ht="15">
      <c r="A213" s="28" t="s">
        <v>75</v>
      </c>
      <c r="B213" s="29">
        <v>1</v>
      </c>
      <c r="C213" s="29">
        <v>1</v>
      </c>
      <c r="D213" s="30">
        <v>60</v>
      </c>
      <c r="E213" s="31">
        <v>48</v>
      </c>
      <c r="F213" s="32">
        <f t="shared" si="10"/>
        <v>54</v>
      </c>
      <c r="G213" s="2">
        <f t="shared" si="11"/>
        <v>23815.83401038435</v>
      </c>
      <c r="H213" s="26"/>
      <c r="I213" s="27">
        <f t="shared" si="12"/>
      </c>
    </row>
    <row r="214" spans="1:9" ht="15">
      <c r="A214" s="28" t="s">
        <v>75</v>
      </c>
      <c r="B214" s="29">
        <v>1</v>
      </c>
      <c r="C214" s="29">
        <v>1</v>
      </c>
      <c r="D214" s="30">
        <v>85</v>
      </c>
      <c r="E214" s="31">
        <v>48</v>
      </c>
      <c r="F214" s="32">
        <f t="shared" si="10"/>
        <v>66.5</v>
      </c>
      <c r="G214" s="2">
        <f t="shared" si="11"/>
        <v>27437.129386405377</v>
      </c>
      <c r="H214" s="26"/>
      <c r="I214" s="27">
        <f t="shared" si="12"/>
      </c>
    </row>
    <row r="215" spans="1:9" ht="15">
      <c r="A215" s="28" t="s">
        <v>75</v>
      </c>
      <c r="B215" s="29">
        <v>1</v>
      </c>
      <c r="C215" s="29">
        <v>3</v>
      </c>
      <c r="D215" s="30">
        <v>165</v>
      </c>
      <c r="E215" s="31">
        <v>156</v>
      </c>
      <c r="F215" s="32">
        <f t="shared" si="10"/>
        <v>160.5</v>
      </c>
      <c r="G215" s="2">
        <f t="shared" si="11"/>
        <v>98294.54238921165</v>
      </c>
      <c r="H215" s="26"/>
      <c r="I215" s="27">
        <f t="shared" si="12"/>
      </c>
    </row>
    <row r="216" spans="1:9" ht="15">
      <c r="A216" s="28" t="s">
        <v>75</v>
      </c>
      <c r="B216" s="29">
        <v>1</v>
      </c>
      <c r="C216" s="29">
        <v>1</v>
      </c>
      <c r="D216" s="30">
        <v>65</v>
      </c>
      <c r="E216" s="31">
        <v>65</v>
      </c>
      <c r="F216" s="32">
        <f t="shared" si="10"/>
        <v>65</v>
      </c>
      <c r="G216" s="2">
        <f t="shared" si="11"/>
        <v>27014.878377277142</v>
      </c>
      <c r="H216" s="26"/>
      <c r="I216" s="27">
        <f t="shared" si="12"/>
      </c>
    </row>
    <row r="217" spans="1:9" ht="15">
      <c r="A217" s="28" t="s">
        <v>75</v>
      </c>
      <c r="B217" s="29">
        <v>1</v>
      </c>
      <c r="C217" s="29">
        <v>1</v>
      </c>
      <c r="D217" s="30">
        <v>65</v>
      </c>
      <c r="E217" s="31">
        <v>65</v>
      </c>
      <c r="F217" s="32">
        <f t="shared" si="10"/>
        <v>65</v>
      </c>
      <c r="G217" s="2">
        <f t="shared" si="11"/>
        <v>27014.878377277142</v>
      </c>
      <c r="H217" s="26"/>
      <c r="I217" s="27">
        <f t="shared" si="12"/>
      </c>
    </row>
    <row r="218" spans="1:9" ht="15">
      <c r="A218" s="28" t="s">
        <v>75</v>
      </c>
      <c r="B218" s="29">
        <v>1</v>
      </c>
      <c r="C218" s="29">
        <v>1</v>
      </c>
      <c r="D218" s="30">
        <v>85</v>
      </c>
      <c r="E218" s="31">
        <v>30</v>
      </c>
      <c r="F218" s="32">
        <f t="shared" si="10"/>
        <v>57.5</v>
      </c>
      <c r="G218" s="2">
        <f t="shared" si="11"/>
        <v>24854.596535458284</v>
      </c>
      <c r="H218" s="26"/>
      <c r="I218" s="27">
        <f t="shared" si="12"/>
      </c>
    </row>
    <row r="219" spans="1:9" ht="15">
      <c r="A219" s="28" t="s">
        <v>75</v>
      </c>
      <c r="B219" s="29">
        <v>1</v>
      </c>
      <c r="C219" s="29">
        <v>1</v>
      </c>
      <c r="D219" s="30">
        <v>200</v>
      </c>
      <c r="E219" s="31">
        <v>130</v>
      </c>
      <c r="F219" s="32">
        <f t="shared" si="10"/>
        <v>165</v>
      </c>
      <c r="G219" s="2">
        <f t="shared" si="11"/>
        <v>50889.72477355615</v>
      </c>
      <c r="H219" s="26"/>
      <c r="I219" s="27">
        <f t="shared" si="12"/>
      </c>
    </row>
    <row r="220" spans="1:9" ht="15">
      <c r="A220" s="28" t="s">
        <v>75</v>
      </c>
      <c r="B220" s="29">
        <v>1</v>
      </c>
      <c r="C220" s="29">
        <v>1</v>
      </c>
      <c r="D220" s="30">
        <v>200</v>
      </c>
      <c r="E220" s="31">
        <v>125</v>
      </c>
      <c r="F220" s="32">
        <f t="shared" si="10"/>
        <v>162.5</v>
      </c>
      <c r="G220" s="2">
        <f t="shared" si="11"/>
        <v>50364.2805600077</v>
      </c>
      <c r="H220" s="26"/>
      <c r="I220" s="27">
        <f t="shared" si="12"/>
      </c>
    </row>
    <row r="221" spans="1:9" ht="15">
      <c r="A221" s="28" t="s">
        <v>75</v>
      </c>
      <c r="B221" s="29">
        <v>2</v>
      </c>
      <c r="C221" s="29">
        <v>5</v>
      </c>
      <c r="D221" s="30">
        <v>750</v>
      </c>
      <c r="E221" s="31">
        <v>610</v>
      </c>
      <c r="F221" s="32">
        <f t="shared" si="10"/>
        <v>680</v>
      </c>
      <c r="G221" s="2">
        <f t="shared" si="11"/>
        <v>343399.22069437505</v>
      </c>
      <c r="H221" s="26"/>
      <c r="I221" s="27">
        <f t="shared" si="12"/>
      </c>
    </row>
    <row r="222" spans="1:9" ht="15">
      <c r="A222" s="28" t="s">
        <v>75</v>
      </c>
      <c r="B222" s="29">
        <v>1</v>
      </c>
      <c r="C222" s="29">
        <v>2</v>
      </c>
      <c r="D222" s="30">
        <v>200</v>
      </c>
      <c r="E222" s="31">
        <v>120</v>
      </c>
      <c r="F222" s="32">
        <f t="shared" si="10"/>
        <v>160</v>
      </c>
      <c r="G222" s="2">
        <f t="shared" si="11"/>
        <v>94231.80386381541</v>
      </c>
      <c r="H222" s="26"/>
      <c r="I222" s="27">
        <f t="shared" si="12"/>
      </c>
    </row>
    <row r="223" spans="1:9" ht="15">
      <c r="A223" s="28" t="s">
        <v>75</v>
      </c>
      <c r="B223" s="29">
        <v>1</v>
      </c>
      <c r="C223" s="29">
        <v>2</v>
      </c>
      <c r="D223" s="30">
        <v>560</v>
      </c>
      <c r="E223" s="31">
        <v>136</v>
      </c>
      <c r="F223" s="32">
        <f t="shared" si="10"/>
        <v>348</v>
      </c>
      <c r="G223" s="2">
        <f t="shared" si="11"/>
        <v>159809.3962060388</v>
      </c>
      <c r="H223" s="26"/>
      <c r="I223" s="27">
        <f t="shared" si="12"/>
      </c>
    </row>
    <row r="224" spans="1:9" ht="15">
      <c r="A224" s="28" t="s">
        <v>75</v>
      </c>
      <c r="B224" s="29">
        <v>1</v>
      </c>
      <c r="C224" s="29">
        <v>1</v>
      </c>
      <c r="D224" s="30">
        <v>450</v>
      </c>
      <c r="E224" s="31">
        <v>382</v>
      </c>
      <c r="F224" s="32">
        <f t="shared" si="10"/>
        <v>416</v>
      </c>
      <c r="G224" s="2">
        <f t="shared" si="11"/>
        <v>95421.04380550237</v>
      </c>
      <c r="H224" s="26"/>
      <c r="I224" s="27">
        <f t="shared" si="12"/>
      </c>
    </row>
    <row r="225" spans="1:9" ht="15">
      <c r="A225" s="28" t="s">
        <v>75</v>
      </c>
      <c r="B225" s="29">
        <v>1</v>
      </c>
      <c r="C225" s="29">
        <v>3</v>
      </c>
      <c r="D225" s="30">
        <v>200</v>
      </c>
      <c r="E225" s="31">
        <v>190</v>
      </c>
      <c r="F225" s="32">
        <f t="shared" si="10"/>
        <v>195</v>
      </c>
      <c r="G225" s="2">
        <f t="shared" si="11"/>
        <v>112205.20511561885</v>
      </c>
      <c r="H225" s="26"/>
      <c r="I225" s="27">
        <f t="shared" si="12"/>
      </c>
    </row>
    <row r="226" spans="1:9" ht="15">
      <c r="A226" s="28" t="s">
        <v>75</v>
      </c>
      <c r="B226" s="29">
        <v>1</v>
      </c>
      <c r="C226" s="29">
        <v>1</v>
      </c>
      <c r="D226" s="30">
        <v>319</v>
      </c>
      <c r="E226" s="31">
        <v>319</v>
      </c>
      <c r="F226" s="32">
        <f t="shared" si="10"/>
        <v>319</v>
      </c>
      <c r="G226" s="2">
        <f t="shared" si="11"/>
        <v>79663.87420586313</v>
      </c>
      <c r="H226" s="26"/>
      <c r="I226" s="27">
        <f t="shared" si="12"/>
      </c>
    </row>
    <row r="227" spans="1:9" ht="15">
      <c r="A227" s="28" t="s">
        <v>75</v>
      </c>
      <c r="B227" s="29">
        <v>2</v>
      </c>
      <c r="C227" s="29">
        <v>1</v>
      </c>
      <c r="D227" s="30">
        <v>120</v>
      </c>
      <c r="E227" s="31">
        <v>10</v>
      </c>
      <c r="F227" s="32">
        <f t="shared" si="10"/>
        <v>65</v>
      </c>
      <c r="G227" s="2">
        <f t="shared" si="11"/>
        <v>27014.878377277142</v>
      </c>
      <c r="H227" s="26"/>
      <c r="I227" s="27">
        <f t="shared" si="12"/>
      </c>
    </row>
    <row r="228" spans="1:9" ht="15">
      <c r="A228" s="28" t="s">
        <v>75</v>
      </c>
      <c r="B228" s="29">
        <v>2</v>
      </c>
      <c r="C228" s="29">
        <v>1</v>
      </c>
      <c r="D228" s="30">
        <v>1100</v>
      </c>
      <c r="E228" s="31">
        <v>705</v>
      </c>
      <c r="F228" s="32">
        <f t="shared" si="10"/>
        <v>902.5</v>
      </c>
      <c r="G228" s="2">
        <f t="shared" si="11"/>
        <v>161546.49157579787</v>
      </c>
      <c r="H228" s="26"/>
      <c r="I228" s="27">
        <f t="shared" si="12"/>
      </c>
    </row>
    <row r="229" spans="1:9" ht="15">
      <c r="A229" s="28" t="s">
        <v>75</v>
      </c>
      <c r="B229" s="29">
        <v>2</v>
      </c>
      <c r="C229" s="29">
        <v>1</v>
      </c>
      <c r="D229" s="30">
        <v>60</v>
      </c>
      <c r="E229" s="31">
        <v>65</v>
      </c>
      <c r="F229" s="32">
        <f t="shared" si="10"/>
        <v>62.5</v>
      </c>
      <c r="G229" s="2">
        <f t="shared" si="11"/>
        <v>26304.11851468479</v>
      </c>
      <c r="H229" s="26"/>
      <c r="I229" s="27">
        <f t="shared" si="12"/>
      </c>
    </row>
    <row r="230" spans="1:9" ht="15">
      <c r="A230" s="28" t="s">
        <v>75</v>
      </c>
      <c r="B230" s="29">
        <v>2</v>
      </c>
      <c r="C230" s="29">
        <v>3</v>
      </c>
      <c r="D230" s="30">
        <v>1660</v>
      </c>
      <c r="E230" s="31">
        <v>705</v>
      </c>
      <c r="F230" s="32">
        <f t="shared" si="10"/>
        <v>1182.5</v>
      </c>
      <c r="G230" s="2">
        <f t="shared" si="11"/>
        <v>382065.3885339461</v>
      </c>
      <c r="H230" s="26"/>
      <c r="I230" s="27">
        <f t="shared" si="12"/>
      </c>
    </row>
    <row r="231" spans="1:9" ht="15">
      <c r="A231" s="28" t="s">
        <v>75</v>
      </c>
      <c r="B231" s="29">
        <v>1</v>
      </c>
      <c r="C231" s="29">
        <v>3</v>
      </c>
      <c r="D231" s="30">
        <v>1850</v>
      </c>
      <c r="E231" s="31">
        <v>1100</v>
      </c>
      <c r="F231" s="32">
        <f t="shared" si="10"/>
        <v>1475</v>
      </c>
      <c r="G231" s="2">
        <f t="shared" si="11"/>
        <v>444009.5288688349</v>
      </c>
      <c r="H231" s="26"/>
      <c r="I231" s="27">
        <f t="shared" si="12"/>
      </c>
    </row>
    <row r="232" spans="1:9" ht="15">
      <c r="A232" s="28" t="s">
        <v>75</v>
      </c>
      <c r="B232" s="29">
        <v>1</v>
      </c>
      <c r="C232" s="29">
        <v>1</v>
      </c>
      <c r="D232" s="30">
        <v>300</v>
      </c>
      <c r="E232" s="31">
        <v>300</v>
      </c>
      <c r="F232" s="32">
        <f t="shared" si="10"/>
        <v>300</v>
      </c>
      <c r="G232" s="2">
        <f t="shared" si="11"/>
        <v>76406.718091238</v>
      </c>
      <c r="H232" s="26"/>
      <c r="I232" s="27">
        <f t="shared" si="12"/>
      </c>
    </row>
    <row r="233" spans="1:9" ht="15">
      <c r="A233" s="28" t="s">
        <v>75</v>
      </c>
      <c r="B233" s="29">
        <v>1</v>
      </c>
      <c r="C233" s="29">
        <v>1</v>
      </c>
      <c r="D233" s="30">
        <v>65</v>
      </c>
      <c r="E233" s="31">
        <v>40</v>
      </c>
      <c r="F233" s="32">
        <f t="shared" si="10"/>
        <v>52.5</v>
      </c>
      <c r="G233" s="2">
        <f t="shared" si="11"/>
        <v>23364.08681333348</v>
      </c>
      <c r="H233" s="26"/>
      <c r="I233" s="27">
        <f t="shared" si="12"/>
      </c>
    </row>
    <row r="234" spans="1:9" ht="15">
      <c r="A234" s="28" t="s">
        <v>75</v>
      </c>
      <c r="B234" s="29">
        <v>1</v>
      </c>
      <c r="C234" s="29">
        <v>1</v>
      </c>
      <c r="D234" s="30">
        <v>35</v>
      </c>
      <c r="E234" s="31">
        <v>25</v>
      </c>
      <c r="F234" s="32">
        <f t="shared" si="10"/>
        <v>30</v>
      </c>
      <c r="G234" s="2">
        <f t="shared" si="11"/>
        <v>15970.979262411765</v>
      </c>
      <c r="H234" s="26"/>
      <c r="I234" s="27">
        <f t="shared" si="12"/>
      </c>
    </row>
    <row r="235" spans="1:9" ht="15">
      <c r="A235" s="28" t="s">
        <v>75</v>
      </c>
      <c r="B235" s="29">
        <v>1</v>
      </c>
      <c r="C235" s="29">
        <v>3</v>
      </c>
      <c r="D235" s="30">
        <v>200</v>
      </c>
      <c r="E235" s="31">
        <v>100</v>
      </c>
      <c r="F235" s="32">
        <f t="shared" si="10"/>
        <v>150</v>
      </c>
      <c r="G235" s="2">
        <f t="shared" si="11"/>
        <v>93875.9431056607</v>
      </c>
      <c r="H235" s="26"/>
      <c r="I235" s="27">
        <f t="shared" si="12"/>
      </c>
    </row>
    <row r="236" spans="1:9" ht="15.75" thickBot="1">
      <c r="A236" s="33" t="s">
        <v>75</v>
      </c>
      <c r="B236" s="34">
        <v>1</v>
      </c>
      <c r="C236" s="34">
        <v>2</v>
      </c>
      <c r="D236" s="35">
        <v>300</v>
      </c>
      <c r="E236" s="36">
        <v>120</v>
      </c>
      <c r="F236" s="37">
        <f t="shared" si="10"/>
        <v>210</v>
      </c>
      <c r="G236" s="38">
        <f t="shared" si="11"/>
        <v>113365.63295749751</v>
      </c>
      <c r="H236" s="39">
        <f>SUM(G181:G236)</f>
        <v>14364220.581905607</v>
      </c>
      <c r="I236" s="27">
        <f t="shared" si="12"/>
        <v>14364594.231905608</v>
      </c>
    </row>
    <row r="237" spans="1:9" ht="15">
      <c r="A237" s="20" t="s">
        <v>76</v>
      </c>
      <c r="B237" s="21">
        <v>1</v>
      </c>
      <c r="C237" s="21">
        <v>4</v>
      </c>
      <c r="D237" s="22">
        <v>2200</v>
      </c>
      <c r="E237" s="23">
        <v>1690</v>
      </c>
      <c r="F237" s="24">
        <f t="shared" si="10"/>
        <v>1945</v>
      </c>
      <c r="G237" s="25">
        <f t="shared" si="11"/>
        <v>564383.266558429</v>
      </c>
      <c r="H237" s="26"/>
      <c r="I237" s="27">
        <f t="shared" si="12"/>
      </c>
    </row>
    <row r="238" spans="1:9" ht="15.75" thickBot="1">
      <c r="A238" s="33" t="s">
        <v>76</v>
      </c>
      <c r="B238" s="34">
        <v>1</v>
      </c>
      <c r="C238" s="34">
        <v>4</v>
      </c>
      <c r="D238" s="35">
        <v>1250</v>
      </c>
      <c r="E238" s="36">
        <v>799</v>
      </c>
      <c r="F238" s="37">
        <f t="shared" si="10"/>
        <v>1024.5</v>
      </c>
      <c r="G238" s="38">
        <f t="shared" si="11"/>
        <v>365016.5980679062</v>
      </c>
      <c r="H238" s="39">
        <f>SUM(G237:G238)</f>
        <v>929399.8646263352</v>
      </c>
      <c r="I238" s="27">
        <f t="shared" si="12"/>
        <v>929773.5146263352</v>
      </c>
    </row>
    <row r="239" spans="1:9" ht="15">
      <c r="A239" s="20" t="s">
        <v>77</v>
      </c>
      <c r="B239" s="21">
        <v>1</v>
      </c>
      <c r="C239" s="21">
        <v>5</v>
      </c>
      <c r="D239" s="22">
        <v>36125</v>
      </c>
      <c r="E239" s="23">
        <v>21576</v>
      </c>
      <c r="F239" s="24">
        <f t="shared" si="10"/>
        <v>28850.5</v>
      </c>
      <c r="G239" s="25">
        <f t="shared" si="11"/>
        <v>4189526.9548055297</v>
      </c>
      <c r="H239" s="26"/>
      <c r="I239" s="27">
        <f t="shared" si="12"/>
      </c>
    </row>
    <row r="240" spans="1:9" ht="15">
      <c r="A240" s="28" t="s">
        <v>77</v>
      </c>
      <c r="B240" s="29">
        <v>1</v>
      </c>
      <c r="C240" s="29">
        <v>5</v>
      </c>
      <c r="D240" s="30">
        <v>6800</v>
      </c>
      <c r="E240" s="31">
        <v>4376</v>
      </c>
      <c r="F240" s="32">
        <f t="shared" si="10"/>
        <v>5588</v>
      </c>
      <c r="G240" s="2">
        <f t="shared" si="11"/>
        <v>1372579.9307809481</v>
      </c>
      <c r="H240" s="26"/>
      <c r="I240" s="27">
        <f t="shared" si="12"/>
      </c>
    </row>
    <row r="241" spans="1:9" ht="15">
      <c r="A241" s="28" t="s">
        <v>77</v>
      </c>
      <c r="B241" s="29">
        <v>1</v>
      </c>
      <c r="C241" s="29">
        <v>5</v>
      </c>
      <c r="D241" s="30">
        <v>10000</v>
      </c>
      <c r="E241" s="31">
        <v>7249</v>
      </c>
      <c r="F241" s="32">
        <f t="shared" si="10"/>
        <v>8624.5</v>
      </c>
      <c r="G241" s="2">
        <f t="shared" si="11"/>
        <v>1843591.379895818</v>
      </c>
      <c r="H241" s="26"/>
      <c r="I241" s="27">
        <f t="shared" si="12"/>
      </c>
    </row>
    <row r="242" spans="1:9" ht="15.75" thickBot="1">
      <c r="A242" s="28" t="s">
        <v>77</v>
      </c>
      <c r="B242" s="29">
        <v>1</v>
      </c>
      <c r="C242" s="29">
        <v>5</v>
      </c>
      <c r="D242" s="30">
        <v>131</v>
      </c>
      <c r="E242" s="31">
        <v>38</v>
      </c>
      <c r="F242" s="32">
        <f t="shared" si="10"/>
        <v>84.5</v>
      </c>
      <c r="G242" s="2">
        <f t="shared" si="11"/>
        <v>79438.29903797414</v>
      </c>
      <c r="H242" s="39">
        <f>SUM(G239:G242)</f>
        <v>7485136.56452027</v>
      </c>
      <c r="I242" s="27">
        <f t="shared" si="12"/>
        <v>7485510.21452027</v>
      </c>
    </row>
    <row r="243" spans="1:9" ht="15">
      <c r="A243" s="20" t="s">
        <v>9</v>
      </c>
      <c r="B243" s="21">
        <v>2</v>
      </c>
      <c r="C243" s="21">
        <v>5</v>
      </c>
      <c r="D243" s="22">
        <v>5092</v>
      </c>
      <c r="E243" s="23">
        <v>4944</v>
      </c>
      <c r="F243" s="24">
        <f t="shared" si="10"/>
        <v>5018</v>
      </c>
      <c r="G243" s="25">
        <f t="shared" si="11"/>
        <v>1336227.7509659198</v>
      </c>
      <c r="H243" s="26"/>
      <c r="I243" s="27">
        <f t="shared" si="12"/>
      </c>
    </row>
    <row r="244" spans="1:9" ht="15">
      <c r="A244" s="28" t="s">
        <v>9</v>
      </c>
      <c r="B244" s="29">
        <v>1</v>
      </c>
      <c r="C244" s="29">
        <v>4</v>
      </c>
      <c r="D244" s="30">
        <v>4639</v>
      </c>
      <c r="E244" s="31">
        <v>934</v>
      </c>
      <c r="F244" s="32">
        <f t="shared" si="10"/>
        <v>2786.5</v>
      </c>
      <c r="G244" s="2">
        <f t="shared" si="11"/>
        <v>720638.9327711223</v>
      </c>
      <c r="H244" s="26"/>
      <c r="I244" s="27">
        <f t="shared" si="12"/>
      </c>
    </row>
    <row r="245" spans="1:9" ht="15">
      <c r="A245" s="28" t="s">
        <v>9</v>
      </c>
      <c r="B245" s="29">
        <v>1</v>
      </c>
      <c r="C245" s="29">
        <v>3</v>
      </c>
      <c r="D245" s="30">
        <v>490</v>
      </c>
      <c r="E245" s="31">
        <v>292</v>
      </c>
      <c r="F245" s="32">
        <f t="shared" si="10"/>
        <v>391</v>
      </c>
      <c r="G245" s="2">
        <f t="shared" si="11"/>
        <v>180056.6786624975</v>
      </c>
      <c r="H245" s="26"/>
      <c r="I245" s="27">
        <f t="shared" si="12"/>
      </c>
    </row>
    <row r="246" spans="1:9" ht="15">
      <c r="A246" s="28" t="s">
        <v>9</v>
      </c>
      <c r="B246" s="29">
        <v>2</v>
      </c>
      <c r="C246" s="29">
        <v>4</v>
      </c>
      <c r="D246" s="30">
        <v>675</v>
      </c>
      <c r="E246" s="31">
        <v>329</v>
      </c>
      <c r="F246" s="32">
        <f t="shared" si="10"/>
        <v>502</v>
      </c>
      <c r="G246" s="2">
        <f t="shared" si="11"/>
        <v>224752.7259404568</v>
      </c>
      <c r="H246" s="26"/>
      <c r="I246" s="27">
        <f t="shared" si="12"/>
      </c>
    </row>
    <row r="247" spans="1:9" ht="15">
      <c r="A247" s="28" t="s">
        <v>9</v>
      </c>
      <c r="B247" s="29">
        <v>1</v>
      </c>
      <c r="C247" s="29">
        <v>5</v>
      </c>
      <c r="D247" s="30">
        <v>7372</v>
      </c>
      <c r="E247" s="31">
        <v>3904</v>
      </c>
      <c r="F247" s="32">
        <f t="shared" si="10"/>
        <v>5638</v>
      </c>
      <c r="G247" s="2">
        <f t="shared" si="11"/>
        <v>1380916.9780650279</v>
      </c>
      <c r="H247" s="26"/>
      <c r="I247" s="27">
        <f t="shared" si="12"/>
      </c>
    </row>
    <row r="248" spans="1:9" ht="15">
      <c r="A248" s="28" t="s">
        <v>9</v>
      </c>
      <c r="B248" s="29">
        <v>1</v>
      </c>
      <c r="C248" s="29">
        <v>2</v>
      </c>
      <c r="D248" s="30">
        <v>150</v>
      </c>
      <c r="E248" s="31">
        <v>33</v>
      </c>
      <c r="F248" s="32">
        <f t="shared" si="10"/>
        <v>91.5</v>
      </c>
      <c r="G248" s="2">
        <f t="shared" si="11"/>
        <v>64448.20120060091</v>
      </c>
      <c r="H248" s="26"/>
      <c r="I248" s="27">
        <f t="shared" si="12"/>
      </c>
    </row>
    <row r="249" spans="1:9" ht="15">
      <c r="A249" s="28" t="s">
        <v>9</v>
      </c>
      <c r="B249" s="29">
        <v>1</v>
      </c>
      <c r="C249" s="29">
        <v>1</v>
      </c>
      <c r="D249" s="30">
        <v>80</v>
      </c>
      <c r="E249" s="31">
        <v>60</v>
      </c>
      <c r="F249" s="32">
        <f t="shared" si="10"/>
        <v>70</v>
      </c>
      <c r="G249" s="2">
        <f t="shared" si="11"/>
        <v>28410.71505590611</v>
      </c>
      <c r="H249" s="26"/>
      <c r="I249" s="27">
        <f t="shared" si="12"/>
      </c>
    </row>
    <row r="250" spans="1:9" ht="15">
      <c r="A250" s="28" t="s">
        <v>9</v>
      </c>
      <c r="B250" s="29">
        <v>2</v>
      </c>
      <c r="C250" s="29">
        <v>5</v>
      </c>
      <c r="D250" s="30">
        <v>21216</v>
      </c>
      <c r="E250" s="31">
        <v>14891</v>
      </c>
      <c r="F250" s="32">
        <f t="shared" si="10"/>
        <v>18053.5</v>
      </c>
      <c r="G250" s="2">
        <f t="shared" si="11"/>
        <v>3190584.0744059565</v>
      </c>
      <c r="H250" s="26"/>
      <c r="I250" s="27">
        <f t="shared" si="12"/>
      </c>
    </row>
    <row r="251" spans="1:9" ht="15">
      <c r="A251" s="28" t="s">
        <v>9</v>
      </c>
      <c r="B251" s="29">
        <v>1</v>
      </c>
      <c r="C251" s="29">
        <v>2</v>
      </c>
      <c r="D251" s="30">
        <v>4445</v>
      </c>
      <c r="E251" s="31">
        <v>1383</v>
      </c>
      <c r="F251" s="32">
        <f t="shared" si="10"/>
        <v>2914</v>
      </c>
      <c r="G251" s="2">
        <f t="shared" si="11"/>
        <v>677636.4131008667</v>
      </c>
      <c r="H251" s="26"/>
      <c r="I251" s="27">
        <f t="shared" si="12"/>
      </c>
    </row>
    <row r="252" spans="1:9" ht="15.75" thickBot="1">
      <c r="A252" s="33" t="s">
        <v>9</v>
      </c>
      <c r="B252" s="34">
        <v>2</v>
      </c>
      <c r="C252" s="34">
        <v>5</v>
      </c>
      <c r="D252" s="35">
        <v>45000</v>
      </c>
      <c r="E252" s="36">
        <v>37693</v>
      </c>
      <c r="F252" s="37">
        <f t="shared" si="10"/>
        <v>41346.5</v>
      </c>
      <c r="G252" s="38">
        <f t="shared" si="11"/>
        <v>5604215.283197367</v>
      </c>
      <c r="H252" s="39">
        <f>SUM(G243:G252)</f>
        <v>13407887.753365722</v>
      </c>
      <c r="I252" s="27">
        <f t="shared" si="12"/>
        <v>13408261.403365722</v>
      </c>
    </row>
    <row r="253" spans="1:9" ht="15">
      <c r="A253" s="20" t="s">
        <v>78</v>
      </c>
      <c r="B253" s="21">
        <v>2</v>
      </c>
      <c r="C253" s="21">
        <v>5</v>
      </c>
      <c r="D253" s="22">
        <v>110000</v>
      </c>
      <c r="E253" s="23">
        <v>138779</v>
      </c>
      <c r="F253" s="24">
        <f t="shared" si="10"/>
        <v>124389.5</v>
      </c>
      <c r="G253" s="25">
        <f t="shared" si="11"/>
        <v>11849327.983092114</v>
      </c>
      <c r="H253" s="26"/>
      <c r="I253" s="27">
        <f t="shared" si="12"/>
      </c>
    </row>
    <row r="254" spans="1:9" ht="15">
      <c r="A254" s="28" t="s">
        <v>78</v>
      </c>
      <c r="B254" s="29">
        <v>2</v>
      </c>
      <c r="C254" s="29">
        <v>5</v>
      </c>
      <c r="D254" s="30">
        <v>6300</v>
      </c>
      <c r="E254" s="31">
        <v>5563</v>
      </c>
      <c r="F254" s="32">
        <f t="shared" si="10"/>
        <v>5931.5</v>
      </c>
      <c r="G254" s="2">
        <f t="shared" si="11"/>
        <v>1497121.3270809064</v>
      </c>
      <c r="H254" s="26"/>
      <c r="I254" s="27">
        <f t="shared" si="12"/>
      </c>
    </row>
    <row r="255" spans="1:9" ht="15">
      <c r="A255" s="28" t="s">
        <v>78</v>
      </c>
      <c r="B255" s="29">
        <v>2</v>
      </c>
      <c r="C255" s="29">
        <v>5</v>
      </c>
      <c r="D255" s="30">
        <v>2610</v>
      </c>
      <c r="E255" s="31">
        <v>3735</v>
      </c>
      <c r="F255" s="32">
        <f t="shared" si="10"/>
        <v>3172.5</v>
      </c>
      <c r="G255" s="2">
        <f t="shared" si="11"/>
        <v>978391.2836596181</v>
      </c>
      <c r="H255" s="26"/>
      <c r="I255" s="27">
        <f t="shared" si="12"/>
      </c>
    </row>
    <row r="256" spans="1:9" ht="15">
      <c r="A256" s="28" t="s">
        <v>78</v>
      </c>
      <c r="B256" s="29">
        <v>1</v>
      </c>
      <c r="C256" s="29">
        <v>3</v>
      </c>
      <c r="D256" s="30">
        <v>750</v>
      </c>
      <c r="E256" s="31">
        <v>1153</v>
      </c>
      <c r="F256" s="32">
        <f t="shared" si="10"/>
        <v>951.5</v>
      </c>
      <c r="G256" s="2">
        <f t="shared" si="11"/>
        <v>329586.7716091715</v>
      </c>
      <c r="H256" s="26"/>
      <c r="I256" s="27">
        <f t="shared" si="12"/>
      </c>
    </row>
    <row r="257" spans="1:9" ht="15">
      <c r="A257" s="28" t="s">
        <v>78</v>
      </c>
      <c r="B257" s="29">
        <v>1</v>
      </c>
      <c r="C257" s="29">
        <v>5</v>
      </c>
      <c r="D257" s="30">
        <v>7700</v>
      </c>
      <c r="E257" s="31">
        <v>3235</v>
      </c>
      <c r="F257" s="32">
        <f t="shared" si="10"/>
        <v>5467.5</v>
      </c>
      <c r="G257" s="2">
        <f t="shared" si="11"/>
        <v>1352388.802295163</v>
      </c>
      <c r="H257" s="26"/>
      <c r="I257" s="27">
        <f t="shared" si="12"/>
      </c>
    </row>
    <row r="258" spans="1:9" ht="15">
      <c r="A258" s="28" t="s">
        <v>78</v>
      </c>
      <c r="B258" s="29">
        <v>2</v>
      </c>
      <c r="C258" s="29">
        <v>5</v>
      </c>
      <c r="D258" s="30">
        <v>7735</v>
      </c>
      <c r="E258" s="31">
        <v>1794</v>
      </c>
      <c r="F258" s="32">
        <f t="shared" si="10"/>
        <v>4764.5</v>
      </c>
      <c r="G258" s="2">
        <f t="shared" si="11"/>
        <v>1289959.0631803006</v>
      </c>
      <c r="H258" s="26"/>
      <c r="I258" s="27">
        <f t="shared" si="12"/>
      </c>
    </row>
    <row r="259" spans="1:9" ht="15.75" thickBot="1">
      <c r="A259" s="33" t="s">
        <v>78</v>
      </c>
      <c r="B259" s="34">
        <v>1</v>
      </c>
      <c r="C259" s="34">
        <v>5</v>
      </c>
      <c r="D259" s="35">
        <v>23000</v>
      </c>
      <c r="E259" s="36">
        <v>12283</v>
      </c>
      <c r="F259" s="37">
        <f aca="true" t="shared" si="13" ref="F259:F322">(D259+E259)/2</f>
        <v>17641.5</v>
      </c>
      <c r="G259" s="38">
        <f aca="true" t="shared" si="14" ref="G259:G322">IF(C259=1,1581.92*(F259^0.6798),IF(C259=2,2991.14*(F259^0.6798),IF(C259=3,3113.49*(F259^0.6798),IF(C259=4,3279.19*(F259^0.6798),IF(C259=5,IF(B259=1,3891.82*(F259^0.6798),IF(B259=2,4076.24*(F259^0.6798),0)),0)))))</f>
        <v>2998800.5692031747</v>
      </c>
      <c r="H259" s="39">
        <f>SUM(G253:G259)</f>
        <v>20295575.80012045</v>
      </c>
      <c r="I259" s="27">
        <f t="shared" si="12"/>
        <v>20295949.45012045</v>
      </c>
    </row>
    <row r="260" spans="1:9" ht="15">
      <c r="A260" s="20" t="s">
        <v>79</v>
      </c>
      <c r="B260" s="21">
        <v>2</v>
      </c>
      <c r="C260" s="21">
        <v>5</v>
      </c>
      <c r="D260" s="22">
        <v>70000</v>
      </c>
      <c r="E260" s="23">
        <v>51190</v>
      </c>
      <c r="F260" s="24">
        <f t="shared" si="13"/>
        <v>60595</v>
      </c>
      <c r="G260" s="25">
        <f t="shared" si="14"/>
        <v>7267085.604370545</v>
      </c>
      <c r="H260" s="26"/>
      <c r="I260" s="27">
        <f t="shared" si="12"/>
      </c>
    </row>
    <row r="261" spans="1:9" ht="15">
      <c r="A261" s="28" t="s">
        <v>79</v>
      </c>
      <c r="B261" s="29">
        <v>1</v>
      </c>
      <c r="C261" s="29">
        <v>5</v>
      </c>
      <c r="D261" s="30">
        <v>20000</v>
      </c>
      <c r="E261" s="31">
        <v>8000</v>
      </c>
      <c r="F261" s="32">
        <f t="shared" si="13"/>
        <v>14000</v>
      </c>
      <c r="G261" s="2">
        <f t="shared" si="14"/>
        <v>2562657.604789502</v>
      </c>
      <c r="H261" s="26"/>
      <c r="I261" s="27">
        <f t="shared" si="12"/>
      </c>
    </row>
    <row r="262" spans="1:9" ht="15">
      <c r="A262" s="28" t="s">
        <v>79</v>
      </c>
      <c r="B262" s="29">
        <v>1</v>
      </c>
      <c r="C262" s="29">
        <v>5</v>
      </c>
      <c r="D262" s="30">
        <v>3000</v>
      </c>
      <c r="E262" s="31">
        <v>3000</v>
      </c>
      <c r="F262" s="32">
        <f t="shared" si="13"/>
        <v>3000</v>
      </c>
      <c r="G262" s="2">
        <f t="shared" si="14"/>
        <v>899290.0215188821</v>
      </c>
      <c r="H262" s="26"/>
      <c r="I262" s="27">
        <f t="shared" si="12"/>
      </c>
    </row>
    <row r="263" spans="1:9" ht="15">
      <c r="A263" s="28" t="s">
        <v>79</v>
      </c>
      <c r="B263" s="29">
        <v>1</v>
      </c>
      <c r="C263" s="29">
        <v>5</v>
      </c>
      <c r="D263" s="30">
        <v>3000</v>
      </c>
      <c r="E263" s="31">
        <v>1500</v>
      </c>
      <c r="F263" s="32">
        <f t="shared" si="13"/>
        <v>2250</v>
      </c>
      <c r="G263" s="2">
        <f t="shared" si="14"/>
        <v>739548.0927455173</v>
      </c>
      <c r="H263" s="26"/>
      <c r="I263" s="27">
        <f t="shared" si="12"/>
      </c>
    </row>
    <row r="264" spans="1:9" ht="15">
      <c r="A264" s="28" t="s">
        <v>79</v>
      </c>
      <c r="B264" s="29">
        <v>2</v>
      </c>
      <c r="C264" s="29">
        <v>5</v>
      </c>
      <c r="D264" s="30">
        <v>10000</v>
      </c>
      <c r="E264" s="31">
        <v>5000</v>
      </c>
      <c r="F264" s="32">
        <f t="shared" si="13"/>
        <v>7500</v>
      </c>
      <c r="G264" s="2">
        <f t="shared" si="14"/>
        <v>1756007.608246119</v>
      </c>
      <c r="H264" s="26"/>
      <c r="I264" s="27">
        <f t="shared" si="12"/>
      </c>
    </row>
    <row r="265" spans="1:9" ht="15">
      <c r="A265" s="28" t="s">
        <v>79</v>
      </c>
      <c r="B265" s="29">
        <v>1</v>
      </c>
      <c r="C265" s="29">
        <v>5</v>
      </c>
      <c r="D265" s="30">
        <v>5500</v>
      </c>
      <c r="E265" s="31">
        <v>2500</v>
      </c>
      <c r="F265" s="32">
        <f t="shared" si="13"/>
        <v>4000</v>
      </c>
      <c r="G265" s="2">
        <f t="shared" si="14"/>
        <v>1093536.1077074918</v>
      </c>
      <c r="H265" s="26"/>
      <c r="I265" s="27">
        <f t="shared" si="12"/>
      </c>
    </row>
    <row r="266" spans="1:9" ht="15">
      <c r="A266" s="28" t="s">
        <v>79</v>
      </c>
      <c r="B266" s="29">
        <v>1</v>
      </c>
      <c r="C266" s="29">
        <v>3</v>
      </c>
      <c r="D266" s="30">
        <v>400</v>
      </c>
      <c r="E266" s="31">
        <v>200</v>
      </c>
      <c r="F266" s="32">
        <f t="shared" si="13"/>
        <v>300</v>
      </c>
      <c r="G266" s="2">
        <f t="shared" si="14"/>
        <v>150381.5317524834</v>
      </c>
      <c r="H266" s="26"/>
      <c r="I266" s="27">
        <f t="shared" si="12"/>
      </c>
    </row>
    <row r="267" spans="1:9" ht="15">
      <c r="A267" s="28" t="s">
        <v>79</v>
      </c>
      <c r="B267" s="29">
        <v>2</v>
      </c>
      <c r="C267" s="29">
        <v>2</v>
      </c>
      <c r="D267" s="30">
        <v>500</v>
      </c>
      <c r="E267" s="31">
        <v>100</v>
      </c>
      <c r="F267" s="32">
        <f t="shared" si="13"/>
        <v>300</v>
      </c>
      <c r="G267" s="2">
        <f t="shared" si="14"/>
        <v>144472.02813759583</v>
      </c>
      <c r="H267" s="26"/>
      <c r="I267" s="27">
        <f t="shared" si="12"/>
      </c>
    </row>
    <row r="268" spans="1:9" ht="15">
      <c r="A268" s="28" t="s">
        <v>79</v>
      </c>
      <c r="B268" s="29">
        <v>2</v>
      </c>
      <c r="C268" s="29">
        <v>5</v>
      </c>
      <c r="D268" s="30">
        <v>2200</v>
      </c>
      <c r="E268" s="31">
        <v>1302</v>
      </c>
      <c r="F268" s="32">
        <f t="shared" si="13"/>
        <v>1751</v>
      </c>
      <c r="G268" s="2">
        <f t="shared" si="14"/>
        <v>653199.2365891392</v>
      </c>
      <c r="H268" s="26"/>
      <c r="I268" s="27">
        <f t="shared" si="12"/>
      </c>
    </row>
    <row r="269" spans="1:9" ht="15.75" thickBot="1">
      <c r="A269" s="33" t="s">
        <v>79</v>
      </c>
      <c r="B269" s="34">
        <v>1</v>
      </c>
      <c r="C269" s="34">
        <v>2</v>
      </c>
      <c r="D269" s="35">
        <v>550</v>
      </c>
      <c r="E269" s="36">
        <v>93</v>
      </c>
      <c r="F269" s="37">
        <f t="shared" si="13"/>
        <v>321.5</v>
      </c>
      <c r="G269" s="38">
        <f t="shared" si="14"/>
        <v>151432.24782298473</v>
      </c>
      <c r="H269" s="39">
        <f>SUM(G260:G269)</f>
        <v>15417610.08368026</v>
      </c>
      <c r="I269" s="27">
        <f t="shared" si="12"/>
        <v>15417983.733680261</v>
      </c>
    </row>
    <row r="270" spans="1:9" ht="15">
      <c r="A270" s="20" t="s">
        <v>80</v>
      </c>
      <c r="B270" s="21">
        <v>2</v>
      </c>
      <c r="C270" s="21">
        <v>5</v>
      </c>
      <c r="D270" s="22">
        <v>80000</v>
      </c>
      <c r="E270" s="23">
        <v>33072</v>
      </c>
      <c r="F270" s="24">
        <f t="shared" si="13"/>
        <v>56536</v>
      </c>
      <c r="G270" s="25">
        <f t="shared" si="14"/>
        <v>6932507.284874764</v>
      </c>
      <c r="H270" s="26"/>
      <c r="I270" s="27">
        <f t="shared" si="12"/>
      </c>
    </row>
    <row r="271" spans="1:9" ht="15">
      <c r="A271" s="28" t="s">
        <v>80</v>
      </c>
      <c r="B271" s="29">
        <v>2</v>
      </c>
      <c r="C271" s="29">
        <v>5</v>
      </c>
      <c r="D271" s="30">
        <v>2000</v>
      </c>
      <c r="E271" s="31">
        <v>1334.9</v>
      </c>
      <c r="F271" s="32">
        <f t="shared" si="13"/>
        <v>1667.45</v>
      </c>
      <c r="G271" s="2">
        <f t="shared" si="14"/>
        <v>631846.0189192109</v>
      </c>
      <c r="H271" s="26"/>
      <c r="I271" s="27">
        <f t="shared" si="12"/>
      </c>
    </row>
    <row r="272" spans="1:9" ht="15">
      <c r="A272" s="28" t="s">
        <v>80</v>
      </c>
      <c r="B272" s="29">
        <v>1</v>
      </c>
      <c r="C272" s="29">
        <v>4</v>
      </c>
      <c r="D272" s="30">
        <v>1800</v>
      </c>
      <c r="E272" s="31">
        <v>779.3</v>
      </c>
      <c r="F272" s="32">
        <f t="shared" si="13"/>
        <v>1289.65</v>
      </c>
      <c r="G272" s="2">
        <f t="shared" si="14"/>
        <v>426840.2376419321</v>
      </c>
      <c r="H272" s="26"/>
      <c r="I272" s="27">
        <f aca="true" t="shared" si="15" ref="I272:I335">IF(H272=0,"",H272+373.65)</f>
      </c>
    </row>
    <row r="273" spans="1:9" ht="15">
      <c r="A273" s="28" t="s">
        <v>80</v>
      </c>
      <c r="B273" s="29">
        <v>2</v>
      </c>
      <c r="C273" s="29">
        <v>4</v>
      </c>
      <c r="D273" s="30">
        <v>1200</v>
      </c>
      <c r="E273" s="31">
        <v>227.8</v>
      </c>
      <c r="F273" s="32">
        <f t="shared" si="13"/>
        <v>713.9</v>
      </c>
      <c r="G273" s="2">
        <f t="shared" si="14"/>
        <v>285541.52403510164</v>
      </c>
      <c r="H273" s="26"/>
      <c r="I273" s="27">
        <f t="shared" si="15"/>
      </c>
    </row>
    <row r="274" spans="1:9" ht="15">
      <c r="A274" s="28" t="s">
        <v>80</v>
      </c>
      <c r="B274" s="29">
        <v>2</v>
      </c>
      <c r="C274" s="29">
        <v>4</v>
      </c>
      <c r="D274" s="30">
        <v>1233</v>
      </c>
      <c r="E274" s="31">
        <v>527.1</v>
      </c>
      <c r="F274" s="32">
        <f t="shared" si="13"/>
        <v>880.05</v>
      </c>
      <c r="G274" s="2">
        <f t="shared" si="14"/>
        <v>329186.9996478354</v>
      </c>
      <c r="H274" s="26"/>
      <c r="I274" s="27">
        <f t="shared" si="15"/>
      </c>
    </row>
    <row r="275" spans="1:9" ht="15.75" thickBot="1">
      <c r="A275" s="33" t="s">
        <v>80</v>
      </c>
      <c r="B275" s="34">
        <v>2</v>
      </c>
      <c r="C275" s="34">
        <v>5</v>
      </c>
      <c r="D275" s="35">
        <v>12000</v>
      </c>
      <c r="E275" s="36">
        <v>3332.7</v>
      </c>
      <c r="F275" s="37">
        <f t="shared" si="13"/>
        <v>7666.35</v>
      </c>
      <c r="G275" s="38">
        <f t="shared" si="14"/>
        <v>1782391.5134412455</v>
      </c>
      <c r="H275" s="39">
        <f>SUM(G270:G275)</f>
        <v>10388313.578560092</v>
      </c>
      <c r="I275" s="27">
        <f t="shared" si="15"/>
        <v>10388687.228560092</v>
      </c>
    </row>
    <row r="276" spans="1:9" ht="15">
      <c r="A276" s="20" t="s">
        <v>81</v>
      </c>
      <c r="B276" s="21">
        <v>1</v>
      </c>
      <c r="C276" s="21">
        <v>5</v>
      </c>
      <c r="D276" s="22">
        <v>26000</v>
      </c>
      <c r="E276" s="23">
        <v>12700</v>
      </c>
      <c r="F276" s="24">
        <f t="shared" si="13"/>
        <v>19350</v>
      </c>
      <c r="G276" s="25">
        <f t="shared" si="14"/>
        <v>3193290.7909246553</v>
      </c>
      <c r="H276" s="26"/>
      <c r="I276" s="27">
        <f t="shared" si="15"/>
      </c>
    </row>
    <row r="277" spans="1:9" ht="15">
      <c r="A277" s="28" t="s">
        <v>81</v>
      </c>
      <c r="B277" s="29">
        <v>2</v>
      </c>
      <c r="C277" s="29">
        <v>5</v>
      </c>
      <c r="D277" s="30">
        <v>8900</v>
      </c>
      <c r="E277" s="31">
        <v>9900</v>
      </c>
      <c r="F277" s="32">
        <f t="shared" si="13"/>
        <v>9400</v>
      </c>
      <c r="G277" s="2">
        <f t="shared" si="14"/>
        <v>2047349.8512287377</v>
      </c>
      <c r="H277" s="26"/>
      <c r="I277" s="27">
        <f t="shared" si="15"/>
      </c>
    </row>
    <row r="278" spans="1:9" ht="15">
      <c r="A278" s="28" t="s">
        <v>81</v>
      </c>
      <c r="B278" s="29">
        <v>1</v>
      </c>
      <c r="C278" s="29">
        <v>5</v>
      </c>
      <c r="D278" s="30">
        <v>4500</v>
      </c>
      <c r="E278" s="31">
        <v>1820</v>
      </c>
      <c r="F278" s="32">
        <f t="shared" si="13"/>
        <v>3160</v>
      </c>
      <c r="G278" s="2">
        <f t="shared" si="14"/>
        <v>931622.6190963732</v>
      </c>
      <c r="H278" s="26"/>
      <c r="I278" s="27">
        <f t="shared" si="15"/>
      </c>
    </row>
    <row r="279" spans="1:9" ht="15">
      <c r="A279" s="28" t="s">
        <v>81</v>
      </c>
      <c r="B279" s="29">
        <v>1</v>
      </c>
      <c r="C279" s="29">
        <v>5</v>
      </c>
      <c r="D279" s="30">
        <v>4000</v>
      </c>
      <c r="E279" s="31">
        <v>3670</v>
      </c>
      <c r="F279" s="32">
        <f t="shared" si="13"/>
        <v>3835</v>
      </c>
      <c r="G279" s="2">
        <f t="shared" si="14"/>
        <v>1062665.161654489</v>
      </c>
      <c r="H279" s="26"/>
      <c r="I279" s="27">
        <f t="shared" si="15"/>
      </c>
    </row>
    <row r="280" spans="1:9" ht="15">
      <c r="A280" s="28" t="s">
        <v>81</v>
      </c>
      <c r="B280" s="29">
        <v>1</v>
      </c>
      <c r="C280" s="29">
        <v>5</v>
      </c>
      <c r="D280" s="30">
        <v>2000</v>
      </c>
      <c r="E280" s="31">
        <v>1100</v>
      </c>
      <c r="F280" s="32">
        <f t="shared" si="13"/>
        <v>1550</v>
      </c>
      <c r="G280" s="2">
        <f t="shared" si="14"/>
        <v>574037.4598414598</v>
      </c>
      <c r="H280" s="26"/>
      <c r="I280" s="27">
        <f t="shared" si="15"/>
      </c>
    </row>
    <row r="281" spans="1:9" ht="15">
      <c r="A281" s="28" t="s">
        <v>81</v>
      </c>
      <c r="B281" s="29">
        <v>1</v>
      </c>
      <c r="C281" s="29">
        <v>5</v>
      </c>
      <c r="D281" s="30">
        <v>1200</v>
      </c>
      <c r="E281" s="31">
        <v>860</v>
      </c>
      <c r="F281" s="32">
        <f t="shared" si="13"/>
        <v>1030</v>
      </c>
      <c r="G281" s="2">
        <f t="shared" si="14"/>
        <v>434789.94393481774</v>
      </c>
      <c r="H281" s="26"/>
      <c r="I281" s="27">
        <f t="shared" si="15"/>
      </c>
    </row>
    <row r="282" spans="1:9" ht="15">
      <c r="A282" s="28" t="s">
        <v>81</v>
      </c>
      <c r="B282" s="29">
        <v>2</v>
      </c>
      <c r="C282" s="29">
        <v>5</v>
      </c>
      <c r="D282" s="30">
        <v>1200</v>
      </c>
      <c r="E282" s="31">
        <v>1800</v>
      </c>
      <c r="F282" s="32">
        <f t="shared" si="13"/>
        <v>1500</v>
      </c>
      <c r="G282" s="2">
        <f t="shared" si="14"/>
        <v>587985.4566634378</v>
      </c>
      <c r="H282" s="26"/>
      <c r="I282" s="27">
        <f t="shared" si="15"/>
      </c>
    </row>
    <row r="283" spans="1:9" ht="15">
      <c r="A283" s="28" t="s">
        <v>81</v>
      </c>
      <c r="B283" s="29">
        <v>2</v>
      </c>
      <c r="C283" s="29">
        <v>2</v>
      </c>
      <c r="D283" s="30">
        <v>800</v>
      </c>
      <c r="E283" s="31">
        <v>1000</v>
      </c>
      <c r="F283" s="32">
        <f t="shared" si="13"/>
        <v>900</v>
      </c>
      <c r="G283" s="2">
        <f t="shared" si="14"/>
        <v>304881.3076887912</v>
      </c>
      <c r="H283" s="26"/>
      <c r="I283" s="27">
        <f t="shared" si="15"/>
      </c>
    </row>
    <row r="284" spans="1:9" ht="15">
      <c r="A284" s="28" t="s">
        <v>81</v>
      </c>
      <c r="B284" s="29">
        <v>1</v>
      </c>
      <c r="C284" s="29">
        <v>4</v>
      </c>
      <c r="D284" s="30">
        <v>300</v>
      </c>
      <c r="E284" s="31">
        <v>290</v>
      </c>
      <c r="F284" s="32">
        <f t="shared" si="13"/>
        <v>295</v>
      </c>
      <c r="G284" s="2">
        <f t="shared" si="14"/>
        <v>156585.5158529869</v>
      </c>
      <c r="H284" s="26"/>
      <c r="I284" s="27">
        <f t="shared" si="15"/>
      </c>
    </row>
    <row r="285" spans="1:9" ht="15.75" thickBot="1">
      <c r="A285" s="33" t="s">
        <v>81</v>
      </c>
      <c r="B285" s="34">
        <v>1</v>
      </c>
      <c r="C285" s="34">
        <v>3</v>
      </c>
      <c r="D285" s="35">
        <v>100</v>
      </c>
      <c r="E285" s="36">
        <v>124</v>
      </c>
      <c r="F285" s="37">
        <f t="shared" si="13"/>
        <v>112</v>
      </c>
      <c r="G285" s="38">
        <f t="shared" si="14"/>
        <v>76967.23533850662</v>
      </c>
      <c r="H285" s="39">
        <f>SUM(G276:G285)</f>
        <v>9370175.342224257</v>
      </c>
      <c r="I285" s="27">
        <f t="shared" si="15"/>
        <v>9370548.992224257</v>
      </c>
    </row>
    <row r="286" spans="1:9" ht="15">
      <c r="A286" s="20" t="s">
        <v>82</v>
      </c>
      <c r="B286" s="21">
        <v>2</v>
      </c>
      <c r="C286" s="21">
        <v>5</v>
      </c>
      <c r="D286" s="22">
        <v>50000</v>
      </c>
      <c r="E286" s="23">
        <v>52853</v>
      </c>
      <c r="F286" s="24">
        <f t="shared" si="13"/>
        <v>51426.5</v>
      </c>
      <c r="G286" s="25">
        <f t="shared" si="14"/>
        <v>6500168.986068492</v>
      </c>
      <c r="H286" s="26"/>
      <c r="I286" s="27">
        <f t="shared" si="15"/>
      </c>
    </row>
    <row r="287" spans="1:9" ht="15">
      <c r="A287" s="28" t="s">
        <v>82</v>
      </c>
      <c r="B287" s="29">
        <v>1</v>
      </c>
      <c r="C287" s="29">
        <v>5</v>
      </c>
      <c r="D287" s="30">
        <v>16000</v>
      </c>
      <c r="E287" s="31">
        <v>10827</v>
      </c>
      <c r="F287" s="32">
        <f t="shared" si="13"/>
        <v>13413.5</v>
      </c>
      <c r="G287" s="2">
        <f t="shared" si="14"/>
        <v>2489177.5441793026</v>
      </c>
      <c r="H287" s="26"/>
      <c r="I287" s="27">
        <f t="shared" si="15"/>
      </c>
    </row>
    <row r="288" spans="1:9" ht="15">
      <c r="A288" s="28" t="s">
        <v>82</v>
      </c>
      <c r="B288" s="29">
        <v>2</v>
      </c>
      <c r="C288" s="29">
        <v>5</v>
      </c>
      <c r="D288" s="30">
        <v>4200</v>
      </c>
      <c r="E288" s="31">
        <v>3990</v>
      </c>
      <c r="F288" s="32">
        <f t="shared" si="13"/>
        <v>4095</v>
      </c>
      <c r="G288" s="2">
        <f t="shared" si="14"/>
        <v>1163777.4873640314</v>
      </c>
      <c r="H288" s="26"/>
      <c r="I288" s="27">
        <f t="shared" si="15"/>
      </c>
    </row>
    <row r="289" spans="1:9" ht="15">
      <c r="A289" s="28" t="s">
        <v>82</v>
      </c>
      <c r="B289" s="29">
        <v>1</v>
      </c>
      <c r="C289" s="29">
        <v>3</v>
      </c>
      <c r="D289" s="30">
        <v>4000</v>
      </c>
      <c r="E289" s="31">
        <v>2971</v>
      </c>
      <c r="F289" s="32">
        <f t="shared" si="13"/>
        <v>3485.5</v>
      </c>
      <c r="G289" s="2">
        <f t="shared" si="14"/>
        <v>796671.5005688783</v>
      </c>
      <c r="H289" s="26"/>
      <c r="I289" s="27">
        <f t="shared" si="15"/>
      </c>
    </row>
    <row r="290" spans="1:9" ht="15">
      <c r="A290" s="28" t="s">
        <v>82</v>
      </c>
      <c r="B290" s="29">
        <v>1</v>
      </c>
      <c r="C290" s="29">
        <v>3</v>
      </c>
      <c r="D290" s="30">
        <v>4500</v>
      </c>
      <c r="E290" s="31">
        <v>2665</v>
      </c>
      <c r="F290" s="32">
        <f t="shared" si="13"/>
        <v>3582.5</v>
      </c>
      <c r="G290" s="2">
        <f t="shared" si="14"/>
        <v>811677.0252412515</v>
      </c>
      <c r="H290" s="26"/>
      <c r="I290" s="27">
        <f t="shared" si="15"/>
      </c>
    </row>
    <row r="291" spans="1:9" ht="15">
      <c r="A291" s="28" t="s">
        <v>82</v>
      </c>
      <c r="B291" s="29">
        <v>2</v>
      </c>
      <c r="C291" s="29">
        <v>3</v>
      </c>
      <c r="D291" s="30">
        <v>3500</v>
      </c>
      <c r="E291" s="31">
        <v>2008</v>
      </c>
      <c r="F291" s="32">
        <f t="shared" si="13"/>
        <v>2754</v>
      </c>
      <c r="G291" s="2">
        <f t="shared" si="14"/>
        <v>678789.2547666001</v>
      </c>
      <c r="H291" s="26"/>
      <c r="I291" s="27">
        <f t="shared" si="15"/>
      </c>
    </row>
    <row r="292" spans="1:9" ht="15">
      <c r="A292" s="28" t="s">
        <v>82</v>
      </c>
      <c r="B292" s="29">
        <v>1</v>
      </c>
      <c r="C292" s="29">
        <v>3</v>
      </c>
      <c r="D292" s="30">
        <v>1500</v>
      </c>
      <c r="E292" s="31">
        <v>1289</v>
      </c>
      <c r="F292" s="32">
        <f t="shared" si="13"/>
        <v>1394.5</v>
      </c>
      <c r="G292" s="2">
        <f t="shared" si="14"/>
        <v>427388.8463668856</v>
      </c>
      <c r="H292" s="26"/>
      <c r="I292" s="27">
        <f t="shared" si="15"/>
      </c>
    </row>
    <row r="293" spans="1:9" ht="15">
      <c r="A293" s="28" t="s">
        <v>82</v>
      </c>
      <c r="B293" s="29">
        <v>1</v>
      </c>
      <c r="C293" s="29">
        <v>4</v>
      </c>
      <c r="D293" s="30">
        <v>1000</v>
      </c>
      <c r="E293" s="31">
        <v>342</v>
      </c>
      <c r="F293" s="32">
        <f t="shared" si="13"/>
        <v>671</v>
      </c>
      <c r="G293" s="2">
        <f t="shared" si="14"/>
        <v>273761.6124096826</v>
      </c>
      <c r="H293" s="26"/>
      <c r="I293" s="27">
        <f t="shared" si="15"/>
      </c>
    </row>
    <row r="294" spans="1:9" ht="15">
      <c r="A294" s="28" t="s">
        <v>82</v>
      </c>
      <c r="B294" s="29">
        <v>1</v>
      </c>
      <c r="C294" s="29">
        <v>3</v>
      </c>
      <c r="D294" s="30">
        <v>600</v>
      </c>
      <c r="E294" s="31">
        <v>430</v>
      </c>
      <c r="F294" s="32">
        <f t="shared" si="13"/>
        <v>515</v>
      </c>
      <c r="G294" s="2">
        <f t="shared" si="14"/>
        <v>217137.0981111872</v>
      </c>
      <c r="H294" s="26"/>
      <c r="I294" s="27">
        <f t="shared" si="15"/>
      </c>
    </row>
    <row r="295" spans="1:9" ht="15">
      <c r="A295" s="28" t="s">
        <v>82</v>
      </c>
      <c r="B295" s="29">
        <v>1</v>
      </c>
      <c r="C295" s="29">
        <v>3</v>
      </c>
      <c r="D295" s="30">
        <v>150</v>
      </c>
      <c r="E295" s="31">
        <v>48</v>
      </c>
      <c r="F295" s="32">
        <f t="shared" si="13"/>
        <v>99</v>
      </c>
      <c r="G295" s="2">
        <f t="shared" si="14"/>
        <v>70775.06558221529</v>
      </c>
      <c r="H295" s="26"/>
      <c r="I295" s="27">
        <f t="shared" si="15"/>
      </c>
    </row>
    <row r="296" spans="1:9" ht="15">
      <c r="A296" s="28" t="s">
        <v>82</v>
      </c>
      <c r="B296" s="29">
        <v>1</v>
      </c>
      <c r="C296" s="29">
        <v>3</v>
      </c>
      <c r="D296" s="30">
        <v>100</v>
      </c>
      <c r="E296" s="31">
        <v>267</v>
      </c>
      <c r="F296" s="32">
        <f t="shared" si="13"/>
        <v>183.5</v>
      </c>
      <c r="G296" s="2">
        <f t="shared" si="14"/>
        <v>107663.1976932946</v>
      </c>
      <c r="H296" s="26"/>
      <c r="I296" s="27">
        <f t="shared" si="15"/>
      </c>
    </row>
    <row r="297" spans="1:9" ht="15">
      <c r="A297" s="28" t="s">
        <v>82</v>
      </c>
      <c r="B297" s="29">
        <v>1</v>
      </c>
      <c r="C297" s="29">
        <v>3</v>
      </c>
      <c r="D297" s="30">
        <v>2100</v>
      </c>
      <c r="E297" s="31">
        <v>586</v>
      </c>
      <c r="F297" s="32">
        <f t="shared" si="13"/>
        <v>1343</v>
      </c>
      <c r="G297" s="2">
        <f t="shared" si="14"/>
        <v>416594.51594508294</v>
      </c>
      <c r="H297" s="26"/>
      <c r="I297" s="27">
        <f t="shared" si="15"/>
      </c>
    </row>
    <row r="298" spans="1:9" ht="15.75" thickBot="1">
      <c r="A298" s="33" t="s">
        <v>82</v>
      </c>
      <c r="B298" s="34">
        <v>1</v>
      </c>
      <c r="C298" s="34">
        <v>3</v>
      </c>
      <c r="D298" s="35">
        <v>550</v>
      </c>
      <c r="E298" s="36">
        <v>98</v>
      </c>
      <c r="F298" s="37">
        <f t="shared" si="13"/>
        <v>324</v>
      </c>
      <c r="G298" s="38">
        <f t="shared" si="14"/>
        <v>158458.6578501567</v>
      </c>
      <c r="H298" s="39">
        <f>SUM(G286:G298)</f>
        <v>14112040.792147063</v>
      </c>
      <c r="I298" s="27">
        <f t="shared" si="15"/>
        <v>14112414.442147063</v>
      </c>
    </row>
    <row r="299" spans="1:9" ht="15">
      <c r="A299" s="20" t="s">
        <v>84</v>
      </c>
      <c r="B299" s="21">
        <v>2</v>
      </c>
      <c r="C299" s="21">
        <v>5</v>
      </c>
      <c r="D299" s="22">
        <v>140000</v>
      </c>
      <c r="E299" s="23">
        <v>78426</v>
      </c>
      <c r="F299" s="24">
        <f t="shared" si="13"/>
        <v>109213</v>
      </c>
      <c r="G299" s="25">
        <f t="shared" si="14"/>
        <v>10846225.780576987</v>
      </c>
      <c r="H299" s="26"/>
      <c r="I299" s="27">
        <f t="shared" si="15"/>
      </c>
    </row>
    <row r="300" spans="1:9" ht="15">
      <c r="A300" s="28" t="s">
        <v>84</v>
      </c>
      <c r="B300" s="29">
        <v>2</v>
      </c>
      <c r="C300" s="29">
        <v>5</v>
      </c>
      <c r="D300" s="30">
        <v>25000</v>
      </c>
      <c r="E300" s="31">
        <v>13116</v>
      </c>
      <c r="F300" s="32">
        <f t="shared" si="13"/>
        <v>19058</v>
      </c>
      <c r="G300" s="2">
        <f t="shared" si="14"/>
        <v>3310215.823013242</v>
      </c>
      <c r="H300" s="26"/>
      <c r="I300" s="27">
        <f t="shared" si="15"/>
      </c>
    </row>
    <row r="301" spans="1:9" ht="15">
      <c r="A301" s="28" t="s">
        <v>84</v>
      </c>
      <c r="B301" s="29">
        <v>1</v>
      </c>
      <c r="C301" s="29">
        <v>5</v>
      </c>
      <c r="D301" s="30">
        <v>12500</v>
      </c>
      <c r="E301" s="31">
        <v>15817</v>
      </c>
      <c r="F301" s="32">
        <f t="shared" si="13"/>
        <v>14158.5</v>
      </c>
      <c r="G301" s="2">
        <f t="shared" si="14"/>
        <v>2582345.032630747</v>
      </c>
      <c r="H301" s="26"/>
      <c r="I301" s="27">
        <f t="shared" si="15"/>
      </c>
    </row>
    <row r="302" spans="1:9" ht="15">
      <c r="A302" s="28" t="s">
        <v>84</v>
      </c>
      <c r="B302" s="29">
        <v>1</v>
      </c>
      <c r="C302" s="29">
        <v>5</v>
      </c>
      <c r="D302" s="30">
        <v>14500</v>
      </c>
      <c r="E302" s="31">
        <v>7292</v>
      </c>
      <c r="F302" s="32">
        <f t="shared" si="13"/>
        <v>10896</v>
      </c>
      <c r="G302" s="2">
        <f t="shared" si="14"/>
        <v>2161159.9785516</v>
      </c>
      <c r="H302" s="26"/>
      <c r="I302" s="27">
        <f t="shared" si="15"/>
      </c>
    </row>
    <row r="303" spans="1:9" ht="15">
      <c r="A303" s="28" t="s">
        <v>84</v>
      </c>
      <c r="B303" s="29">
        <v>1</v>
      </c>
      <c r="C303" s="29">
        <v>5</v>
      </c>
      <c r="D303" s="30">
        <v>1500</v>
      </c>
      <c r="E303" s="31">
        <v>3851</v>
      </c>
      <c r="F303" s="32">
        <f t="shared" si="13"/>
        <v>2675.5</v>
      </c>
      <c r="G303" s="2">
        <f t="shared" si="14"/>
        <v>831960.3600356886</v>
      </c>
      <c r="H303" s="26"/>
      <c r="I303" s="27">
        <f t="shared" si="15"/>
      </c>
    </row>
    <row r="304" spans="1:9" ht="15">
      <c r="A304" s="28" t="s">
        <v>84</v>
      </c>
      <c r="B304" s="29">
        <v>1</v>
      </c>
      <c r="C304" s="29">
        <v>3</v>
      </c>
      <c r="D304" s="30">
        <v>850</v>
      </c>
      <c r="E304" s="31">
        <v>634</v>
      </c>
      <c r="F304" s="32">
        <f t="shared" si="13"/>
        <v>742</v>
      </c>
      <c r="G304" s="2">
        <f t="shared" si="14"/>
        <v>278322.3290380438</v>
      </c>
      <c r="H304" s="26"/>
      <c r="I304" s="27">
        <f t="shared" si="15"/>
      </c>
    </row>
    <row r="305" spans="1:9" ht="15">
      <c r="A305" s="28" t="s">
        <v>84</v>
      </c>
      <c r="B305" s="29">
        <v>1</v>
      </c>
      <c r="C305" s="29">
        <v>5</v>
      </c>
      <c r="D305" s="30">
        <v>1400</v>
      </c>
      <c r="E305" s="31">
        <v>692</v>
      </c>
      <c r="F305" s="32">
        <f t="shared" si="13"/>
        <v>1046</v>
      </c>
      <c r="G305" s="2">
        <f t="shared" si="14"/>
        <v>439369.98438285734</v>
      </c>
      <c r="H305" s="26"/>
      <c r="I305" s="27">
        <f t="shared" si="15"/>
      </c>
    </row>
    <row r="306" spans="1:9" ht="15">
      <c r="A306" s="28" t="s">
        <v>84</v>
      </c>
      <c r="B306" s="29">
        <v>1</v>
      </c>
      <c r="C306" s="29">
        <v>1</v>
      </c>
      <c r="D306" s="30">
        <v>150</v>
      </c>
      <c r="E306" s="31">
        <v>85</v>
      </c>
      <c r="F306" s="32">
        <f t="shared" si="13"/>
        <v>117.5</v>
      </c>
      <c r="G306" s="2">
        <f t="shared" si="14"/>
        <v>40401.38547590941</v>
      </c>
      <c r="H306" s="26"/>
      <c r="I306" s="27">
        <f t="shared" si="15"/>
      </c>
    </row>
    <row r="307" spans="1:9" ht="15">
      <c r="A307" s="28" t="s">
        <v>84</v>
      </c>
      <c r="B307" s="29">
        <v>1</v>
      </c>
      <c r="C307" s="29">
        <v>1</v>
      </c>
      <c r="D307" s="30">
        <v>200</v>
      </c>
      <c r="E307" s="31">
        <v>140</v>
      </c>
      <c r="F307" s="32">
        <f t="shared" si="13"/>
        <v>170</v>
      </c>
      <c r="G307" s="2">
        <f t="shared" si="14"/>
        <v>51933.03377779255</v>
      </c>
      <c r="H307" s="26"/>
      <c r="I307" s="27">
        <f t="shared" si="15"/>
      </c>
    </row>
    <row r="308" spans="1:9" ht="15">
      <c r="A308" s="28" t="s">
        <v>84</v>
      </c>
      <c r="B308" s="29">
        <v>1</v>
      </c>
      <c r="C308" s="29">
        <v>1</v>
      </c>
      <c r="D308" s="30">
        <v>360</v>
      </c>
      <c r="E308" s="31">
        <v>240</v>
      </c>
      <c r="F308" s="32">
        <f t="shared" si="13"/>
        <v>300</v>
      </c>
      <c r="G308" s="2">
        <f t="shared" si="14"/>
        <v>76406.718091238</v>
      </c>
      <c r="H308" s="26"/>
      <c r="I308" s="27">
        <f t="shared" si="15"/>
      </c>
    </row>
    <row r="309" spans="1:9" ht="15">
      <c r="A309" s="28" t="s">
        <v>84</v>
      </c>
      <c r="B309" s="29">
        <v>1</v>
      </c>
      <c r="C309" s="29">
        <v>3</v>
      </c>
      <c r="D309" s="30">
        <v>80</v>
      </c>
      <c r="E309" s="31">
        <v>33</v>
      </c>
      <c r="F309" s="32">
        <f t="shared" si="13"/>
        <v>56.5</v>
      </c>
      <c r="G309" s="2">
        <f t="shared" si="14"/>
        <v>48338.148325667185</v>
      </c>
      <c r="H309" s="26"/>
      <c r="I309" s="27">
        <f t="shared" si="15"/>
      </c>
    </row>
    <row r="310" spans="1:9" ht="15">
      <c r="A310" s="28" t="s">
        <v>84</v>
      </c>
      <c r="B310" s="29">
        <v>1</v>
      </c>
      <c r="C310" s="29">
        <v>1</v>
      </c>
      <c r="D310" s="30">
        <v>100</v>
      </c>
      <c r="E310" s="31">
        <v>61</v>
      </c>
      <c r="F310" s="32">
        <f t="shared" si="13"/>
        <v>80.5</v>
      </c>
      <c r="G310" s="2">
        <f t="shared" si="14"/>
        <v>31242.412076251487</v>
      </c>
      <c r="H310" s="26"/>
      <c r="I310" s="27">
        <f t="shared" si="15"/>
      </c>
    </row>
    <row r="311" spans="1:9" ht="15">
      <c r="A311" s="28" t="s">
        <v>84</v>
      </c>
      <c r="B311" s="29">
        <v>1</v>
      </c>
      <c r="C311" s="29">
        <v>1</v>
      </c>
      <c r="D311" s="30">
        <v>70</v>
      </c>
      <c r="E311" s="31">
        <v>12</v>
      </c>
      <c r="F311" s="32">
        <f t="shared" si="13"/>
        <v>41</v>
      </c>
      <c r="G311" s="2">
        <f t="shared" si="14"/>
        <v>19749.44895829899</v>
      </c>
      <c r="H311" s="26"/>
      <c r="I311" s="27">
        <f t="shared" si="15"/>
      </c>
    </row>
    <row r="312" spans="1:9" ht="15">
      <c r="A312" s="28" t="s">
        <v>84</v>
      </c>
      <c r="B312" s="29">
        <v>1</v>
      </c>
      <c r="C312" s="29">
        <v>3</v>
      </c>
      <c r="D312" s="30">
        <v>1000</v>
      </c>
      <c r="E312" s="31">
        <v>175</v>
      </c>
      <c r="F312" s="32">
        <f t="shared" si="13"/>
        <v>587.5</v>
      </c>
      <c r="G312" s="2">
        <f t="shared" si="14"/>
        <v>237475.61761930463</v>
      </c>
      <c r="H312" s="26"/>
      <c r="I312" s="27">
        <f t="shared" si="15"/>
      </c>
    </row>
    <row r="313" spans="1:9" ht="15">
      <c r="A313" s="28" t="s">
        <v>84</v>
      </c>
      <c r="B313" s="29">
        <v>1</v>
      </c>
      <c r="C313" s="29">
        <v>3</v>
      </c>
      <c r="D313" s="30">
        <v>1200</v>
      </c>
      <c r="E313" s="31">
        <v>526</v>
      </c>
      <c r="F313" s="32">
        <f t="shared" si="13"/>
        <v>863</v>
      </c>
      <c r="G313" s="2">
        <f t="shared" si="14"/>
        <v>308423.6085581552</v>
      </c>
      <c r="H313" s="26"/>
      <c r="I313" s="27">
        <f t="shared" si="15"/>
      </c>
    </row>
    <row r="314" spans="1:9" ht="15.75" thickBot="1">
      <c r="A314" s="33" t="s">
        <v>84</v>
      </c>
      <c r="B314" s="34">
        <v>1</v>
      </c>
      <c r="C314" s="34">
        <v>3</v>
      </c>
      <c r="D314" s="35">
        <v>300</v>
      </c>
      <c r="E314" s="36">
        <v>13844</v>
      </c>
      <c r="F314" s="37">
        <f t="shared" si="13"/>
        <v>7072</v>
      </c>
      <c r="G314" s="38">
        <f t="shared" si="14"/>
        <v>1288742.9368826603</v>
      </c>
      <c r="H314" s="39">
        <f>SUM(G299:G314)</f>
        <v>22552312.597994443</v>
      </c>
      <c r="I314" s="27">
        <f t="shared" si="15"/>
        <v>22552686.24799444</v>
      </c>
    </row>
    <row r="315" spans="1:9" ht="15">
      <c r="A315" s="20" t="s">
        <v>85</v>
      </c>
      <c r="B315" s="21">
        <v>1</v>
      </c>
      <c r="C315" s="21">
        <v>5</v>
      </c>
      <c r="D315" s="22">
        <v>57000</v>
      </c>
      <c r="E315" s="23">
        <v>31035</v>
      </c>
      <c r="F315" s="24">
        <f t="shared" si="13"/>
        <v>44017.5</v>
      </c>
      <c r="G315" s="25">
        <f t="shared" si="14"/>
        <v>5583278.276299096</v>
      </c>
      <c r="H315" s="26"/>
      <c r="I315" s="27">
        <f t="shared" si="15"/>
      </c>
    </row>
    <row r="316" spans="1:9" ht="15">
      <c r="A316" s="28" t="s">
        <v>85</v>
      </c>
      <c r="B316" s="29">
        <v>1</v>
      </c>
      <c r="C316" s="29">
        <v>3</v>
      </c>
      <c r="D316" s="30">
        <v>5064</v>
      </c>
      <c r="E316" s="31">
        <v>1995</v>
      </c>
      <c r="F316" s="32">
        <f t="shared" si="13"/>
        <v>3529.5</v>
      </c>
      <c r="G316" s="2">
        <f t="shared" si="14"/>
        <v>803494.4830890609</v>
      </c>
      <c r="H316" s="26"/>
      <c r="I316" s="27">
        <f t="shared" si="15"/>
      </c>
    </row>
    <row r="317" spans="1:9" ht="15">
      <c r="A317" s="28" t="s">
        <v>85</v>
      </c>
      <c r="B317" s="29">
        <v>1</v>
      </c>
      <c r="C317" s="29">
        <v>1</v>
      </c>
      <c r="D317" s="30">
        <v>1300</v>
      </c>
      <c r="E317" s="31">
        <v>316</v>
      </c>
      <c r="F317" s="32">
        <f t="shared" si="13"/>
        <v>808</v>
      </c>
      <c r="G317" s="2">
        <f t="shared" si="14"/>
        <v>149845.17382679923</v>
      </c>
      <c r="H317" s="26"/>
      <c r="I317" s="27">
        <f t="shared" si="15"/>
      </c>
    </row>
    <row r="318" spans="1:9" ht="15">
      <c r="A318" s="28" t="s">
        <v>85</v>
      </c>
      <c r="B318" s="29">
        <v>1</v>
      </c>
      <c r="C318" s="29">
        <v>4</v>
      </c>
      <c r="D318" s="30">
        <v>1500</v>
      </c>
      <c r="E318" s="31">
        <v>1336</v>
      </c>
      <c r="F318" s="32">
        <f t="shared" si="13"/>
        <v>1418</v>
      </c>
      <c r="G318" s="2">
        <f t="shared" si="14"/>
        <v>455277.3897349011</v>
      </c>
      <c r="H318" s="26"/>
      <c r="I318" s="27">
        <f t="shared" si="15"/>
      </c>
    </row>
    <row r="319" spans="1:9" ht="15">
      <c r="A319" s="28" t="s">
        <v>85</v>
      </c>
      <c r="B319" s="29">
        <v>1</v>
      </c>
      <c r="C319" s="29">
        <v>3</v>
      </c>
      <c r="D319" s="30">
        <v>912</v>
      </c>
      <c r="E319" s="31">
        <v>1228</v>
      </c>
      <c r="F319" s="32">
        <f t="shared" si="13"/>
        <v>1070</v>
      </c>
      <c r="G319" s="2">
        <f t="shared" si="14"/>
        <v>356962.47756302933</v>
      </c>
      <c r="H319" s="26"/>
      <c r="I319" s="27">
        <f t="shared" si="15"/>
      </c>
    </row>
    <row r="320" spans="1:9" ht="15">
      <c r="A320" s="28" t="s">
        <v>85</v>
      </c>
      <c r="B320" s="29">
        <v>1</v>
      </c>
      <c r="C320" s="29">
        <v>3</v>
      </c>
      <c r="D320" s="30">
        <v>3000</v>
      </c>
      <c r="E320" s="31">
        <v>3167</v>
      </c>
      <c r="F320" s="32">
        <f t="shared" si="13"/>
        <v>3083.5</v>
      </c>
      <c r="G320" s="2">
        <f t="shared" si="14"/>
        <v>732992.5393540596</v>
      </c>
      <c r="H320" s="26"/>
      <c r="I320" s="27">
        <f t="shared" si="15"/>
      </c>
    </row>
    <row r="321" spans="1:9" ht="15">
      <c r="A321" s="28" t="s">
        <v>85</v>
      </c>
      <c r="B321" s="29">
        <v>1</v>
      </c>
      <c r="C321" s="29">
        <v>5</v>
      </c>
      <c r="D321" s="30">
        <v>15000</v>
      </c>
      <c r="E321" s="31">
        <v>17457</v>
      </c>
      <c r="F321" s="32">
        <f t="shared" si="13"/>
        <v>16228.5</v>
      </c>
      <c r="G321" s="2">
        <f t="shared" si="14"/>
        <v>2833348.450744885</v>
      </c>
      <c r="H321" s="26"/>
      <c r="I321" s="27">
        <f t="shared" si="15"/>
      </c>
    </row>
    <row r="322" spans="1:9" ht="15">
      <c r="A322" s="28" t="s">
        <v>85</v>
      </c>
      <c r="B322" s="29">
        <v>1</v>
      </c>
      <c r="C322" s="29">
        <v>5</v>
      </c>
      <c r="D322" s="30">
        <v>52500</v>
      </c>
      <c r="E322" s="31">
        <v>38423</v>
      </c>
      <c r="F322" s="32">
        <f t="shared" si="13"/>
        <v>45461.5</v>
      </c>
      <c r="G322" s="2">
        <f t="shared" si="14"/>
        <v>5707145.889662872</v>
      </c>
      <c r="H322" s="26"/>
      <c r="I322" s="27">
        <f t="shared" si="15"/>
      </c>
    </row>
    <row r="323" spans="1:9" ht="15.75" thickBot="1">
      <c r="A323" s="33" t="s">
        <v>85</v>
      </c>
      <c r="B323" s="34">
        <v>1</v>
      </c>
      <c r="C323" s="34">
        <v>5</v>
      </c>
      <c r="D323" s="35">
        <v>10000</v>
      </c>
      <c r="E323" s="36">
        <v>99635</v>
      </c>
      <c r="F323" s="37">
        <f aca="true" t="shared" si="16" ref="F323:F386">(D323+E323)/2</f>
        <v>54817.5</v>
      </c>
      <c r="G323" s="38">
        <f aca="true" t="shared" si="17" ref="G323:G386">IF(C323=1,1581.92*(F323^0.6798),IF(C323=2,2991.14*(F323^0.6798),IF(C323=3,3113.49*(F323^0.6798),IF(C323=4,3279.19*(F323^0.6798),IF(C323=5,IF(B323=1,3891.82*(F323^0.6798),IF(B323=2,4076.24*(F323^0.6798),0)),0)))))</f>
        <v>6481418.059847457</v>
      </c>
      <c r="H323" s="39">
        <f>SUM(G315:G323)</f>
        <v>23103762.74012216</v>
      </c>
      <c r="I323" s="27">
        <f t="shared" si="15"/>
        <v>23104136.39012216</v>
      </c>
    </row>
    <row r="324" spans="1:9" ht="15">
      <c r="A324" s="20" t="s">
        <v>88</v>
      </c>
      <c r="B324" s="21">
        <v>1</v>
      </c>
      <c r="C324" s="21">
        <v>4</v>
      </c>
      <c r="D324" s="22">
        <v>15000</v>
      </c>
      <c r="E324" s="23">
        <v>7829</v>
      </c>
      <c r="F324" s="24">
        <f t="shared" si="16"/>
        <v>11414.5</v>
      </c>
      <c r="G324" s="25">
        <f t="shared" si="17"/>
        <v>1879428.3619610213</v>
      </c>
      <c r="H324" s="26"/>
      <c r="I324" s="27">
        <f t="shared" si="15"/>
      </c>
    </row>
    <row r="325" spans="1:9" ht="15">
      <c r="A325" s="28" t="s">
        <v>88</v>
      </c>
      <c r="B325" s="29">
        <v>1</v>
      </c>
      <c r="C325" s="29">
        <v>3</v>
      </c>
      <c r="D325" s="30">
        <v>450</v>
      </c>
      <c r="E325" s="31">
        <v>327</v>
      </c>
      <c r="F325" s="32">
        <f t="shared" si="16"/>
        <v>388.5</v>
      </c>
      <c r="G325" s="2">
        <f t="shared" si="17"/>
        <v>179273.25038714617</v>
      </c>
      <c r="H325" s="26"/>
      <c r="I325" s="27">
        <f t="shared" si="15"/>
      </c>
    </row>
    <row r="326" spans="1:9" ht="15">
      <c r="A326" s="28" t="s">
        <v>88</v>
      </c>
      <c r="B326" s="29">
        <v>1</v>
      </c>
      <c r="C326" s="29">
        <v>3</v>
      </c>
      <c r="D326" s="30">
        <v>730</v>
      </c>
      <c r="E326" s="31">
        <v>133</v>
      </c>
      <c r="F326" s="32">
        <f t="shared" si="16"/>
        <v>431.5</v>
      </c>
      <c r="G326" s="2">
        <f t="shared" si="17"/>
        <v>192533.99531202597</v>
      </c>
      <c r="H326" s="26"/>
      <c r="I326" s="27">
        <f t="shared" si="15"/>
      </c>
    </row>
    <row r="327" spans="1:9" ht="15">
      <c r="A327" s="28" t="s">
        <v>88</v>
      </c>
      <c r="B327" s="29">
        <v>2</v>
      </c>
      <c r="C327" s="29">
        <v>4</v>
      </c>
      <c r="D327" s="30">
        <v>4500</v>
      </c>
      <c r="E327" s="31">
        <v>1430</v>
      </c>
      <c r="F327" s="32">
        <f t="shared" si="16"/>
        <v>2965</v>
      </c>
      <c r="G327" s="2">
        <f t="shared" si="17"/>
        <v>751707.6506964543</v>
      </c>
      <c r="H327" s="26"/>
      <c r="I327" s="27">
        <f t="shared" si="15"/>
      </c>
    </row>
    <row r="328" spans="1:9" ht="15">
      <c r="A328" s="28" t="s">
        <v>88</v>
      </c>
      <c r="B328" s="29">
        <v>2</v>
      </c>
      <c r="C328" s="29">
        <v>5</v>
      </c>
      <c r="D328" s="30">
        <v>5000</v>
      </c>
      <c r="E328" s="31">
        <v>3186</v>
      </c>
      <c r="F328" s="32">
        <f t="shared" si="16"/>
        <v>4093</v>
      </c>
      <c r="G328" s="2">
        <f t="shared" si="17"/>
        <v>1163391.065966993</v>
      </c>
      <c r="H328" s="26"/>
      <c r="I328" s="27">
        <f t="shared" si="15"/>
      </c>
    </row>
    <row r="329" spans="1:9" ht="15">
      <c r="A329" s="28" t="s">
        <v>88</v>
      </c>
      <c r="B329" s="29">
        <v>1</v>
      </c>
      <c r="C329" s="29">
        <v>4</v>
      </c>
      <c r="D329" s="30">
        <v>2200</v>
      </c>
      <c r="E329" s="31">
        <v>1062</v>
      </c>
      <c r="F329" s="32">
        <f t="shared" si="16"/>
        <v>1631</v>
      </c>
      <c r="G329" s="2">
        <f t="shared" si="17"/>
        <v>500717.51549580623</v>
      </c>
      <c r="H329" s="26"/>
      <c r="I329" s="27">
        <f t="shared" si="15"/>
      </c>
    </row>
    <row r="330" spans="1:9" ht="15">
      <c r="A330" s="28" t="s">
        <v>88</v>
      </c>
      <c r="B330" s="29">
        <v>1</v>
      </c>
      <c r="C330" s="29">
        <v>3</v>
      </c>
      <c r="D330" s="30">
        <v>220</v>
      </c>
      <c r="E330" s="31">
        <v>86</v>
      </c>
      <c r="F330" s="32">
        <f t="shared" si="16"/>
        <v>153</v>
      </c>
      <c r="G330" s="2">
        <f t="shared" si="17"/>
        <v>95148.22915377063</v>
      </c>
      <c r="H330" s="26"/>
      <c r="I330" s="27">
        <f t="shared" si="15"/>
      </c>
    </row>
    <row r="331" spans="1:9" ht="15">
      <c r="A331" s="28" t="s">
        <v>88</v>
      </c>
      <c r="B331" s="29">
        <v>1</v>
      </c>
      <c r="C331" s="29">
        <v>4</v>
      </c>
      <c r="D331" s="30">
        <v>2600</v>
      </c>
      <c r="E331" s="31">
        <v>1171</v>
      </c>
      <c r="F331" s="32">
        <f t="shared" si="16"/>
        <v>1885.5</v>
      </c>
      <c r="G331" s="2">
        <f t="shared" si="17"/>
        <v>552588.1158466146</v>
      </c>
      <c r="H331" s="26"/>
      <c r="I331" s="27">
        <f t="shared" si="15"/>
      </c>
    </row>
    <row r="332" spans="1:9" ht="15">
      <c r="A332" s="28" t="s">
        <v>88</v>
      </c>
      <c r="B332" s="29">
        <v>1</v>
      </c>
      <c r="C332" s="29">
        <v>3</v>
      </c>
      <c r="D332" s="30">
        <v>120</v>
      </c>
      <c r="E332" s="31">
        <v>33</v>
      </c>
      <c r="F332" s="32">
        <f t="shared" si="16"/>
        <v>76.5</v>
      </c>
      <c r="G332" s="2">
        <f t="shared" si="17"/>
        <v>59396.454089491155</v>
      </c>
      <c r="H332" s="26"/>
      <c r="I332" s="27">
        <f t="shared" si="15"/>
      </c>
    </row>
    <row r="333" spans="1:9" ht="15">
      <c r="A333" s="28" t="s">
        <v>88</v>
      </c>
      <c r="B333" s="29">
        <v>1</v>
      </c>
      <c r="C333" s="29">
        <v>3</v>
      </c>
      <c r="D333" s="30">
        <v>4500</v>
      </c>
      <c r="E333" s="31">
        <v>703</v>
      </c>
      <c r="F333" s="32">
        <f t="shared" si="16"/>
        <v>2601.5</v>
      </c>
      <c r="G333" s="2">
        <f t="shared" si="17"/>
        <v>653005.1929572957</v>
      </c>
      <c r="H333" s="26"/>
      <c r="I333" s="27">
        <f t="shared" si="15"/>
      </c>
    </row>
    <row r="334" spans="1:9" ht="15">
      <c r="A334" s="28" t="s">
        <v>88</v>
      </c>
      <c r="B334" s="29">
        <v>1</v>
      </c>
      <c r="C334" s="29">
        <v>1</v>
      </c>
      <c r="D334" s="30">
        <v>900</v>
      </c>
      <c r="E334" s="31">
        <v>9</v>
      </c>
      <c r="F334" s="32">
        <f t="shared" si="16"/>
        <v>454.5</v>
      </c>
      <c r="G334" s="2">
        <f t="shared" si="17"/>
        <v>101338.86913258872</v>
      </c>
      <c r="H334" s="26"/>
      <c r="I334" s="27">
        <f t="shared" si="15"/>
      </c>
    </row>
    <row r="335" spans="1:9" ht="15">
      <c r="A335" s="28" t="s">
        <v>88</v>
      </c>
      <c r="B335" s="29">
        <v>2</v>
      </c>
      <c r="C335" s="29">
        <v>5</v>
      </c>
      <c r="D335" s="30">
        <v>19200</v>
      </c>
      <c r="E335" s="31">
        <v>24194</v>
      </c>
      <c r="F335" s="32">
        <f t="shared" si="16"/>
        <v>21697</v>
      </c>
      <c r="G335" s="2">
        <f t="shared" si="17"/>
        <v>3615299.282324664</v>
      </c>
      <c r="H335" s="26"/>
      <c r="I335" s="27">
        <f t="shared" si="15"/>
      </c>
    </row>
    <row r="336" spans="1:9" ht="15">
      <c r="A336" s="28" t="s">
        <v>88</v>
      </c>
      <c r="B336" s="29">
        <v>1</v>
      </c>
      <c r="C336" s="29">
        <v>3</v>
      </c>
      <c r="D336" s="30">
        <v>1000</v>
      </c>
      <c r="E336" s="31">
        <v>249</v>
      </c>
      <c r="F336" s="32">
        <f t="shared" si="16"/>
        <v>624.5</v>
      </c>
      <c r="G336" s="2">
        <f t="shared" si="17"/>
        <v>247542.87450873666</v>
      </c>
      <c r="H336" s="26"/>
      <c r="I336" s="27">
        <f aca="true" t="shared" si="18" ref="I336:I399">IF(H336=0,"",H336+373.65)</f>
      </c>
    </row>
    <row r="337" spans="1:9" ht="15">
      <c r="A337" s="28" t="s">
        <v>88</v>
      </c>
      <c r="B337" s="29">
        <v>1</v>
      </c>
      <c r="C337" s="29">
        <v>5</v>
      </c>
      <c r="D337" s="30">
        <v>6700</v>
      </c>
      <c r="E337" s="31">
        <v>4541</v>
      </c>
      <c r="F337" s="32">
        <f t="shared" si="16"/>
        <v>5620.5</v>
      </c>
      <c r="G337" s="2">
        <f t="shared" si="17"/>
        <v>1378001.7148906693</v>
      </c>
      <c r="H337" s="26"/>
      <c r="I337" s="27">
        <f t="shared" si="18"/>
      </c>
    </row>
    <row r="338" spans="1:9" ht="15">
      <c r="A338" s="28" t="s">
        <v>88</v>
      </c>
      <c r="B338" s="29">
        <v>1</v>
      </c>
      <c r="C338" s="29">
        <v>4</v>
      </c>
      <c r="D338" s="30">
        <v>750</v>
      </c>
      <c r="E338" s="31">
        <v>386</v>
      </c>
      <c r="F338" s="32">
        <f t="shared" si="16"/>
        <v>568</v>
      </c>
      <c r="G338" s="2">
        <f t="shared" si="17"/>
        <v>244440.17137669746</v>
      </c>
      <c r="H338" s="26"/>
      <c r="I338" s="27">
        <f t="shared" si="18"/>
      </c>
    </row>
    <row r="339" spans="1:9" ht="15">
      <c r="A339" s="28" t="s">
        <v>88</v>
      </c>
      <c r="B339" s="29">
        <v>1</v>
      </c>
      <c r="C339" s="29">
        <v>3</v>
      </c>
      <c r="D339" s="30">
        <v>800</v>
      </c>
      <c r="E339" s="31">
        <v>508</v>
      </c>
      <c r="F339" s="32">
        <f t="shared" si="16"/>
        <v>654</v>
      </c>
      <c r="G339" s="2">
        <f t="shared" si="17"/>
        <v>255433.13197993176</v>
      </c>
      <c r="H339" s="26"/>
      <c r="I339" s="27">
        <f t="shared" si="18"/>
      </c>
    </row>
    <row r="340" spans="1:9" ht="15">
      <c r="A340" s="28" t="s">
        <v>88</v>
      </c>
      <c r="B340" s="29">
        <v>1</v>
      </c>
      <c r="C340" s="29">
        <v>4</v>
      </c>
      <c r="D340" s="30">
        <v>2800</v>
      </c>
      <c r="E340" s="31">
        <v>703</v>
      </c>
      <c r="F340" s="32">
        <f t="shared" si="16"/>
        <v>1751.5</v>
      </c>
      <c r="G340" s="2">
        <f t="shared" si="17"/>
        <v>525577.5368267661</v>
      </c>
      <c r="H340" s="26"/>
      <c r="I340" s="27">
        <f t="shared" si="18"/>
      </c>
    </row>
    <row r="341" spans="1:9" ht="15">
      <c r="A341" s="28" t="s">
        <v>88</v>
      </c>
      <c r="B341" s="29">
        <v>1</v>
      </c>
      <c r="C341" s="29">
        <v>3</v>
      </c>
      <c r="D341" s="30">
        <v>600</v>
      </c>
      <c r="E341" s="31">
        <v>68</v>
      </c>
      <c r="F341" s="32">
        <f t="shared" si="16"/>
        <v>334</v>
      </c>
      <c r="G341" s="2">
        <f t="shared" si="17"/>
        <v>161767.1459477504</v>
      </c>
      <c r="H341" s="26"/>
      <c r="I341" s="27">
        <f t="shared" si="18"/>
      </c>
    </row>
    <row r="342" spans="1:9" ht="15.75" thickBot="1">
      <c r="A342" s="33" t="s">
        <v>88</v>
      </c>
      <c r="B342" s="34">
        <v>1</v>
      </c>
      <c r="C342" s="34">
        <v>1</v>
      </c>
      <c r="D342" s="35">
        <v>790</v>
      </c>
      <c r="E342" s="36">
        <v>295</v>
      </c>
      <c r="F342" s="37">
        <f t="shared" si="16"/>
        <v>542.5</v>
      </c>
      <c r="G342" s="38">
        <f t="shared" si="17"/>
        <v>114295.58682855708</v>
      </c>
      <c r="H342" s="39">
        <f>SUM(G324:G342)</f>
        <v>12670886.145682981</v>
      </c>
      <c r="I342" s="27">
        <f t="shared" si="18"/>
        <v>12671259.795682982</v>
      </c>
    </row>
    <row r="343" spans="1:9" ht="15.75" thickBot="1">
      <c r="A343" s="40" t="s">
        <v>89</v>
      </c>
      <c r="B343" s="41">
        <v>1</v>
      </c>
      <c r="C343" s="41">
        <v>4</v>
      </c>
      <c r="D343" s="42">
        <v>25000</v>
      </c>
      <c r="E343" s="43">
        <v>12670</v>
      </c>
      <c r="F343" s="14">
        <f t="shared" si="16"/>
        <v>18835</v>
      </c>
      <c r="G343" s="15">
        <f t="shared" si="17"/>
        <v>2641728.688083999</v>
      </c>
      <c r="H343" s="39">
        <f>G343</f>
        <v>2641728.688083999</v>
      </c>
      <c r="I343" s="27">
        <f t="shared" si="18"/>
        <v>2642102.3380839988</v>
      </c>
    </row>
    <row r="344" spans="1:9" ht="15">
      <c r="A344" s="20" t="s">
        <v>90</v>
      </c>
      <c r="B344" s="21">
        <v>1</v>
      </c>
      <c r="C344" s="21">
        <v>5</v>
      </c>
      <c r="D344" s="22">
        <v>32000</v>
      </c>
      <c r="E344" s="23">
        <v>28555</v>
      </c>
      <c r="F344" s="24">
        <f t="shared" si="16"/>
        <v>30277.5</v>
      </c>
      <c r="G344" s="25">
        <f t="shared" si="17"/>
        <v>4329304.474547121</v>
      </c>
      <c r="H344" s="26"/>
      <c r="I344" s="27">
        <f t="shared" si="18"/>
      </c>
    </row>
    <row r="345" spans="1:9" ht="15">
      <c r="A345" s="28" t="s">
        <v>90</v>
      </c>
      <c r="B345" s="29">
        <v>1</v>
      </c>
      <c r="C345" s="29">
        <v>5</v>
      </c>
      <c r="D345" s="30">
        <v>23500</v>
      </c>
      <c r="E345" s="31">
        <v>22728</v>
      </c>
      <c r="F345" s="32">
        <f t="shared" si="16"/>
        <v>23114</v>
      </c>
      <c r="G345" s="2">
        <f t="shared" si="17"/>
        <v>3603421.3271704805</v>
      </c>
      <c r="H345" s="26"/>
      <c r="I345" s="27">
        <f t="shared" si="18"/>
      </c>
    </row>
    <row r="346" spans="1:9" ht="15">
      <c r="A346" s="28" t="s">
        <v>90</v>
      </c>
      <c r="B346" s="29">
        <v>1</v>
      </c>
      <c r="C346" s="29">
        <v>5</v>
      </c>
      <c r="D346" s="30">
        <v>11000</v>
      </c>
      <c r="E346" s="31">
        <v>3986</v>
      </c>
      <c r="F346" s="32">
        <f t="shared" si="16"/>
        <v>7493</v>
      </c>
      <c r="G346" s="2">
        <f t="shared" si="17"/>
        <v>1675497.223871766</v>
      </c>
      <c r="H346" s="26"/>
      <c r="I346" s="27">
        <f t="shared" si="18"/>
      </c>
    </row>
    <row r="347" spans="1:9" ht="15">
      <c r="A347" s="28" t="s">
        <v>90</v>
      </c>
      <c r="B347" s="29">
        <v>1</v>
      </c>
      <c r="C347" s="29">
        <v>5</v>
      </c>
      <c r="D347" s="30">
        <v>9100</v>
      </c>
      <c r="E347" s="31">
        <v>3566</v>
      </c>
      <c r="F347" s="32">
        <f t="shared" si="16"/>
        <v>6333</v>
      </c>
      <c r="G347" s="2">
        <f t="shared" si="17"/>
        <v>1494468.8785254841</v>
      </c>
      <c r="H347" s="26"/>
      <c r="I347" s="27">
        <f t="shared" si="18"/>
      </c>
    </row>
    <row r="348" spans="1:9" ht="15">
      <c r="A348" s="28" t="s">
        <v>90</v>
      </c>
      <c r="B348" s="29">
        <v>1</v>
      </c>
      <c r="C348" s="29">
        <v>5</v>
      </c>
      <c r="D348" s="30">
        <v>7000</v>
      </c>
      <c r="E348" s="31">
        <v>2108</v>
      </c>
      <c r="F348" s="32">
        <f t="shared" si="16"/>
        <v>4554</v>
      </c>
      <c r="G348" s="2">
        <f t="shared" si="17"/>
        <v>1194340.9548248823</v>
      </c>
      <c r="H348" s="26"/>
      <c r="I348" s="27">
        <f t="shared" si="18"/>
      </c>
    </row>
    <row r="349" spans="1:9" ht="15">
      <c r="A349" s="28" t="s">
        <v>90</v>
      </c>
      <c r="B349" s="29">
        <v>1</v>
      </c>
      <c r="C349" s="29">
        <v>4</v>
      </c>
      <c r="D349" s="30">
        <v>4000</v>
      </c>
      <c r="E349" s="31">
        <v>1035</v>
      </c>
      <c r="F349" s="32">
        <f t="shared" si="16"/>
        <v>2517.5</v>
      </c>
      <c r="G349" s="2">
        <f t="shared" si="17"/>
        <v>672582.6079800572</v>
      </c>
      <c r="H349" s="26"/>
      <c r="I349" s="27">
        <f t="shared" si="18"/>
      </c>
    </row>
    <row r="350" spans="1:9" ht="15">
      <c r="A350" s="28" t="s">
        <v>90</v>
      </c>
      <c r="B350" s="29">
        <v>1</v>
      </c>
      <c r="C350" s="29">
        <v>4</v>
      </c>
      <c r="D350" s="30">
        <v>3000</v>
      </c>
      <c r="E350" s="31">
        <v>2439</v>
      </c>
      <c r="F350" s="32">
        <f t="shared" si="16"/>
        <v>2719.5</v>
      </c>
      <c r="G350" s="2">
        <f t="shared" si="17"/>
        <v>708813.9334092904</v>
      </c>
      <c r="H350" s="26"/>
      <c r="I350" s="27">
        <f t="shared" si="18"/>
      </c>
    </row>
    <row r="351" spans="1:9" ht="15">
      <c r="A351" s="28" t="s">
        <v>90</v>
      </c>
      <c r="B351" s="29">
        <v>1</v>
      </c>
      <c r="C351" s="29">
        <v>4</v>
      </c>
      <c r="D351" s="30">
        <v>3000</v>
      </c>
      <c r="E351" s="31">
        <v>1737</v>
      </c>
      <c r="F351" s="32">
        <f t="shared" si="16"/>
        <v>2368.5</v>
      </c>
      <c r="G351" s="2">
        <f t="shared" si="17"/>
        <v>645258.2869107312</v>
      </c>
      <c r="H351" s="26"/>
      <c r="I351" s="27">
        <f t="shared" si="18"/>
      </c>
    </row>
    <row r="352" spans="1:9" ht="15">
      <c r="A352" s="28" t="s">
        <v>90</v>
      </c>
      <c r="B352" s="29">
        <v>1</v>
      </c>
      <c r="C352" s="29">
        <v>4</v>
      </c>
      <c r="D352" s="30">
        <v>2400</v>
      </c>
      <c r="E352" s="31">
        <v>513</v>
      </c>
      <c r="F352" s="32">
        <f t="shared" si="16"/>
        <v>1456.5</v>
      </c>
      <c r="G352" s="2">
        <f t="shared" si="17"/>
        <v>463644.43487453536</v>
      </c>
      <c r="H352" s="26"/>
      <c r="I352" s="27">
        <f t="shared" si="18"/>
      </c>
    </row>
    <row r="353" spans="1:9" ht="15.75" thickBot="1">
      <c r="A353" s="33" t="s">
        <v>90</v>
      </c>
      <c r="B353" s="34">
        <v>1</v>
      </c>
      <c r="C353" s="34">
        <v>4</v>
      </c>
      <c r="D353" s="35">
        <v>1000</v>
      </c>
      <c r="E353" s="36">
        <v>481</v>
      </c>
      <c r="F353" s="37">
        <f t="shared" si="16"/>
        <v>740.5</v>
      </c>
      <c r="G353" s="38">
        <f t="shared" si="17"/>
        <v>292731.675593305</v>
      </c>
      <c r="H353" s="39">
        <f>SUM(G344:G353)</f>
        <v>15080063.797707653</v>
      </c>
      <c r="I353" s="27">
        <f t="shared" si="18"/>
        <v>15080437.447707653</v>
      </c>
    </row>
    <row r="354" spans="1:9" ht="15">
      <c r="A354" s="20" t="s">
        <v>91</v>
      </c>
      <c r="B354" s="21">
        <v>1</v>
      </c>
      <c r="C354" s="21">
        <v>5</v>
      </c>
      <c r="D354" s="22">
        <v>16500</v>
      </c>
      <c r="E354" s="23">
        <v>17026</v>
      </c>
      <c r="F354" s="24">
        <f t="shared" si="16"/>
        <v>16763</v>
      </c>
      <c r="G354" s="25">
        <f t="shared" si="17"/>
        <v>2896456.8423568355</v>
      </c>
      <c r="H354" s="26"/>
      <c r="I354" s="27">
        <f t="shared" si="18"/>
      </c>
    </row>
    <row r="355" spans="1:9" ht="15">
      <c r="A355" s="28" t="s">
        <v>91</v>
      </c>
      <c r="B355" s="29">
        <v>1</v>
      </c>
      <c r="C355" s="29">
        <v>5</v>
      </c>
      <c r="D355" s="30">
        <v>12000</v>
      </c>
      <c r="E355" s="31">
        <v>4936</v>
      </c>
      <c r="F355" s="32">
        <f t="shared" si="16"/>
        <v>8468</v>
      </c>
      <c r="G355" s="2">
        <f t="shared" si="17"/>
        <v>1820782.903885707</v>
      </c>
      <c r="H355" s="26"/>
      <c r="I355" s="27">
        <f t="shared" si="18"/>
      </c>
    </row>
    <row r="356" spans="1:9" ht="15.75" thickBot="1">
      <c r="A356" s="33" t="s">
        <v>91</v>
      </c>
      <c r="B356" s="34">
        <v>1</v>
      </c>
      <c r="C356" s="34">
        <v>5</v>
      </c>
      <c r="D356" s="35">
        <v>6000</v>
      </c>
      <c r="E356" s="36">
        <v>12237</v>
      </c>
      <c r="F356" s="37">
        <f t="shared" si="16"/>
        <v>9118.5</v>
      </c>
      <c r="G356" s="38">
        <f t="shared" si="17"/>
        <v>1914734.9938045144</v>
      </c>
      <c r="H356" s="39">
        <f>SUM(G354:G356)</f>
        <v>6631974.740047057</v>
      </c>
      <c r="I356" s="27">
        <f t="shared" si="18"/>
        <v>6632348.3900470575</v>
      </c>
    </row>
    <row r="357" spans="1:9" ht="15">
      <c r="A357" s="20" t="s">
        <v>10</v>
      </c>
      <c r="B357" s="21">
        <v>2</v>
      </c>
      <c r="C357" s="21">
        <v>4</v>
      </c>
      <c r="D357" s="22">
        <v>6000</v>
      </c>
      <c r="E357" s="23">
        <v>554</v>
      </c>
      <c r="F357" s="24">
        <f t="shared" si="16"/>
        <v>3277</v>
      </c>
      <c r="G357" s="25">
        <f t="shared" si="17"/>
        <v>804613.7793345803</v>
      </c>
      <c r="H357" s="26"/>
      <c r="I357" s="27">
        <f t="shared" si="18"/>
      </c>
    </row>
    <row r="358" spans="1:9" ht="15">
      <c r="A358" s="28" t="s">
        <v>10</v>
      </c>
      <c r="B358" s="29">
        <v>2</v>
      </c>
      <c r="C358" s="29">
        <v>5</v>
      </c>
      <c r="D358" s="30">
        <v>3500</v>
      </c>
      <c r="E358" s="31">
        <v>4013</v>
      </c>
      <c r="F358" s="32">
        <f t="shared" si="16"/>
        <v>3756.5</v>
      </c>
      <c r="G358" s="2">
        <f t="shared" si="17"/>
        <v>1097482.2300535575</v>
      </c>
      <c r="H358" s="26"/>
      <c r="I358" s="27">
        <f t="shared" si="18"/>
      </c>
    </row>
    <row r="359" spans="1:9" ht="15.75" thickBot="1">
      <c r="A359" s="33" t="s">
        <v>10</v>
      </c>
      <c r="B359" s="34">
        <v>1</v>
      </c>
      <c r="C359" s="34">
        <v>5</v>
      </c>
      <c r="D359" s="35">
        <v>7000</v>
      </c>
      <c r="E359" s="36">
        <v>3294</v>
      </c>
      <c r="F359" s="37">
        <f t="shared" si="16"/>
        <v>5147</v>
      </c>
      <c r="G359" s="38">
        <f t="shared" si="17"/>
        <v>1297977.813707758</v>
      </c>
      <c r="H359" s="39">
        <f>SUM(G357:G359)</f>
        <v>3200073.823095896</v>
      </c>
      <c r="I359" s="27">
        <f t="shared" si="18"/>
        <v>3200447.4730958957</v>
      </c>
    </row>
    <row r="360" spans="1:9" ht="15">
      <c r="A360" s="20" t="s">
        <v>92</v>
      </c>
      <c r="B360" s="21">
        <v>2</v>
      </c>
      <c r="C360" s="21">
        <v>5</v>
      </c>
      <c r="D360" s="22">
        <v>120000</v>
      </c>
      <c r="E360" s="23">
        <v>60938</v>
      </c>
      <c r="F360" s="24">
        <f t="shared" si="16"/>
        <v>90469</v>
      </c>
      <c r="G360" s="25">
        <f t="shared" si="17"/>
        <v>9543074.264565583</v>
      </c>
      <c r="H360" s="26"/>
      <c r="I360" s="27">
        <f t="shared" si="18"/>
      </c>
    </row>
    <row r="361" spans="1:9" ht="15">
      <c r="A361" s="28" t="s">
        <v>92</v>
      </c>
      <c r="B361" s="29">
        <v>2</v>
      </c>
      <c r="C361" s="29">
        <v>5</v>
      </c>
      <c r="D361" s="30">
        <v>11500</v>
      </c>
      <c r="E361" s="31">
        <v>4177</v>
      </c>
      <c r="F361" s="32">
        <f t="shared" si="16"/>
        <v>7838.5</v>
      </c>
      <c r="G361" s="2">
        <f t="shared" si="17"/>
        <v>1809503.0289454276</v>
      </c>
      <c r="H361" s="26"/>
      <c r="I361" s="27">
        <f t="shared" si="18"/>
      </c>
    </row>
    <row r="362" spans="1:9" ht="15">
      <c r="A362" s="28" t="s">
        <v>92</v>
      </c>
      <c r="B362" s="29">
        <v>1</v>
      </c>
      <c r="C362" s="29">
        <v>5</v>
      </c>
      <c r="D362" s="30">
        <v>7500</v>
      </c>
      <c r="E362" s="31">
        <v>3892</v>
      </c>
      <c r="F362" s="32">
        <f t="shared" si="16"/>
        <v>5696</v>
      </c>
      <c r="G362" s="2">
        <f t="shared" si="17"/>
        <v>1390558.353663598</v>
      </c>
      <c r="H362" s="26"/>
      <c r="I362" s="27">
        <f t="shared" si="18"/>
      </c>
    </row>
    <row r="363" spans="1:9" ht="15">
      <c r="A363" s="28" t="s">
        <v>92</v>
      </c>
      <c r="B363" s="29">
        <v>2</v>
      </c>
      <c r="C363" s="29">
        <v>5</v>
      </c>
      <c r="D363" s="30">
        <v>5145</v>
      </c>
      <c r="E363" s="31">
        <v>3165</v>
      </c>
      <c r="F363" s="32">
        <f t="shared" si="16"/>
        <v>4155</v>
      </c>
      <c r="G363" s="2">
        <f t="shared" si="17"/>
        <v>1175342.2047932837</v>
      </c>
      <c r="H363" s="26"/>
      <c r="I363" s="27">
        <f t="shared" si="18"/>
      </c>
    </row>
    <row r="364" spans="1:9" ht="15">
      <c r="A364" s="28" t="s">
        <v>92</v>
      </c>
      <c r="B364" s="29">
        <v>1</v>
      </c>
      <c r="C364" s="29">
        <v>4</v>
      </c>
      <c r="D364" s="30">
        <v>700</v>
      </c>
      <c r="E364" s="31">
        <v>363</v>
      </c>
      <c r="F364" s="32">
        <f t="shared" si="16"/>
        <v>531.5</v>
      </c>
      <c r="G364" s="2">
        <f t="shared" si="17"/>
        <v>233648.87974085257</v>
      </c>
      <c r="H364" s="26"/>
      <c r="I364" s="27">
        <f t="shared" si="18"/>
      </c>
    </row>
    <row r="365" spans="1:9" ht="15">
      <c r="A365" s="28" t="s">
        <v>92</v>
      </c>
      <c r="B365" s="29">
        <v>1</v>
      </c>
      <c r="C365" s="29">
        <v>4</v>
      </c>
      <c r="D365" s="30">
        <v>630</v>
      </c>
      <c r="E365" s="31">
        <v>654</v>
      </c>
      <c r="F365" s="32">
        <f t="shared" si="16"/>
        <v>642</v>
      </c>
      <c r="G365" s="2">
        <f t="shared" si="17"/>
        <v>265661.66670908505</v>
      </c>
      <c r="H365" s="26"/>
      <c r="I365" s="27">
        <f t="shared" si="18"/>
      </c>
    </row>
    <row r="366" spans="1:9" ht="15">
      <c r="A366" s="28" t="s">
        <v>92</v>
      </c>
      <c r="B366" s="29">
        <v>1</v>
      </c>
      <c r="C366" s="29">
        <v>3</v>
      </c>
      <c r="D366" s="30">
        <v>100</v>
      </c>
      <c r="E366" s="31">
        <v>80</v>
      </c>
      <c r="F366" s="32">
        <f t="shared" si="16"/>
        <v>90</v>
      </c>
      <c r="G366" s="2">
        <f t="shared" si="17"/>
        <v>66334.81665212763</v>
      </c>
      <c r="H366" s="26"/>
      <c r="I366" s="27">
        <f t="shared" si="18"/>
      </c>
    </row>
    <row r="367" spans="1:9" ht="15">
      <c r="A367" s="28" t="s">
        <v>92</v>
      </c>
      <c r="B367" s="29">
        <v>1</v>
      </c>
      <c r="C367" s="29">
        <v>1</v>
      </c>
      <c r="D367" s="30">
        <v>165</v>
      </c>
      <c r="E367" s="31">
        <v>150</v>
      </c>
      <c r="F367" s="32">
        <f t="shared" si="16"/>
        <v>157.5</v>
      </c>
      <c r="G367" s="2">
        <f t="shared" si="17"/>
        <v>49305.55369389092</v>
      </c>
      <c r="H367" s="26"/>
      <c r="I367" s="27">
        <f t="shared" si="18"/>
      </c>
    </row>
    <row r="368" spans="1:9" ht="15">
      <c r="A368" s="28" t="s">
        <v>92</v>
      </c>
      <c r="B368" s="29">
        <v>1</v>
      </c>
      <c r="C368" s="29">
        <v>1</v>
      </c>
      <c r="D368" s="30">
        <v>75</v>
      </c>
      <c r="E368" s="31">
        <v>62</v>
      </c>
      <c r="F368" s="32">
        <f t="shared" si="16"/>
        <v>68.5</v>
      </c>
      <c r="G368" s="2">
        <f t="shared" si="17"/>
        <v>27995.418707525027</v>
      </c>
      <c r="H368" s="26"/>
      <c r="I368" s="27">
        <f t="shared" si="18"/>
      </c>
    </row>
    <row r="369" spans="1:9" ht="15">
      <c r="A369" s="28" t="s">
        <v>92</v>
      </c>
      <c r="B369" s="29">
        <v>1</v>
      </c>
      <c r="C369" s="29">
        <v>1</v>
      </c>
      <c r="D369" s="30">
        <v>40</v>
      </c>
      <c r="E369" s="31">
        <v>20</v>
      </c>
      <c r="F369" s="32">
        <f t="shared" si="16"/>
        <v>30</v>
      </c>
      <c r="G369" s="2">
        <f t="shared" si="17"/>
        <v>15970.979262411765</v>
      </c>
      <c r="H369" s="26"/>
      <c r="I369" s="27">
        <f t="shared" si="18"/>
      </c>
    </row>
    <row r="370" spans="1:9" ht="15">
      <c r="A370" s="28" t="s">
        <v>92</v>
      </c>
      <c r="B370" s="29">
        <v>1</v>
      </c>
      <c r="C370" s="29">
        <v>1</v>
      </c>
      <c r="D370" s="30">
        <v>50</v>
      </c>
      <c r="E370" s="31">
        <v>50</v>
      </c>
      <c r="F370" s="32">
        <f t="shared" si="16"/>
        <v>50</v>
      </c>
      <c r="G370" s="2">
        <f t="shared" si="17"/>
        <v>22601.867559873106</v>
      </c>
      <c r="H370" s="26"/>
      <c r="I370" s="27">
        <f t="shared" si="18"/>
      </c>
    </row>
    <row r="371" spans="1:9" ht="15">
      <c r="A371" s="28" t="s">
        <v>92</v>
      </c>
      <c r="B371" s="29">
        <v>1</v>
      </c>
      <c r="C371" s="29">
        <v>1</v>
      </c>
      <c r="D371" s="30">
        <v>45</v>
      </c>
      <c r="E371" s="31">
        <v>45</v>
      </c>
      <c r="F371" s="32">
        <f t="shared" si="16"/>
        <v>45</v>
      </c>
      <c r="G371" s="2">
        <f t="shared" si="17"/>
        <v>21039.643834592174</v>
      </c>
      <c r="H371" s="26"/>
      <c r="I371" s="27">
        <f t="shared" si="18"/>
      </c>
    </row>
    <row r="372" spans="1:9" ht="15">
      <c r="A372" s="28" t="s">
        <v>92</v>
      </c>
      <c r="B372" s="29">
        <v>1</v>
      </c>
      <c r="C372" s="29">
        <v>1</v>
      </c>
      <c r="D372" s="30">
        <v>30</v>
      </c>
      <c r="E372" s="31">
        <v>30</v>
      </c>
      <c r="F372" s="32">
        <f t="shared" si="16"/>
        <v>30</v>
      </c>
      <c r="G372" s="2">
        <f t="shared" si="17"/>
        <v>15970.979262411765</v>
      </c>
      <c r="H372" s="26"/>
      <c r="I372" s="27">
        <f t="shared" si="18"/>
      </c>
    </row>
    <row r="373" spans="1:9" ht="15">
      <c r="A373" s="28" t="s">
        <v>92</v>
      </c>
      <c r="B373" s="29">
        <v>1</v>
      </c>
      <c r="C373" s="29">
        <v>1</v>
      </c>
      <c r="D373" s="30">
        <v>80</v>
      </c>
      <c r="E373" s="31">
        <v>80</v>
      </c>
      <c r="F373" s="32">
        <f t="shared" si="16"/>
        <v>80</v>
      </c>
      <c r="G373" s="2">
        <f t="shared" si="17"/>
        <v>31110.363818285037</v>
      </c>
      <c r="H373" s="26"/>
      <c r="I373" s="27">
        <f t="shared" si="18"/>
      </c>
    </row>
    <row r="374" spans="1:9" ht="15.75" thickBot="1">
      <c r="A374" s="28" t="s">
        <v>92</v>
      </c>
      <c r="B374" s="29">
        <v>1</v>
      </c>
      <c r="C374" s="29">
        <v>1</v>
      </c>
      <c r="D374" s="30">
        <v>35</v>
      </c>
      <c r="E374" s="31">
        <v>35</v>
      </c>
      <c r="F374" s="32">
        <f t="shared" si="16"/>
        <v>35</v>
      </c>
      <c r="G374" s="2">
        <f t="shared" si="17"/>
        <v>17735.44024388044</v>
      </c>
      <c r="H374" s="39">
        <f>SUM(G360:G374)</f>
        <v>14685853.461452829</v>
      </c>
      <c r="I374" s="27">
        <f t="shared" si="18"/>
        <v>14686227.11145283</v>
      </c>
    </row>
    <row r="375" spans="1:9" ht="15">
      <c r="A375" s="20" t="s">
        <v>93</v>
      </c>
      <c r="B375" s="21">
        <v>2</v>
      </c>
      <c r="C375" s="21">
        <v>5</v>
      </c>
      <c r="D375" s="22">
        <v>15000</v>
      </c>
      <c r="E375" s="23">
        <v>29963</v>
      </c>
      <c r="F375" s="24">
        <f t="shared" si="16"/>
        <v>22481.5</v>
      </c>
      <c r="G375" s="25">
        <f t="shared" si="17"/>
        <v>3703655.426939307</v>
      </c>
      <c r="H375" s="26"/>
      <c r="I375" s="27">
        <f t="shared" si="18"/>
      </c>
    </row>
    <row r="376" spans="1:9" ht="15">
      <c r="A376" s="28" t="s">
        <v>93</v>
      </c>
      <c r="B376" s="29">
        <v>1</v>
      </c>
      <c r="C376" s="29">
        <v>5</v>
      </c>
      <c r="D376" s="30">
        <v>9130</v>
      </c>
      <c r="E376" s="31">
        <v>4180</v>
      </c>
      <c r="F376" s="32">
        <f t="shared" si="16"/>
        <v>6655</v>
      </c>
      <c r="G376" s="2">
        <f t="shared" si="17"/>
        <v>1545712.7761881945</v>
      </c>
      <c r="H376" s="26"/>
      <c r="I376" s="27">
        <f t="shared" si="18"/>
      </c>
    </row>
    <row r="377" spans="1:9" ht="15">
      <c r="A377" s="28" t="s">
        <v>93</v>
      </c>
      <c r="B377" s="29">
        <v>2</v>
      </c>
      <c r="C377" s="29">
        <v>5</v>
      </c>
      <c r="D377" s="30">
        <v>8000</v>
      </c>
      <c r="E377" s="31">
        <v>2849</v>
      </c>
      <c r="F377" s="32">
        <f t="shared" si="16"/>
        <v>5424.5</v>
      </c>
      <c r="G377" s="2">
        <f t="shared" si="17"/>
        <v>1408891.275048577</v>
      </c>
      <c r="H377" s="26"/>
      <c r="I377" s="27">
        <f t="shared" si="18"/>
      </c>
    </row>
    <row r="378" spans="1:9" ht="15">
      <c r="A378" s="28" t="s">
        <v>93</v>
      </c>
      <c r="B378" s="29">
        <v>2</v>
      </c>
      <c r="C378" s="29">
        <v>5</v>
      </c>
      <c r="D378" s="30">
        <v>7800</v>
      </c>
      <c r="E378" s="31">
        <v>8650</v>
      </c>
      <c r="F378" s="32">
        <f t="shared" si="16"/>
        <v>8225</v>
      </c>
      <c r="G378" s="2">
        <f t="shared" si="17"/>
        <v>1869687.9786672278</v>
      </c>
      <c r="H378" s="26"/>
      <c r="I378" s="27">
        <f t="shared" si="18"/>
      </c>
    </row>
    <row r="379" spans="1:9" ht="15">
      <c r="A379" s="28" t="s">
        <v>93</v>
      </c>
      <c r="B379" s="29">
        <v>1</v>
      </c>
      <c r="C379" s="29">
        <v>5</v>
      </c>
      <c r="D379" s="30">
        <v>6500</v>
      </c>
      <c r="E379" s="31">
        <v>7404</v>
      </c>
      <c r="F379" s="32">
        <f t="shared" si="16"/>
        <v>6952</v>
      </c>
      <c r="G379" s="2">
        <f t="shared" si="17"/>
        <v>1592278.2497539844</v>
      </c>
      <c r="H379" s="26"/>
      <c r="I379" s="27">
        <f t="shared" si="18"/>
      </c>
    </row>
    <row r="380" spans="1:9" ht="15">
      <c r="A380" s="28" t="s">
        <v>93</v>
      </c>
      <c r="B380" s="29">
        <v>1</v>
      </c>
      <c r="C380" s="29">
        <v>5</v>
      </c>
      <c r="D380" s="30">
        <v>6000</v>
      </c>
      <c r="E380" s="31">
        <v>7245</v>
      </c>
      <c r="F380" s="32">
        <f t="shared" si="16"/>
        <v>6622.5</v>
      </c>
      <c r="G380" s="2">
        <f t="shared" si="17"/>
        <v>1540577.2445127985</v>
      </c>
      <c r="H380" s="26"/>
      <c r="I380" s="27">
        <f t="shared" si="18"/>
      </c>
    </row>
    <row r="381" spans="1:9" ht="15">
      <c r="A381" s="28" t="s">
        <v>93</v>
      </c>
      <c r="B381" s="29">
        <v>2</v>
      </c>
      <c r="C381" s="29">
        <v>5</v>
      </c>
      <c r="D381" s="30">
        <v>6000</v>
      </c>
      <c r="E381" s="31">
        <v>5966</v>
      </c>
      <c r="F381" s="32">
        <f t="shared" si="16"/>
        <v>5983</v>
      </c>
      <c r="G381" s="2">
        <f t="shared" si="17"/>
        <v>1505945.6020785945</v>
      </c>
      <c r="H381" s="26"/>
      <c r="I381" s="27">
        <f t="shared" si="18"/>
      </c>
    </row>
    <row r="382" spans="1:9" ht="15">
      <c r="A382" s="28" t="s">
        <v>93</v>
      </c>
      <c r="B382" s="29">
        <v>2</v>
      </c>
      <c r="C382" s="29">
        <v>5</v>
      </c>
      <c r="D382" s="30">
        <v>3200</v>
      </c>
      <c r="E382" s="31">
        <v>2419</v>
      </c>
      <c r="F382" s="32">
        <f t="shared" si="16"/>
        <v>2809.5</v>
      </c>
      <c r="G382" s="2">
        <f t="shared" si="17"/>
        <v>900819.472183563</v>
      </c>
      <c r="H382" s="26"/>
      <c r="I382" s="27">
        <f t="shared" si="18"/>
      </c>
    </row>
    <row r="383" spans="1:9" ht="15.75" thickBot="1">
      <c r="A383" s="33" t="s">
        <v>93</v>
      </c>
      <c r="B383" s="34">
        <v>1</v>
      </c>
      <c r="C383" s="34">
        <v>5</v>
      </c>
      <c r="D383" s="35">
        <v>1100</v>
      </c>
      <c r="E383" s="36">
        <v>611</v>
      </c>
      <c r="F383" s="37">
        <f t="shared" si="16"/>
        <v>855.5</v>
      </c>
      <c r="G383" s="38">
        <f t="shared" si="17"/>
        <v>383244.4824026057</v>
      </c>
      <c r="H383" s="39">
        <f>SUM(G375:G383)</f>
        <v>14450812.507774852</v>
      </c>
      <c r="I383" s="27">
        <f t="shared" si="18"/>
        <v>14451186.157774853</v>
      </c>
    </row>
    <row r="384" spans="1:9" ht="15">
      <c r="A384" s="20" t="s">
        <v>94</v>
      </c>
      <c r="B384" s="21">
        <v>1</v>
      </c>
      <c r="C384" s="21">
        <v>5</v>
      </c>
      <c r="D384" s="22">
        <v>23700</v>
      </c>
      <c r="E384" s="23">
        <v>13127</v>
      </c>
      <c r="F384" s="24">
        <f t="shared" si="16"/>
        <v>18413.5</v>
      </c>
      <c r="G384" s="25">
        <f t="shared" si="17"/>
        <v>3087396.6862056768</v>
      </c>
      <c r="H384" s="26"/>
      <c r="I384" s="27">
        <f t="shared" si="18"/>
      </c>
    </row>
    <row r="385" spans="1:9" ht="15">
      <c r="A385" s="28" t="s">
        <v>94</v>
      </c>
      <c r="B385" s="29">
        <v>1</v>
      </c>
      <c r="C385" s="29">
        <v>5</v>
      </c>
      <c r="D385" s="30">
        <v>16000</v>
      </c>
      <c r="E385" s="31">
        <v>9244</v>
      </c>
      <c r="F385" s="32">
        <f t="shared" si="16"/>
        <v>12622</v>
      </c>
      <c r="G385" s="2">
        <f t="shared" si="17"/>
        <v>2388359.397554006</v>
      </c>
      <c r="H385" s="26"/>
      <c r="I385" s="27">
        <f t="shared" si="18"/>
      </c>
    </row>
    <row r="386" spans="1:9" ht="15">
      <c r="A386" s="28" t="s">
        <v>94</v>
      </c>
      <c r="B386" s="29">
        <v>1</v>
      </c>
      <c r="C386" s="29">
        <v>5</v>
      </c>
      <c r="D386" s="30">
        <v>2200</v>
      </c>
      <c r="E386" s="31">
        <v>1472</v>
      </c>
      <c r="F386" s="32">
        <f t="shared" si="16"/>
        <v>1836</v>
      </c>
      <c r="G386" s="2">
        <f t="shared" si="17"/>
        <v>644070.4754383625</v>
      </c>
      <c r="H386" s="26"/>
      <c r="I386" s="27">
        <f t="shared" si="18"/>
      </c>
    </row>
    <row r="387" spans="1:9" ht="15.75" thickBot="1">
      <c r="A387" s="33" t="s">
        <v>94</v>
      </c>
      <c r="B387" s="34">
        <v>1</v>
      </c>
      <c r="C387" s="34">
        <v>4</v>
      </c>
      <c r="D387" s="35">
        <v>150</v>
      </c>
      <c r="E387" s="36">
        <v>103</v>
      </c>
      <c r="F387" s="37">
        <f aca="true" t="shared" si="19" ref="F387:F450">(D387+E387)/2</f>
        <v>126.5</v>
      </c>
      <c r="G387" s="38">
        <f aca="true" t="shared" si="20" ref="G387:G450">IF(C387=1,1581.92*(F387^0.6798),IF(C387=2,2991.14*(F387^0.6798),IF(C387=3,3113.49*(F387^0.6798),IF(C387=4,3279.19*(F387^0.6798),IF(C387=5,IF(B387=1,3891.82*(F387^0.6798),IF(B387=2,4076.24*(F387^0.6798),0)),0)))))</f>
        <v>88057.77752078514</v>
      </c>
      <c r="H387" s="39">
        <f>SUM(G384:G387)</f>
        <v>6207884.336718829</v>
      </c>
      <c r="I387" s="27">
        <f t="shared" si="18"/>
        <v>6208257.98671883</v>
      </c>
    </row>
    <row r="388" spans="1:9" ht="15">
      <c r="A388" s="20" t="s">
        <v>95</v>
      </c>
      <c r="B388" s="21">
        <v>1</v>
      </c>
      <c r="C388" s="21">
        <v>5</v>
      </c>
      <c r="D388" s="22">
        <v>35000</v>
      </c>
      <c r="E388" s="23">
        <v>17853</v>
      </c>
      <c r="F388" s="24">
        <f t="shared" si="19"/>
        <v>26426.5</v>
      </c>
      <c r="G388" s="25">
        <f t="shared" si="20"/>
        <v>3946892.5024670074</v>
      </c>
      <c r="H388" s="26"/>
      <c r="I388" s="27">
        <f t="shared" si="18"/>
      </c>
    </row>
    <row r="389" spans="1:9" ht="15">
      <c r="A389" s="28" t="s">
        <v>95</v>
      </c>
      <c r="B389" s="29">
        <v>1</v>
      </c>
      <c r="C389" s="29">
        <v>5</v>
      </c>
      <c r="D389" s="30">
        <v>22000</v>
      </c>
      <c r="E389" s="31">
        <v>9252</v>
      </c>
      <c r="F389" s="32">
        <f t="shared" si="19"/>
        <v>15626</v>
      </c>
      <c r="G389" s="2">
        <f t="shared" si="20"/>
        <v>2761407.4588301675</v>
      </c>
      <c r="H389" s="26"/>
      <c r="I389" s="27">
        <f t="shared" si="18"/>
      </c>
    </row>
    <row r="390" spans="1:9" ht="15">
      <c r="A390" s="28" t="s">
        <v>95</v>
      </c>
      <c r="B390" s="29">
        <v>1</v>
      </c>
      <c r="C390" s="29">
        <v>5</v>
      </c>
      <c r="D390" s="30">
        <v>2800</v>
      </c>
      <c r="E390" s="31">
        <v>2537</v>
      </c>
      <c r="F390" s="32">
        <f t="shared" si="19"/>
        <v>2668.5</v>
      </c>
      <c r="G390" s="2">
        <f t="shared" si="20"/>
        <v>830480.0285860479</v>
      </c>
      <c r="H390" s="26"/>
      <c r="I390" s="27">
        <f t="shared" si="18"/>
      </c>
    </row>
    <row r="391" spans="1:9" ht="15">
      <c r="A391" s="28" t="s">
        <v>95</v>
      </c>
      <c r="B391" s="29">
        <v>1</v>
      </c>
      <c r="C391" s="29">
        <v>5</v>
      </c>
      <c r="D391" s="30">
        <v>3800</v>
      </c>
      <c r="E391" s="31">
        <v>1408</v>
      </c>
      <c r="F391" s="32">
        <f t="shared" si="19"/>
        <v>2604</v>
      </c>
      <c r="G391" s="2">
        <f t="shared" si="20"/>
        <v>816780.7312219607</v>
      </c>
      <c r="H391" s="26"/>
      <c r="I391" s="27">
        <f t="shared" si="18"/>
      </c>
    </row>
    <row r="392" spans="1:9" ht="15">
      <c r="A392" s="28" t="s">
        <v>95</v>
      </c>
      <c r="B392" s="29">
        <v>1</v>
      </c>
      <c r="C392" s="29">
        <v>5</v>
      </c>
      <c r="D392" s="30">
        <v>1860</v>
      </c>
      <c r="E392" s="31">
        <v>2462</v>
      </c>
      <c r="F392" s="32">
        <f t="shared" si="19"/>
        <v>2161</v>
      </c>
      <c r="G392" s="2">
        <f t="shared" si="20"/>
        <v>719533.5621227974</v>
      </c>
      <c r="H392" s="26"/>
      <c r="I392" s="27">
        <f t="shared" si="18"/>
      </c>
    </row>
    <row r="393" spans="1:9" ht="15">
      <c r="A393" s="28" t="s">
        <v>95</v>
      </c>
      <c r="B393" s="29">
        <v>1</v>
      </c>
      <c r="C393" s="29">
        <v>5</v>
      </c>
      <c r="D393" s="30">
        <v>950</v>
      </c>
      <c r="E393" s="31">
        <v>949</v>
      </c>
      <c r="F393" s="32">
        <f t="shared" si="19"/>
        <v>949.5</v>
      </c>
      <c r="G393" s="2">
        <f t="shared" si="20"/>
        <v>411390.0898165706</v>
      </c>
      <c r="H393" s="26"/>
      <c r="I393" s="27">
        <f t="shared" si="18"/>
      </c>
    </row>
    <row r="394" spans="1:9" ht="15.75" thickBot="1">
      <c r="A394" s="33" t="s">
        <v>95</v>
      </c>
      <c r="B394" s="34">
        <v>1</v>
      </c>
      <c r="C394" s="34">
        <v>2</v>
      </c>
      <c r="D394" s="35">
        <v>340</v>
      </c>
      <c r="E394" s="36">
        <v>98</v>
      </c>
      <c r="F394" s="37">
        <f t="shared" si="19"/>
        <v>219</v>
      </c>
      <c r="G394" s="38">
        <f t="shared" si="20"/>
        <v>116646.21466418396</v>
      </c>
      <c r="H394" s="39">
        <f>SUM(G388:G394)</f>
        <v>9603130.587708734</v>
      </c>
      <c r="I394" s="27">
        <f t="shared" si="18"/>
        <v>9603504.237708734</v>
      </c>
    </row>
    <row r="395" spans="1:9" ht="15">
      <c r="A395" s="20" t="s">
        <v>96</v>
      </c>
      <c r="B395" s="21">
        <v>1</v>
      </c>
      <c r="C395" s="21">
        <v>5</v>
      </c>
      <c r="D395" s="22">
        <v>6500</v>
      </c>
      <c r="E395" s="23">
        <v>4133</v>
      </c>
      <c r="F395" s="24">
        <f t="shared" si="19"/>
        <v>5316.5</v>
      </c>
      <c r="G395" s="25">
        <f t="shared" si="20"/>
        <v>1326884.6707370183</v>
      </c>
      <c r="H395" s="26"/>
      <c r="I395" s="27">
        <f t="shared" si="18"/>
      </c>
    </row>
    <row r="396" spans="1:9" ht="15">
      <c r="A396" s="28" t="s">
        <v>96</v>
      </c>
      <c r="B396" s="29">
        <v>2</v>
      </c>
      <c r="C396" s="29">
        <v>5</v>
      </c>
      <c r="D396" s="30">
        <v>43000</v>
      </c>
      <c r="E396" s="31">
        <v>24602</v>
      </c>
      <c r="F396" s="32">
        <f t="shared" si="19"/>
        <v>33801</v>
      </c>
      <c r="G396" s="2">
        <f t="shared" si="20"/>
        <v>4886816.750346203</v>
      </c>
      <c r="H396" s="26"/>
      <c r="I396" s="27">
        <f t="shared" si="18"/>
      </c>
    </row>
    <row r="397" spans="1:9" ht="15">
      <c r="A397" s="28" t="s">
        <v>96</v>
      </c>
      <c r="B397" s="29">
        <v>2</v>
      </c>
      <c r="C397" s="29">
        <v>5</v>
      </c>
      <c r="D397" s="30">
        <v>12000</v>
      </c>
      <c r="E397" s="31">
        <v>8288</v>
      </c>
      <c r="F397" s="32">
        <f t="shared" si="19"/>
        <v>10144</v>
      </c>
      <c r="G397" s="2">
        <f t="shared" si="20"/>
        <v>2156159.0226346147</v>
      </c>
      <c r="H397" s="26"/>
      <c r="I397" s="27">
        <f t="shared" si="18"/>
      </c>
    </row>
    <row r="398" spans="1:9" ht="15">
      <c r="A398" s="28" t="s">
        <v>96</v>
      </c>
      <c r="B398" s="29">
        <v>1</v>
      </c>
      <c r="C398" s="29">
        <v>5</v>
      </c>
      <c r="D398" s="30">
        <v>13000</v>
      </c>
      <c r="E398" s="31">
        <v>5917</v>
      </c>
      <c r="F398" s="32">
        <f t="shared" si="19"/>
        <v>9458.5</v>
      </c>
      <c r="G398" s="2">
        <f t="shared" si="20"/>
        <v>1962983.8360903948</v>
      </c>
      <c r="H398" s="26"/>
      <c r="I398" s="27">
        <f t="shared" si="18"/>
      </c>
    </row>
    <row r="399" spans="1:9" ht="15">
      <c r="A399" s="28" t="s">
        <v>96</v>
      </c>
      <c r="B399" s="29">
        <v>1</v>
      </c>
      <c r="C399" s="29">
        <v>3</v>
      </c>
      <c r="D399" s="30">
        <v>100</v>
      </c>
      <c r="E399" s="31">
        <v>100</v>
      </c>
      <c r="F399" s="32">
        <f t="shared" si="19"/>
        <v>100</v>
      </c>
      <c r="G399" s="2">
        <f t="shared" si="20"/>
        <v>71260.27191177095</v>
      </c>
      <c r="H399" s="26"/>
      <c r="I399" s="27">
        <f t="shared" si="18"/>
      </c>
    </row>
    <row r="400" spans="1:9" ht="15">
      <c r="A400" s="28" t="s">
        <v>96</v>
      </c>
      <c r="B400" s="29">
        <v>1</v>
      </c>
      <c r="C400" s="29">
        <v>5</v>
      </c>
      <c r="D400" s="30">
        <v>7000</v>
      </c>
      <c r="E400" s="31">
        <v>3502</v>
      </c>
      <c r="F400" s="32">
        <f t="shared" si="19"/>
        <v>5251</v>
      </c>
      <c r="G400" s="2">
        <f t="shared" si="20"/>
        <v>1315749.6695047827</v>
      </c>
      <c r="H400" s="26"/>
      <c r="I400" s="27">
        <f aca="true" t="shared" si="21" ref="I400:I463">IF(H400=0,"",H400+373.65)</f>
      </c>
    </row>
    <row r="401" spans="1:9" ht="15">
      <c r="A401" s="28" t="s">
        <v>96</v>
      </c>
      <c r="B401" s="29">
        <v>1</v>
      </c>
      <c r="C401" s="29">
        <v>5</v>
      </c>
      <c r="D401" s="30">
        <v>2500</v>
      </c>
      <c r="E401" s="31">
        <v>2039</v>
      </c>
      <c r="F401" s="32">
        <f t="shared" si="19"/>
        <v>2269.5</v>
      </c>
      <c r="G401" s="2">
        <f t="shared" si="20"/>
        <v>743899.1915796855</v>
      </c>
      <c r="H401" s="26"/>
      <c r="I401" s="27">
        <f t="shared" si="21"/>
      </c>
    </row>
    <row r="402" spans="1:9" ht="15">
      <c r="A402" s="28" t="s">
        <v>96</v>
      </c>
      <c r="B402" s="29">
        <v>1</v>
      </c>
      <c r="C402" s="29">
        <v>3</v>
      </c>
      <c r="D402" s="30">
        <v>50</v>
      </c>
      <c r="E402" s="31">
        <v>50</v>
      </c>
      <c r="F402" s="32">
        <f t="shared" si="19"/>
        <v>50</v>
      </c>
      <c r="G402" s="2">
        <f t="shared" si="20"/>
        <v>44484.35358867029</v>
      </c>
      <c r="H402" s="26"/>
      <c r="I402" s="27">
        <f t="shared" si="21"/>
      </c>
    </row>
    <row r="403" spans="1:9" ht="15.75" thickBot="1">
      <c r="A403" s="33" t="s">
        <v>96</v>
      </c>
      <c r="B403" s="34">
        <v>1</v>
      </c>
      <c r="C403" s="34">
        <v>1</v>
      </c>
      <c r="D403" s="35">
        <v>50</v>
      </c>
      <c r="E403" s="36">
        <v>50</v>
      </c>
      <c r="F403" s="37">
        <f t="shared" si="19"/>
        <v>50</v>
      </c>
      <c r="G403" s="38">
        <f t="shared" si="20"/>
        <v>22601.867559873106</v>
      </c>
      <c r="H403" s="39">
        <f>SUM(G395:G403)</f>
        <v>12530839.633953013</v>
      </c>
      <c r="I403" s="27">
        <f t="shared" si="21"/>
        <v>12531213.283953013</v>
      </c>
    </row>
    <row r="404" spans="1:9" ht="15">
      <c r="A404" s="20" t="s">
        <v>97</v>
      </c>
      <c r="B404" s="21">
        <v>1</v>
      </c>
      <c r="C404" s="21">
        <v>5</v>
      </c>
      <c r="D404" s="22">
        <v>2835</v>
      </c>
      <c r="E404" s="23">
        <v>1279.4</v>
      </c>
      <c r="F404" s="24">
        <f t="shared" si="19"/>
        <v>2057.2</v>
      </c>
      <c r="G404" s="25">
        <f t="shared" si="20"/>
        <v>695853.9885560052</v>
      </c>
      <c r="H404" s="26"/>
      <c r="I404" s="27">
        <f t="shared" si="21"/>
      </c>
    </row>
    <row r="405" spans="1:9" ht="15">
      <c r="A405" s="28" t="s">
        <v>97</v>
      </c>
      <c r="B405" s="29">
        <v>1</v>
      </c>
      <c r="C405" s="29">
        <v>4</v>
      </c>
      <c r="D405" s="30">
        <v>5145</v>
      </c>
      <c r="E405" s="31">
        <v>2400.1</v>
      </c>
      <c r="F405" s="32">
        <f t="shared" si="19"/>
        <v>3772.55</v>
      </c>
      <c r="G405" s="2">
        <f t="shared" si="20"/>
        <v>885447.991096279</v>
      </c>
      <c r="H405" s="26"/>
      <c r="I405" s="27">
        <f t="shared" si="21"/>
      </c>
    </row>
    <row r="406" spans="1:9" ht="15">
      <c r="A406" s="28" t="s">
        <v>97</v>
      </c>
      <c r="B406" s="29">
        <v>1</v>
      </c>
      <c r="C406" s="29">
        <v>5</v>
      </c>
      <c r="D406" s="30">
        <v>14000</v>
      </c>
      <c r="E406" s="31">
        <v>5285.8</v>
      </c>
      <c r="F406" s="32">
        <f t="shared" si="19"/>
        <v>9642.9</v>
      </c>
      <c r="G406" s="2">
        <f t="shared" si="20"/>
        <v>1988919.083902113</v>
      </c>
      <c r="H406" s="26"/>
      <c r="I406" s="27">
        <f t="shared" si="21"/>
      </c>
    </row>
    <row r="407" spans="1:9" ht="15">
      <c r="A407" s="28" t="s">
        <v>97</v>
      </c>
      <c r="B407" s="29">
        <v>1</v>
      </c>
      <c r="C407" s="29">
        <v>5</v>
      </c>
      <c r="D407" s="30">
        <v>20000</v>
      </c>
      <c r="E407" s="31">
        <v>8303.1</v>
      </c>
      <c r="F407" s="32">
        <f t="shared" si="19"/>
        <v>14151.55</v>
      </c>
      <c r="G407" s="2">
        <f t="shared" si="20"/>
        <v>2581483.251213485</v>
      </c>
      <c r="H407" s="26"/>
      <c r="I407" s="27">
        <f t="shared" si="21"/>
      </c>
    </row>
    <row r="408" spans="1:9" ht="15">
      <c r="A408" s="28" t="s">
        <v>97</v>
      </c>
      <c r="B408" s="29">
        <v>2</v>
      </c>
      <c r="C408" s="29">
        <v>3</v>
      </c>
      <c r="D408" s="30">
        <v>400</v>
      </c>
      <c r="E408" s="31">
        <v>5.1</v>
      </c>
      <c r="F408" s="32">
        <f t="shared" si="19"/>
        <v>202.55</v>
      </c>
      <c r="G408" s="2">
        <f t="shared" si="20"/>
        <v>115140.49628500905</v>
      </c>
      <c r="H408" s="26"/>
      <c r="I408" s="27">
        <f t="shared" si="21"/>
      </c>
    </row>
    <row r="409" spans="1:9" ht="15">
      <c r="A409" s="28" t="s">
        <v>97</v>
      </c>
      <c r="B409" s="29">
        <v>1</v>
      </c>
      <c r="C409" s="29">
        <v>3</v>
      </c>
      <c r="D409" s="30">
        <v>350</v>
      </c>
      <c r="E409" s="31">
        <v>24.8</v>
      </c>
      <c r="F409" s="32">
        <f t="shared" si="19"/>
        <v>187.4</v>
      </c>
      <c r="G409" s="2">
        <f t="shared" si="20"/>
        <v>109213.47857836085</v>
      </c>
      <c r="H409" s="26"/>
      <c r="I409" s="27">
        <f t="shared" si="21"/>
      </c>
    </row>
    <row r="410" spans="1:9" ht="15.75" thickBot="1">
      <c r="A410" s="33" t="s">
        <v>97</v>
      </c>
      <c r="B410" s="34">
        <v>1</v>
      </c>
      <c r="C410" s="34">
        <v>1</v>
      </c>
      <c r="D410" s="35">
        <v>350</v>
      </c>
      <c r="E410" s="36">
        <v>0.1</v>
      </c>
      <c r="F410" s="37">
        <f t="shared" si="19"/>
        <v>175.05</v>
      </c>
      <c r="G410" s="38">
        <f t="shared" si="20"/>
        <v>52976.8489082522</v>
      </c>
      <c r="H410" s="39">
        <f>SUM(G404:G410)</f>
        <v>6429035.138539504</v>
      </c>
      <c r="I410" s="27">
        <f t="shared" si="21"/>
        <v>6429408.788539505</v>
      </c>
    </row>
    <row r="411" spans="1:9" ht="15.75" thickBot="1">
      <c r="A411" s="40" t="s">
        <v>98</v>
      </c>
      <c r="B411" s="41">
        <v>2</v>
      </c>
      <c r="C411" s="41">
        <v>5</v>
      </c>
      <c r="D411" s="42">
        <v>60000</v>
      </c>
      <c r="E411" s="43">
        <v>68311</v>
      </c>
      <c r="F411" s="14">
        <f t="shared" si="19"/>
        <v>64155.5</v>
      </c>
      <c r="G411" s="15">
        <f t="shared" si="20"/>
        <v>7554702.166192003</v>
      </c>
      <c r="H411" s="39">
        <f>G411</f>
        <v>7554702.166192003</v>
      </c>
      <c r="I411" s="27">
        <f t="shared" si="21"/>
        <v>7555075.816192003</v>
      </c>
    </row>
    <row r="412" spans="1:9" ht="15">
      <c r="A412" s="20" t="s">
        <v>11</v>
      </c>
      <c r="B412" s="21">
        <v>1</v>
      </c>
      <c r="C412" s="21">
        <v>5</v>
      </c>
      <c r="D412" s="22">
        <v>160000</v>
      </c>
      <c r="E412" s="23">
        <v>70045</v>
      </c>
      <c r="F412" s="24">
        <f t="shared" si="19"/>
        <v>115022.5</v>
      </c>
      <c r="G412" s="25">
        <f t="shared" si="20"/>
        <v>10726866.97307879</v>
      </c>
      <c r="H412" s="26"/>
      <c r="I412" s="27">
        <f t="shared" si="21"/>
      </c>
    </row>
    <row r="413" spans="1:9" ht="15">
      <c r="A413" s="28" t="s">
        <v>11</v>
      </c>
      <c r="B413" s="29">
        <v>2</v>
      </c>
      <c r="C413" s="29">
        <v>5</v>
      </c>
      <c r="D413" s="30">
        <v>9700</v>
      </c>
      <c r="E413" s="31">
        <v>5208</v>
      </c>
      <c r="F413" s="32">
        <f t="shared" si="19"/>
        <v>7454</v>
      </c>
      <c r="G413" s="2">
        <f t="shared" si="20"/>
        <v>1748678.8310203217</v>
      </c>
      <c r="H413" s="26"/>
      <c r="I413" s="27">
        <f t="shared" si="21"/>
      </c>
    </row>
    <row r="414" spans="1:9" ht="15">
      <c r="A414" s="28" t="s">
        <v>11</v>
      </c>
      <c r="B414" s="29">
        <v>1</v>
      </c>
      <c r="C414" s="29">
        <v>5</v>
      </c>
      <c r="D414" s="30">
        <v>3853</v>
      </c>
      <c r="E414" s="31">
        <v>2414</v>
      </c>
      <c r="F414" s="32">
        <f t="shared" si="19"/>
        <v>3133.5</v>
      </c>
      <c r="G414" s="2">
        <f t="shared" si="20"/>
        <v>926304.417050815</v>
      </c>
      <c r="H414" s="26"/>
      <c r="I414" s="27">
        <f t="shared" si="21"/>
      </c>
    </row>
    <row r="415" spans="1:9" ht="15">
      <c r="A415" s="28" t="s">
        <v>11</v>
      </c>
      <c r="B415" s="29">
        <v>1</v>
      </c>
      <c r="C415" s="29">
        <v>4</v>
      </c>
      <c r="D415" s="30">
        <v>411</v>
      </c>
      <c r="E415" s="31">
        <v>149</v>
      </c>
      <c r="F415" s="32">
        <f t="shared" si="19"/>
        <v>280</v>
      </c>
      <c r="G415" s="2">
        <f t="shared" si="20"/>
        <v>151127.88711633833</v>
      </c>
      <c r="H415" s="26"/>
      <c r="I415" s="27">
        <f t="shared" si="21"/>
      </c>
    </row>
    <row r="416" spans="1:9" ht="15">
      <c r="A416" s="28" t="s">
        <v>11</v>
      </c>
      <c r="B416" s="29">
        <v>1</v>
      </c>
      <c r="C416" s="29">
        <v>4</v>
      </c>
      <c r="D416" s="30">
        <v>6100</v>
      </c>
      <c r="E416" s="31">
        <v>4374</v>
      </c>
      <c r="F416" s="32">
        <f t="shared" si="19"/>
        <v>5237</v>
      </c>
      <c r="G416" s="2">
        <f t="shared" si="20"/>
        <v>1106621.0184136247</v>
      </c>
      <c r="H416" s="26"/>
      <c r="I416" s="27">
        <f t="shared" si="21"/>
      </c>
    </row>
    <row r="417" spans="1:9" ht="15">
      <c r="A417" s="28" t="s">
        <v>11</v>
      </c>
      <c r="B417" s="29">
        <v>1</v>
      </c>
      <c r="C417" s="29">
        <v>4</v>
      </c>
      <c r="D417" s="30">
        <v>2000</v>
      </c>
      <c r="E417" s="31">
        <v>1032</v>
      </c>
      <c r="F417" s="32">
        <f t="shared" si="19"/>
        <v>1516</v>
      </c>
      <c r="G417" s="2">
        <f t="shared" si="20"/>
        <v>476437.4570419716</v>
      </c>
      <c r="H417" s="26"/>
      <c r="I417" s="27">
        <f t="shared" si="21"/>
      </c>
    </row>
    <row r="418" spans="1:9" ht="15">
      <c r="A418" s="28" t="s">
        <v>11</v>
      </c>
      <c r="B418" s="29">
        <v>1</v>
      </c>
      <c r="C418" s="29">
        <v>4</v>
      </c>
      <c r="D418" s="30">
        <v>2000</v>
      </c>
      <c r="E418" s="31">
        <v>1528</v>
      </c>
      <c r="F418" s="32">
        <f t="shared" si="19"/>
        <v>1764</v>
      </c>
      <c r="G418" s="2">
        <f t="shared" si="20"/>
        <v>528124.5012314311</v>
      </c>
      <c r="H418" s="26"/>
      <c r="I418" s="27">
        <f t="shared" si="21"/>
      </c>
    </row>
    <row r="419" spans="1:9" ht="15">
      <c r="A419" s="28" t="s">
        <v>11</v>
      </c>
      <c r="B419" s="29">
        <v>1</v>
      </c>
      <c r="C419" s="29">
        <v>4</v>
      </c>
      <c r="D419" s="30">
        <v>2000</v>
      </c>
      <c r="E419" s="31">
        <v>1101</v>
      </c>
      <c r="F419" s="32">
        <f t="shared" si="19"/>
        <v>1550.5</v>
      </c>
      <c r="G419" s="2">
        <f t="shared" si="20"/>
        <v>483781.53765552747</v>
      </c>
      <c r="H419" s="26"/>
      <c r="I419" s="27">
        <f t="shared" si="21"/>
      </c>
    </row>
    <row r="420" spans="1:9" ht="15.75" thickBot="1">
      <c r="A420" s="33" t="s">
        <v>11</v>
      </c>
      <c r="B420" s="34">
        <v>1</v>
      </c>
      <c r="C420" s="34">
        <v>2</v>
      </c>
      <c r="D420" s="35">
        <v>180</v>
      </c>
      <c r="E420" s="36">
        <v>2</v>
      </c>
      <c r="F420" s="37">
        <f t="shared" si="19"/>
        <v>91</v>
      </c>
      <c r="G420" s="38">
        <f t="shared" si="20"/>
        <v>64208.582025422984</v>
      </c>
      <c r="H420" s="39">
        <f>SUM(G412:G420)</f>
        <v>16212151.204634244</v>
      </c>
      <c r="I420" s="27">
        <f t="shared" si="21"/>
        <v>16212524.854634244</v>
      </c>
    </row>
    <row r="421" spans="1:9" ht="15">
      <c r="A421" s="20" t="s">
        <v>100</v>
      </c>
      <c r="B421" s="21">
        <v>2</v>
      </c>
      <c r="C421" s="21">
        <v>5</v>
      </c>
      <c r="D421" s="22">
        <v>130000</v>
      </c>
      <c r="E421" s="23">
        <v>87472</v>
      </c>
      <c r="F421" s="24">
        <f t="shared" si="19"/>
        <v>108736</v>
      </c>
      <c r="G421" s="25">
        <f t="shared" si="20"/>
        <v>10813999.661756594</v>
      </c>
      <c r="H421" s="26"/>
      <c r="I421" s="27">
        <f t="shared" si="21"/>
      </c>
    </row>
    <row r="422" spans="1:9" ht="15">
      <c r="A422" s="28" t="s">
        <v>100</v>
      </c>
      <c r="B422" s="29">
        <v>2</v>
      </c>
      <c r="C422" s="29">
        <v>5</v>
      </c>
      <c r="D422" s="30">
        <v>130000</v>
      </c>
      <c r="E422" s="31">
        <v>21935</v>
      </c>
      <c r="F422" s="32">
        <f t="shared" si="19"/>
        <v>75967.5</v>
      </c>
      <c r="G422" s="2">
        <f t="shared" si="20"/>
        <v>8474431.006677944</v>
      </c>
      <c r="H422" s="26"/>
      <c r="I422" s="27">
        <f t="shared" si="21"/>
      </c>
    </row>
    <row r="423" spans="1:9" ht="15">
      <c r="A423" s="28" t="s">
        <v>100</v>
      </c>
      <c r="B423" s="29">
        <v>1</v>
      </c>
      <c r="C423" s="29">
        <v>5</v>
      </c>
      <c r="D423" s="30">
        <v>25000</v>
      </c>
      <c r="E423" s="31">
        <v>10690</v>
      </c>
      <c r="F423" s="32">
        <f t="shared" si="19"/>
        <v>17845</v>
      </c>
      <c r="G423" s="2">
        <f t="shared" si="20"/>
        <v>3022273.0452220864</v>
      </c>
      <c r="H423" s="26"/>
      <c r="I423" s="27">
        <f t="shared" si="21"/>
      </c>
    </row>
    <row r="424" spans="1:9" ht="15">
      <c r="A424" s="28" t="s">
        <v>100</v>
      </c>
      <c r="B424" s="29">
        <v>1</v>
      </c>
      <c r="C424" s="29">
        <v>5</v>
      </c>
      <c r="D424" s="30">
        <v>9000</v>
      </c>
      <c r="E424" s="31">
        <v>7156</v>
      </c>
      <c r="F424" s="32">
        <f t="shared" si="19"/>
        <v>8078</v>
      </c>
      <c r="G424" s="2">
        <f t="shared" si="20"/>
        <v>1763347.482022973</v>
      </c>
      <c r="H424" s="26"/>
      <c r="I424" s="27">
        <f t="shared" si="21"/>
      </c>
    </row>
    <row r="425" spans="1:9" ht="15.75" thickBot="1">
      <c r="A425" s="33" t="s">
        <v>100</v>
      </c>
      <c r="B425" s="34">
        <v>1</v>
      </c>
      <c r="C425" s="34">
        <v>5</v>
      </c>
      <c r="D425" s="35">
        <v>5000</v>
      </c>
      <c r="E425" s="36">
        <v>1406</v>
      </c>
      <c r="F425" s="37">
        <f t="shared" si="19"/>
        <v>3203</v>
      </c>
      <c r="G425" s="38">
        <f t="shared" si="20"/>
        <v>940221.8778183702</v>
      </c>
      <c r="H425" s="39">
        <f>SUM(G421:G425)</f>
        <v>25014273.073497966</v>
      </c>
      <c r="I425" s="27">
        <f t="shared" si="21"/>
        <v>25014646.723497964</v>
      </c>
    </row>
    <row r="426" spans="1:9" ht="15.75" thickBot="1">
      <c r="A426" s="40" t="s">
        <v>12</v>
      </c>
      <c r="B426" s="41">
        <v>2</v>
      </c>
      <c r="C426" s="41">
        <v>5</v>
      </c>
      <c r="D426" s="42">
        <v>50000</v>
      </c>
      <c r="E426" s="43">
        <v>29065</v>
      </c>
      <c r="F426" s="14">
        <f t="shared" si="19"/>
        <v>39532.5</v>
      </c>
      <c r="G426" s="15">
        <f t="shared" si="20"/>
        <v>5435872.549923859</v>
      </c>
      <c r="H426" s="39">
        <f>G426</f>
        <v>5435872.549923859</v>
      </c>
      <c r="I426" s="27">
        <f t="shared" si="21"/>
        <v>5436246.199923859</v>
      </c>
    </row>
    <row r="427" spans="1:9" ht="15">
      <c r="A427" s="20" t="s">
        <v>13</v>
      </c>
      <c r="B427" s="21">
        <v>2</v>
      </c>
      <c r="C427" s="21">
        <v>5</v>
      </c>
      <c r="D427" s="22">
        <v>125000</v>
      </c>
      <c r="E427" s="23">
        <v>20858</v>
      </c>
      <c r="F427" s="24">
        <f t="shared" si="19"/>
        <v>72929</v>
      </c>
      <c r="G427" s="25">
        <f t="shared" si="20"/>
        <v>8242507.332534977</v>
      </c>
      <c r="H427" s="26"/>
      <c r="I427" s="27">
        <f t="shared" si="21"/>
      </c>
    </row>
    <row r="428" spans="1:9" ht="15">
      <c r="A428" s="28" t="s">
        <v>13</v>
      </c>
      <c r="B428" s="29">
        <v>1</v>
      </c>
      <c r="C428" s="29">
        <v>1</v>
      </c>
      <c r="D428" s="30">
        <v>900</v>
      </c>
      <c r="E428" s="31">
        <v>251</v>
      </c>
      <c r="F428" s="32">
        <f t="shared" si="19"/>
        <v>575.5</v>
      </c>
      <c r="G428" s="2">
        <f t="shared" si="20"/>
        <v>118977.0867760294</v>
      </c>
      <c r="H428" s="26"/>
      <c r="I428" s="27">
        <f t="shared" si="21"/>
      </c>
    </row>
    <row r="429" spans="1:9" ht="15">
      <c r="A429" s="28" t="s">
        <v>13</v>
      </c>
      <c r="B429" s="29">
        <v>1</v>
      </c>
      <c r="C429" s="29">
        <v>2</v>
      </c>
      <c r="D429" s="30">
        <v>900</v>
      </c>
      <c r="E429" s="31">
        <v>0</v>
      </c>
      <c r="F429" s="32">
        <f t="shared" si="19"/>
        <v>450</v>
      </c>
      <c r="G429" s="2">
        <f t="shared" si="20"/>
        <v>190322.70758938944</v>
      </c>
      <c r="H429" s="26"/>
      <c r="I429" s="27">
        <f t="shared" si="21"/>
      </c>
    </row>
    <row r="430" spans="1:9" ht="15">
      <c r="A430" s="28" t="s">
        <v>13</v>
      </c>
      <c r="B430" s="29">
        <v>1</v>
      </c>
      <c r="C430" s="29">
        <v>5</v>
      </c>
      <c r="D430" s="30">
        <v>2800</v>
      </c>
      <c r="E430" s="31">
        <v>2192</v>
      </c>
      <c r="F430" s="32">
        <f t="shared" si="19"/>
        <v>2496</v>
      </c>
      <c r="G430" s="2">
        <f t="shared" si="20"/>
        <v>793596.2587205906</v>
      </c>
      <c r="H430" s="26"/>
      <c r="I430" s="27">
        <f t="shared" si="21"/>
      </c>
    </row>
    <row r="431" spans="1:9" ht="15">
      <c r="A431" s="28" t="s">
        <v>13</v>
      </c>
      <c r="B431" s="29">
        <v>1</v>
      </c>
      <c r="C431" s="29">
        <v>5</v>
      </c>
      <c r="D431" s="30">
        <v>9000</v>
      </c>
      <c r="E431" s="31">
        <v>841</v>
      </c>
      <c r="F431" s="32">
        <f t="shared" si="19"/>
        <v>4920.5</v>
      </c>
      <c r="G431" s="2">
        <f t="shared" si="20"/>
        <v>1258869.2470993046</v>
      </c>
      <c r="H431" s="26"/>
      <c r="I431" s="27">
        <f t="shared" si="21"/>
      </c>
    </row>
    <row r="432" spans="1:9" ht="15.75" thickBot="1">
      <c r="A432" s="33" t="s">
        <v>13</v>
      </c>
      <c r="B432" s="34">
        <v>1</v>
      </c>
      <c r="C432" s="34">
        <v>5</v>
      </c>
      <c r="D432" s="35">
        <v>9000</v>
      </c>
      <c r="E432" s="36">
        <v>351</v>
      </c>
      <c r="F432" s="37">
        <f t="shared" si="19"/>
        <v>4675.5</v>
      </c>
      <c r="G432" s="38">
        <f t="shared" si="20"/>
        <v>1215911.2078705132</v>
      </c>
      <c r="H432" s="39">
        <f>SUM(G427:G432)</f>
        <v>11820183.840590803</v>
      </c>
      <c r="I432" s="27">
        <f t="shared" si="21"/>
        <v>11820557.490590803</v>
      </c>
    </row>
    <row r="433" spans="1:9" ht="15">
      <c r="A433" s="20" t="s">
        <v>101</v>
      </c>
      <c r="B433" s="21">
        <v>2</v>
      </c>
      <c r="C433" s="21">
        <v>5</v>
      </c>
      <c r="D433" s="22">
        <v>57000</v>
      </c>
      <c r="E433" s="23">
        <v>34203</v>
      </c>
      <c r="F433" s="24">
        <f t="shared" si="19"/>
        <v>45601.5</v>
      </c>
      <c r="G433" s="25">
        <f t="shared" si="20"/>
        <v>5990095.658611431</v>
      </c>
      <c r="H433" s="26"/>
      <c r="I433" s="27">
        <f t="shared" si="21"/>
      </c>
    </row>
    <row r="434" spans="1:9" ht="15">
      <c r="A434" s="28" t="s">
        <v>101</v>
      </c>
      <c r="B434" s="29">
        <v>2</v>
      </c>
      <c r="C434" s="29">
        <v>3</v>
      </c>
      <c r="D434" s="30">
        <v>4500</v>
      </c>
      <c r="E434" s="31">
        <v>2544</v>
      </c>
      <c r="F434" s="32">
        <f t="shared" si="19"/>
        <v>3522</v>
      </c>
      <c r="G434" s="2">
        <f t="shared" si="20"/>
        <v>802333.408825783</v>
      </c>
      <c r="H434" s="26"/>
      <c r="I434" s="27">
        <f t="shared" si="21"/>
      </c>
    </row>
    <row r="435" spans="1:9" ht="15">
      <c r="A435" s="28" t="s">
        <v>101</v>
      </c>
      <c r="B435" s="29">
        <v>1</v>
      </c>
      <c r="C435" s="29">
        <v>5</v>
      </c>
      <c r="D435" s="30">
        <v>4000</v>
      </c>
      <c r="E435" s="31">
        <v>1214</v>
      </c>
      <c r="F435" s="32">
        <f t="shared" si="19"/>
        <v>2607</v>
      </c>
      <c r="G435" s="2">
        <f t="shared" si="20"/>
        <v>817420.2994007941</v>
      </c>
      <c r="H435" s="26"/>
      <c r="I435" s="27">
        <f t="shared" si="21"/>
      </c>
    </row>
    <row r="436" spans="1:9" ht="15">
      <c r="A436" s="28" t="s">
        <v>101</v>
      </c>
      <c r="B436" s="29">
        <v>2</v>
      </c>
      <c r="C436" s="29">
        <v>5</v>
      </c>
      <c r="D436" s="30">
        <v>20000</v>
      </c>
      <c r="E436" s="31">
        <v>11037</v>
      </c>
      <c r="F436" s="32">
        <f t="shared" si="19"/>
        <v>15518.5</v>
      </c>
      <c r="G436" s="2">
        <f t="shared" si="20"/>
        <v>2878719.8338404377</v>
      </c>
      <c r="H436" s="26"/>
      <c r="I436" s="27">
        <f t="shared" si="21"/>
      </c>
    </row>
    <row r="437" spans="1:9" ht="15">
      <c r="A437" s="28" t="s">
        <v>101</v>
      </c>
      <c r="B437" s="29">
        <v>1</v>
      </c>
      <c r="C437" s="29">
        <v>2</v>
      </c>
      <c r="D437" s="30">
        <v>100</v>
      </c>
      <c r="E437" s="31">
        <v>67</v>
      </c>
      <c r="F437" s="32">
        <f t="shared" si="19"/>
        <v>83.5</v>
      </c>
      <c r="G437" s="2">
        <f t="shared" si="20"/>
        <v>60561.86024084816</v>
      </c>
      <c r="H437" s="26"/>
      <c r="I437" s="27">
        <f t="shared" si="21"/>
      </c>
    </row>
    <row r="438" spans="1:9" ht="15">
      <c r="A438" s="28" t="s">
        <v>101</v>
      </c>
      <c r="B438" s="29">
        <v>2</v>
      </c>
      <c r="C438" s="29">
        <v>2</v>
      </c>
      <c r="D438" s="30">
        <v>300</v>
      </c>
      <c r="E438" s="31">
        <v>200</v>
      </c>
      <c r="F438" s="32">
        <f t="shared" si="19"/>
        <v>250</v>
      </c>
      <c r="G438" s="2">
        <f t="shared" si="20"/>
        <v>127631.05481633899</v>
      </c>
      <c r="H438" s="26"/>
      <c r="I438" s="27">
        <f t="shared" si="21"/>
      </c>
    </row>
    <row r="439" spans="1:9" ht="15">
      <c r="A439" s="28" t="s">
        <v>101</v>
      </c>
      <c r="B439" s="29">
        <v>1</v>
      </c>
      <c r="C439" s="29">
        <v>5</v>
      </c>
      <c r="D439" s="30">
        <v>11000</v>
      </c>
      <c r="E439" s="31">
        <v>6782</v>
      </c>
      <c r="F439" s="32">
        <f t="shared" si="19"/>
        <v>8891</v>
      </c>
      <c r="G439" s="2">
        <f t="shared" si="20"/>
        <v>1882128.9307402638</v>
      </c>
      <c r="H439" s="26"/>
      <c r="I439" s="27">
        <f t="shared" si="21"/>
      </c>
    </row>
    <row r="440" spans="1:9" ht="15">
      <c r="A440" s="28" t="s">
        <v>101</v>
      </c>
      <c r="B440" s="29">
        <v>1</v>
      </c>
      <c r="C440" s="29">
        <v>4</v>
      </c>
      <c r="D440" s="30">
        <v>7000</v>
      </c>
      <c r="E440" s="31">
        <v>4315</v>
      </c>
      <c r="F440" s="32">
        <f t="shared" si="19"/>
        <v>5657.5</v>
      </c>
      <c r="G440" s="2">
        <f t="shared" si="20"/>
        <v>1166274.442228847</v>
      </c>
      <c r="H440" s="26"/>
      <c r="I440" s="27">
        <f t="shared" si="21"/>
      </c>
    </row>
    <row r="441" spans="1:9" ht="15">
      <c r="A441" s="28" t="s">
        <v>101</v>
      </c>
      <c r="B441" s="29">
        <v>1</v>
      </c>
      <c r="C441" s="29">
        <v>1</v>
      </c>
      <c r="D441" s="30">
        <v>75</v>
      </c>
      <c r="E441" s="31">
        <v>50</v>
      </c>
      <c r="F441" s="32">
        <f t="shared" si="19"/>
        <v>62.5</v>
      </c>
      <c r="G441" s="2">
        <f t="shared" si="20"/>
        <v>26304.11851468479</v>
      </c>
      <c r="H441" s="26"/>
      <c r="I441" s="27">
        <f t="shared" si="21"/>
      </c>
    </row>
    <row r="442" spans="1:9" ht="15">
      <c r="A442" s="28" t="s">
        <v>101</v>
      </c>
      <c r="B442" s="29">
        <v>1</v>
      </c>
      <c r="C442" s="29">
        <v>5</v>
      </c>
      <c r="D442" s="30">
        <v>8198</v>
      </c>
      <c r="E442" s="31">
        <v>7918</v>
      </c>
      <c r="F442" s="32">
        <f t="shared" si="19"/>
        <v>8058</v>
      </c>
      <c r="G442" s="2">
        <f t="shared" si="20"/>
        <v>1760378.4320277236</v>
      </c>
      <c r="H442" s="26"/>
      <c r="I442" s="27">
        <f t="shared" si="21"/>
      </c>
    </row>
    <row r="443" spans="1:9" ht="15">
      <c r="A443" s="28" t="s">
        <v>101</v>
      </c>
      <c r="B443" s="29">
        <v>2</v>
      </c>
      <c r="C443" s="29">
        <v>4</v>
      </c>
      <c r="D443" s="30">
        <v>3200</v>
      </c>
      <c r="E443" s="31">
        <v>2798</v>
      </c>
      <c r="F443" s="32">
        <f t="shared" si="19"/>
        <v>2999</v>
      </c>
      <c r="G443" s="2">
        <f t="shared" si="20"/>
        <v>757556.7676689089</v>
      </c>
      <c r="H443" s="26"/>
      <c r="I443" s="27">
        <f t="shared" si="21"/>
      </c>
    </row>
    <row r="444" spans="1:9" ht="15">
      <c r="A444" s="28" t="s">
        <v>101</v>
      </c>
      <c r="B444" s="29">
        <v>1</v>
      </c>
      <c r="C444" s="29">
        <v>3</v>
      </c>
      <c r="D444" s="30">
        <v>300</v>
      </c>
      <c r="E444" s="31">
        <v>301</v>
      </c>
      <c r="F444" s="32">
        <f t="shared" si="19"/>
        <v>300.5</v>
      </c>
      <c r="G444" s="2">
        <f t="shared" si="20"/>
        <v>150551.86859760134</v>
      </c>
      <c r="H444" s="26"/>
      <c r="I444" s="27">
        <f t="shared" si="21"/>
      </c>
    </row>
    <row r="445" spans="1:9" ht="15">
      <c r="A445" s="28" t="s">
        <v>101</v>
      </c>
      <c r="B445" s="29">
        <v>2</v>
      </c>
      <c r="C445" s="29">
        <v>4</v>
      </c>
      <c r="D445" s="30">
        <v>1500</v>
      </c>
      <c r="E445" s="31">
        <v>1810</v>
      </c>
      <c r="F445" s="32">
        <f t="shared" si="19"/>
        <v>1655</v>
      </c>
      <c r="G445" s="2">
        <f t="shared" si="20"/>
        <v>505714.56287643086</v>
      </c>
      <c r="H445" s="26"/>
      <c r="I445" s="27">
        <f t="shared" si="21"/>
      </c>
    </row>
    <row r="446" spans="1:9" ht="15">
      <c r="A446" s="28" t="s">
        <v>101</v>
      </c>
      <c r="B446" s="29">
        <v>1</v>
      </c>
      <c r="C446" s="29">
        <v>3</v>
      </c>
      <c r="D446" s="30">
        <v>350</v>
      </c>
      <c r="E446" s="31">
        <v>949</v>
      </c>
      <c r="F446" s="32">
        <f t="shared" si="19"/>
        <v>649.5</v>
      </c>
      <c r="G446" s="2">
        <f t="shared" si="20"/>
        <v>254237.0174531383</v>
      </c>
      <c r="H446" s="26"/>
      <c r="I446" s="27">
        <f t="shared" si="21"/>
      </c>
    </row>
    <row r="447" spans="1:9" ht="15">
      <c r="A447" s="28" t="s">
        <v>101</v>
      </c>
      <c r="B447" s="29">
        <v>1</v>
      </c>
      <c r="C447" s="29">
        <v>3</v>
      </c>
      <c r="D447" s="30">
        <v>400</v>
      </c>
      <c r="E447" s="31">
        <v>502</v>
      </c>
      <c r="F447" s="32">
        <f t="shared" si="19"/>
        <v>451</v>
      </c>
      <c r="G447" s="2">
        <f t="shared" si="20"/>
        <v>198406.86199075863</v>
      </c>
      <c r="H447" s="26"/>
      <c r="I447" s="27">
        <f t="shared" si="21"/>
      </c>
    </row>
    <row r="448" spans="1:9" ht="15">
      <c r="A448" s="28" t="s">
        <v>101</v>
      </c>
      <c r="B448" s="29">
        <v>1</v>
      </c>
      <c r="C448" s="29">
        <v>1</v>
      </c>
      <c r="D448" s="30">
        <v>85</v>
      </c>
      <c r="E448" s="31">
        <v>57</v>
      </c>
      <c r="F448" s="32">
        <f t="shared" si="19"/>
        <v>71</v>
      </c>
      <c r="G448" s="2">
        <f t="shared" si="20"/>
        <v>28685.996577971273</v>
      </c>
      <c r="H448" s="26"/>
      <c r="I448" s="27">
        <f t="shared" si="21"/>
      </c>
    </row>
    <row r="449" spans="1:9" ht="15">
      <c r="A449" s="28" t="s">
        <v>101</v>
      </c>
      <c r="B449" s="29">
        <v>1</v>
      </c>
      <c r="C449" s="29">
        <v>1</v>
      </c>
      <c r="D449" s="30">
        <v>135</v>
      </c>
      <c r="E449" s="31">
        <v>90</v>
      </c>
      <c r="F449" s="32">
        <f t="shared" si="19"/>
        <v>112.5</v>
      </c>
      <c r="G449" s="2">
        <f t="shared" si="20"/>
        <v>39224.552861927026</v>
      </c>
      <c r="H449" s="26"/>
      <c r="I449" s="27">
        <f t="shared" si="21"/>
      </c>
    </row>
    <row r="450" spans="1:9" ht="15">
      <c r="A450" s="28" t="s">
        <v>101</v>
      </c>
      <c r="B450" s="29">
        <v>1</v>
      </c>
      <c r="C450" s="29">
        <v>1</v>
      </c>
      <c r="D450" s="30">
        <v>40</v>
      </c>
      <c r="E450" s="31">
        <v>27</v>
      </c>
      <c r="F450" s="32">
        <f t="shared" si="19"/>
        <v>33.5</v>
      </c>
      <c r="G450" s="2">
        <f t="shared" si="20"/>
        <v>17215.116919401094</v>
      </c>
      <c r="H450" s="26"/>
      <c r="I450" s="27">
        <f t="shared" si="21"/>
      </c>
    </row>
    <row r="451" spans="1:9" ht="15">
      <c r="A451" s="28" t="s">
        <v>101</v>
      </c>
      <c r="B451" s="29">
        <v>1</v>
      </c>
      <c r="C451" s="29">
        <v>1</v>
      </c>
      <c r="D451" s="30">
        <v>10</v>
      </c>
      <c r="E451" s="31">
        <v>10</v>
      </c>
      <c r="F451" s="32">
        <f aca="true" t="shared" si="22" ref="F451:F514">(D451+E451)/2</f>
        <v>10</v>
      </c>
      <c r="G451" s="2">
        <f aca="true" t="shared" si="23" ref="G451:G514">IF(C451=1,1581.92*(F451^0.6798),IF(C451=2,2991.14*(F451^0.6798),IF(C451=3,3113.49*(F451^0.6798),IF(C451=4,3279.19*(F451^0.6798),IF(C451=5,IF(B451=1,3891.82*(F451^0.6798),IF(B451=2,4076.24*(F451^0.6798),0)),0)))))</f>
        <v>7568.059133816625</v>
      </c>
      <c r="H451" s="26"/>
      <c r="I451" s="27">
        <f t="shared" si="21"/>
      </c>
    </row>
    <row r="452" spans="1:9" ht="15">
      <c r="A452" s="28" t="s">
        <v>101</v>
      </c>
      <c r="B452" s="29">
        <v>1</v>
      </c>
      <c r="C452" s="29">
        <v>1</v>
      </c>
      <c r="D452" s="30">
        <v>165</v>
      </c>
      <c r="E452" s="31">
        <v>110</v>
      </c>
      <c r="F452" s="32">
        <f t="shared" si="22"/>
        <v>137.5</v>
      </c>
      <c r="G452" s="2">
        <f t="shared" si="23"/>
        <v>44957.55570051375</v>
      </c>
      <c r="H452" s="26"/>
      <c r="I452" s="27">
        <f t="shared" si="21"/>
      </c>
    </row>
    <row r="453" spans="1:9" ht="15">
      <c r="A453" s="28" t="s">
        <v>101</v>
      </c>
      <c r="B453" s="29">
        <v>2</v>
      </c>
      <c r="C453" s="29">
        <v>2</v>
      </c>
      <c r="D453" s="30">
        <v>120</v>
      </c>
      <c r="E453" s="31">
        <v>81</v>
      </c>
      <c r="F453" s="32">
        <f t="shared" si="22"/>
        <v>100.5</v>
      </c>
      <c r="G453" s="2">
        <f t="shared" si="23"/>
        <v>68692.4852882056</v>
      </c>
      <c r="H453" s="26"/>
      <c r="I453" s="27">
        <f t="shared" si="21"/>
      </c>
    </row>
    <row r="454" spans="1:9" ht="15">
      <c r="A454" s="28" t="s">
        <v>101</v>
      </c>
      <c r="B454" s="29">
        <v>1</v>
      </c>
      <c r="C454" s="29">
        <v>3</v>
      </c>
      <c r="D454" s="30">
        <v>2100</v>
      </c>
      <c r="E454" s="31">
        <v>1963</v>
      </c>
      <c r="F454" s="32">
        <f t="shared" si="22"/>
        <v>2031.5</v>
      </c>
      <c r="G454" s="2">
        <f t="shared" si="23"/>
        <v>551952.0541349596</v>
      </c>
      <c r="H454" s="26"/>
      <c r="I454" s="27">
        <f t="shared" si="21"/>
      </c>
    </row>
    <row r="455" spans="1:9" ht="15">
      <c r="A455" s="28" t="s">
        <v>101</v>
      </c>
      <c r="B455" s="29">
        <v>1</v>
      </c>
      <c r="C455" s="29">
        <v>2</v>
      </c>
      <c r="D455" s="30">
        <v>110</v>
      </c>
      <c r="E455" s="31">
        <v>68</v>
      </c>
      <c r="F455" s="32">
        <f t="shared" si="22"/>
        <v>89</v>
      </c>
      <c r="G455" s="2">
        <f t="shared" si="23"/>
        <v>63245.854868503055</v>
      </c>
      <c r="H455" s="26"/>
      <c r="I455" s="27">
        <f t="shared" si="21"/>
      </c>
    </row>
    <row r="456" spans="1:9" ht="15">
      <c r="A456" s="28" t="s">
        <v>101</v>
      </c>
      <c r="B456" s="29">
        <v>2</v>
      </c>
      <c r="C456" s="29">
        <v>3</v>
      </c>
      <c r="D456" s="30">
        <v>6000</v>
      </c>
      <c r="E456" s="31">
        <v>5406</v>
      </c>
      <c r="F456" s="32">
        <f t="shared" si="22"/>
        <v>5703</v>
      </c>
      <c r="G456" s="2">
        <f t="shared" si="23"/>
        <v>1113388.0281379214</v>
      </c>
      <c r="H456" s="26"/>
      <c r="I456" s="27">
        <f t="shared" si="21"/>
      </c>
    </row>
    <row r="457" spans="1:9" ht="15.75" thickBot="1">
      <c r="A457" s="33" t="s">
        <v>101</v>
      </c>
      <c r="B457" s="34">
        <v>1</v>
      </c>
      <c r="C457" s="34">
        <v>3</v>
      </c>
      <c r="D457" s="35">
        <v>1500</v>
      </c>
      <c r="E457" s="36">
        <v>873</v>
      </c>
      <c r="F457" s="37">
        <f t="shared" si="22"/>
        <v>1186.5</v>
      </c>
      <c r="G457" s="38">
        <f t="shared" si="23"/>
        <v>382943.486125873</v>
      </c>
      <c r="H457" s="39">
        <f>SUM(G433:G457)</f>
        <v>19696188.30758308</v>
      </c>
      <c r="I457" s="27">
        <f t="shared" si="21"/>
        <v>19696561.957583077</v>
      </c>
    </row>
    <row r="458" spans="1:9" ht="15">
      <c r="A458" s="20" t="s">
        <v>14</v>
      </c>
      <c r="B458" s="21">
        <v>2</v>
      </c>
      <c r="C458" s="21">
        <v>5</v>
      </c>
      <c r="D458" s="22">
        <v>271800</v>
      </c>
      <c r="E458" s="23">
        <v>278620</v>
      </c>
      <c r="F458" s="24">
        <f t="shared" si="22"/>
        <v>275210</v>
      </c>
      <c r="G458" s="25">
        <f t="shared" si="23"/>
        <v>20330285.455492813</v>
      </c>
      <c r="H458" s="26"/>
      <c r="I458" s="27">
        <f t="shared" si="21"/>
      </c>
    </row>
    <row r="459" spans="1:9" ht="15">
      <c r="A459" s="28" t="s">
        <v>14</v>
      </c>
      <c r="B459" s="29">
        <v>1</v>
      </c>
      <c r="C459" s="29">
        <v>5</v>
      </c>
      <c r="D459" s="30">
        <v>8000</v>
      </c>
      <c r="E459" s="31">
        <v>3765</v>
      </c>
      <c r="F459" s="32">
        <f t="shared" si="22"/>
        <v>5882.5</v>
      </c>
      <c r="G459" s="2">
        <f t="shared" si="23"/>
        <v>1421349.724167489</v>
      </c>
      <c r="H459" s="26"/>
      <c r="I459" s="27">
        <f t="shared" si="21"/>
      </c>
    </row>
    <row r="460" spans="1:9" ht="15">
      <c r="A460" s="28" t="s">
        <v>14</v>
      </c>
      <c r="B460" s="29">
        <v>1</v>
      </c>
      <c r="C460" s="29">
        <v>4</v>
      </c>
      <c r="D460" s="30">
        <v>500</v>
      </c>
      <c r="E460" s="31">
        <v>189</v>
      </c>
      <c r="F460" s="32">
        <f t="shared" si="22"/>
        <v>344.5</v>
      </c>
      <c r="G460" s="2">
        <f t="shared" si="23"/>
        <v>173999.42652391014</v>
      </c>
      <c r="H460" s="26"/>
      <c r="I460" s="27">
        <f t="shared" si="21"/>
      </c>
    </row>
    <row r="461" spans="1:9" ht="15">
      <c r="A461" s="28" t="s">
        <v>14</v>
      </c>
      <c r="B461" s="29">
        <v>1</v>
      </c>
      <c r="C461" s="29">
        <v>4</v>
      </c>
      <c r="D461" s="30">
        <v>4900</v>
      </c>
      <c r="E461" s="31">
        <v>3080</v>
      </c>
      <c r="F461" s="32">
        <f t="shared" si="22"/>
        <v>3990</v>
      </c>
      <c r="G461" s="2">
        <f t="shared" si="23"/>
        <v>919830.8165685612</v>
      </c>
      <c r="H461" s="26"/>
      <c r="I461" s="27">
        <f t="shared" si="21"/>
      </c>
    </row>
    <row r="462" spans="1:9" ht="15">
      <c r="A462" s="28" t="s">
        <v>14</v>
      </c>
      <c r="B462" s="29">
        <v>1</v>
      </c>
      <c r="C462" s="29">
        <v>4</v>
      </c>
      <c r="D462" s="30">
        <v>3500</v>
      </c>
      <c r="E462" s="31">
        <v>2204</v>
      </c>
      <c r="F462" s="32">
        <f t="shared" si="22"/>
        <v>2852</v>
      </c>
      <c r="G462" s="2">
        <f t="shared" si="23"/>
        <v>732111.4942896788</v>
      </c>
      <c r="H462" s="26"/>
      <c r="I462" s="27">
        <f t="shared" si="21"/>
      </c>
    </row>
    <row r="463" spans="1:9" ht="15">
      <c r="A463" s="28" t="s">
        <v>14</v>
      </c>
      <c r="B463" s="29">
        <v>1</v>
      </c>
      <c r="C463" s="29">
        <v>4</v>
      </c>
      <c r="D463" s="30">
        <v>3900</v>
      </c>
      <c r="E463" s="31">
        <v>2701</v>
      </c>
      <c r="F463" s="32">
        <f t="shared" si="22"/>
        <v>3300.5</v>
      </c>
      <c r="G463" s="2">
        <f t="shared" si="23"/>
        <v>808531.76382329</v>
      </c>
      <c r="H463" s="26"/>
      <c r="I463" s="27">
        <f t="shared" si="21"/>
      </c>
    </row>
    <row r="464" spans="1:9" ht="15">
      <c r="A464" s="28" t="s">
        <v>14</v>
      </c>
      <c r="B464" s="29">
        <v>1</v>
      </c>
      <c r="C464" s="29">
        <v>4</v>
      </c>
      <c r="D464" s="30">
        <v>1600</v>
      </c>
      <c r="E464" s="31">
        <v>633</v>
      </c>
      <c r="F464" s="32">
        <f t="shared" si="22"/>
        <v>1116.5</v>
      </c>
      <c r="G464" s="2">
        <f t="shared" si="23"/>
        <v>386991.0701962834</v>
      </c>
      <c r="H464" s="26"/>
      <c r="I464" s="27">
        <f aca="true" t="shared" si="24" ref="I464:I527">IF(H464=0,"",H464+373.65)</f>
      </c>
    </row>
    <row r="465" spans="1:9" ht="15">
      <c r="A465" s="28" t="s">
        <v>14</v>
      </c>
      <c r="B465" s="29">
        <v>1</v>
      </c>
      <c r="C465" s="29">
        <v>4</v>
      </c>
      <c r="D465" s="30">
        <v>4950</v>
      </c>
      <c r="E465" s="31">
        <v>1765</v>
      </c>
      <c r="F465" s="32">
        <f t="shared" si="22"/>
        <v>3357.5</v>
      </c>
      <c r="G465" s="2">
        <f t="shared" si="23"/>
        <v>817998.0572530157</v>
      </c>
      <c r="H465" s="26"/>
      <c r="I465" s="27">
        <f t="shared" si="24"/>
      </c>
    </row>
    <row r="466" spans="1:9" ht="15.75" thickBot="1">
      <c r="A466" s="33" t="s">
        <v>14</v>
      </c>
      <c r="B466" s="34">
        <v>1</v>
      </c>
      <c r="C466" s="34">
        <v>3</v>
      </c>
      <c r="D466" s="35">
        <v>150</v>
      </c>
      <c r="E466" s="36">
        <v>69</v>
      </c>
      <c r="F466" s="37">
        <f t="shared" si="22"/>
        <v>109.5</v>
      </c>
      <c r="G466" s="38">
        <f t="shared" si="23"/>
        <v>75795.11101537611</v>
      </c>
      <c r="H466" s="39">
        <f>SUM(G458:G466)</f>
        <v>25666892.91933041</v>
      </c>
      <c r="I466" s="27">
        <f t="shared" si="24"/>
        <v>25667266.56933041</v>
      </c>
    </row>
    <row r="467" spans="1:9" ht="15">
      <c r="A467" s="20" t="s">
        <v>15</v>
      </c>
      <c r="B467" s="21">
        <v>1</v>
      </c>
      <c r="C467" s="21">
        <v>5</v>
      </c>
      <c r="D467" s="22">
        <v>105000</v>
      </c>
      <c r="E467" s="23">
        <v>60434</v>
      </c>
      <c r="F467" s="24">
        <f t="shared" si="22"/>
        <v>82717</v>
      </c>
      <c r="G467" s="25">
        <f t="shared" si="23"/>
        <v>8573016.776044931</v>
      </c>
      <c r="H467" s="26"/>
      <c r="I467" s="27">
        <f t="shared" si="24"/>
      </c>
    </row>
    <row r="468" spans="1:9" ht="15">
      <c r="A468" s="28" t="s">
        <v>15</v>
      </c>
      <c r="B468" s="29">
        <v>1</v>
      </c>
      <c r="C468" s="29">
        <v>5</v>
      </c>
      <c r="D468" s="30">
        <v>20000</v>
      </c>
      <c r="E468" s="31">
        <v>7100</v>
      </c>
      <c r="F468" s="32">
        <f t="shared" si="22"/>
        <v>13550</v>
      </c>
      <c r="G468" s="2">
        <f t="shared" si="23"/>
        <v>2506369.393095381</v>
      </c>
      <c r="H468" s="26"/>
      <c r="I468" s="27">
        <f t="shared" si="24"/>
      </c>
    </row>
    <row r="469" spans="1:9" ht="15">
      <c r="A469" s="28" t="s">
        <v>15</v>
      </c>
      <c r="B469" s="29">
        <v>1</v>
      </c>
      <c r="C469" s="29">
        <v>5</v>
      </c>
      <c r="D469" s="30">
        <v>14000</v>
      </c>
      <c r="E469" s="31">
        <v>4720</v>
      </c>
      <c r="F469" s="32">
        <f t="shared" si="22"/>
        <v>9360</v>
      </c>
      <c r="G469" s="2">
        <f t="shared" si="23"/>
        <v>1949063.8544923277</v>
      </c>
      <c r="H469" s="26"/>
      <c r="I469" s="27">
        <f t="shared" si="24"/>
      </c>
    </row>
    <row r="470" spans="1:9" ht="15">
      <c r="A470" s="28" t="s">
        <v>15</v>
      </c>
      <c r="B470" s="29">
        <v>1</v>
      </c>
      <c r="C470" s="29">
        <v>5</v>
      </c>
      <c r="D470" s="30">
        <v>3000</v>
      </c>
      <c r="E470" s="31">
        <v>1345</v>
      </c>
      <c r="F470" s="32">
        <f t="shared" si="22"/>
        <v>2172.5</v>
      </c>
      <c r="G470" s="2">
        <f t="shared" si="23"/>
        <v>722134.3562883212</v>
      </c>
      <c r="H470" s="26"/>
      <c r="I470" s="27">
        <f t="shared" si="24"/>
      </c>
    </row>
    <row r="471" spans="1:9" ht="15.75" thickBot="1">
      <c r="A471" s="28" t="s">
        <v>15</v>
      </c>
      <c r="B471" s="29">
        <v>2</v>
      </c>
      <c r="C471" s="29">
        <v>5</v>
      </c>
      <c r="D471" s="30">
        <v>73000</v>
      </c>
      <c r="E471" s="31">
        <v>20609</v>
      </c>
      <c r="F471" s="32">
        <f t="shared" si="22"/>
        <v>46804.5</v>
      </c>
      <c r="G471" s="2">
        <f t="shared" si="23"/>
        <v>6097071.159826125</v>
      </c>
      <c r="H471" s="39">
        <f>SUM(G467:G471)</f>
        <v>19847655.539747085</v>
      </c>
      <c r="I471" s="27">
        <f t="shared" si="24"/>
        <v>19848029.189747084</v>
      </c>
    </row>
    <row r="472" spans="1:9" ht="15">
      <c r="A472" s="20" t="s">
        <v>16</v>
      </c>
      <c r="B472" s="21">
        <v>2</v>
      </c>
      <c r="C472" s="21">
        <v>5</v>
      </c>
      <c r="D472" s="22">
        <v>220000</v>
      </c>
      <c r="E472" s="23">
        <v>172561</v>
      </c>
      <c r="F472" s="24">
        <f t="shared" si="22"/>
        <v>196280.5</v>
      </c>
      <c r="G472" s="25">
        <f t="shared" si="23"/>
        <v>16156885.110477952</v>
      </c>
      <c r="H472" s="26"/>
      <c r="I472" s="27">
        <f t="shared" si="24"/>
      </c>
    </row>
    <row r="473" spans="1:9" ht="15">
      <c r="A473" s="28" t="s">
        <v>16</v>
      </c>
      <c r="B473" s="29">
        <v>1</v>
      </c>
      <c r="C473" s="29">
        <v>5</v>
      </c>
      <c r="D473" s="30">
        <v>120000</v>
      </c>
      <c r="E473" s="31">
        <v>76168</v>
      </c>
      <c r="F473" s="32">
        <f t="shared" si="22"/>
        <v>98084</v>
      </c>
      <c r="G473" s="2">
        <f t="shared" si="23"/>
        <v>9625896.342617491</v>
      </c>
      <c r="H473" s="26"/>
      <c r="I473" s="27">
        <f t="shared" si="24"/>
      </c>
    </row>
    <row r="474" spans="1:9" ht="15">
      <c r="A474" s="28" t="s">
        <v>16</v>
      </c>
      <c r="B474" s="29">
        <v>2</v>
      </c>
      <c r="C474" s="29">
        <v>5</v>
      </c>
      <c r="D474" s="30">
        <v>84000</v>
      </c>
      <c r="E474" s="31">
        <v>63289</v>
      </c>
      <c r="F474" s="32">
        <f t="shared" si="22"/>
        <v>73644.5</v>
      </c>
      <c r="G474" s="2">
        <f t="shared" si="23"/>
        <v>8297394.411753758</v>
      </c>
      <c r="H474" s="26"/>
      <c r="I474" s="27">
        <f t="shared" si="24"/>
      </c>
    </row>
    <row r="475" spans="1:9" ht="15">
      <c r="A475" s="28" t="s">
        <v>16</v>
      </c>
      <c r="B475" s="29">
        <v>2</v>
      </c>
      <c r="C475" s="29">
        <v>5</v>
      </c>
      <c r="D475" s="30">
        <v>83000</v>
      </c>
      <c r="E475" s="31">
        <v>35111</v>
      </c>
      <c r="F475" s="32">
        <f t="shared" si="22"/>
        <v>59055.5</v>
      </c>
      <c r="G475" s="2">
        <f t="shared" si="23"/>
        <v>7141057.5470804395</v>
      </c>
      <c r="H475" s="26"/>
      <c r="I475" s="27">
        <f t="shared" si="24"/>
      </c>
    </row>
    <row r="476" spans="1:9" ht="15">
      <c r="A476" s="28" t="s">
        <v>16</v>
      </c>
      <c r="B476" s="29">
        <v>1</v>
      </c>
      <c r="C476" s="29">
        <v>5</v>
      </c>
      <c r="D476" s="30">
        <v>6000</v>
      </c>
      <c r="E476" s="31">
        <v>3182</v>
      </c>
      <c r="F476" s="32">
        <f t="shared" si="22"/>
        <v>4591</v>
      </c>
      <c r="G476" s="2">
        <f t="shared" si="23"/>
        <v>1200928.97486365</v>
      </c>
      <c r="H476" s="26"/>
      <c r="I476" s="27">
        <f t="shared" si="24"/>
      </c>
    </row>
    <row r="477" spans="1:9" ht="15">
      <c r="A477" s="28" t="s">
        <v>16</v>
      </c>
      <c r="B477" s="29">
        <v>1</v>
      </c>
      <c r="C477" s="29">
        <v>5</v>
      </c>
      <c r="D477" s="30">
        <v>6000</v>
      </c>
      <c r="E477" s="31">
        <v>5990</v>
      </c>
      <c r="F477" s="32">
        <f t="shared" si="22"/>
        <v>5995</v>
      </c>
      <c r="G477" s="2">
        <f t="shared" si="23"/>
        <v>1439772.370739434</v>
      </c>
      <c r="H477" s="26"/>
      <c r="I477" s="27">
        <f t="shared" si="24"/>
      </c>
    </row>
    <row r="478" spans="1:9" ht="15">
      <c r="A478" s="28" t="s">
        <v>16</v>
      </c>
      <c r="B478" s="29">
        <v>1</v>
      </c>
      <c r="C478" s="29">
        <v>5</v>
      </c>
      <c r="D478" s="30">
        <v>6000</v>
      </c>
      <c r="E478" s="31">
        <v>2995</v>
      </c>
      <c r="F478" s="32">
        <f t="shared" si="22"/>
        <v>4497.5</v>
      </c>
      <c r="G478" s="2">
        <f t="shared" si="23"/>
        <v>1184247.6955733667</v>
      </c>
      <c r="H478" s="26"/>
      <c r="I478" s="27">
        <f t="shared" si="24"/>
      </c>
    </row>
    <row r="479" spans="1:9" ht="15">
      <c r="A479" s="28" t="s">
        <v>16</v>
      </c>
      <c r="B479" s="29">
        <v>1</v>
      </c>
      <c r="C479" s="29">
        <v>5</v>
      </c>
      <c r="D479" s="30">
        <v>6000</v>
      </c>
      <c r="E479" s="31">
        <v>3172</v>
      </c>
      <c r="F479" s="32">
        <f t="shared" si="22"/>
        <v>4586</v>
      </c>
      <c r="G479" s="2">
        <f t="shared" si="23"/>
        <v>1200039.6980897905</v>
      </c>
      <c r="H479" s="26"/>
      <c r="I479" s="27">
        <f t="shared" si="24"/>
      </c>
    </row>
    <row r="480" spans="1:9" ht="15">
      <c r="A480" s="28" t="s">
        <v>16</v>
      </c>
      <c r="B480" s="29">
        <v>1</v>
      </c>
      <c r="C480" s="29">
        <v>5</v>
      </c>
      <c r="D480" s="30">
        <v>4100</v>
      </c>
      <c r="E480" s="31">
        <v>2932</v>
      </c>
      <c r="F480" s="32">
        <f t="shared" si="22"/>
        <v>3516</v>
      </c>
      <c r="G480" s="2">
        <f t="shared" si="23"/>
        <v>1001744.0347551603</v>
      </c>
      <c r="H480" s="26"/>
      <c r="I480" s="27">
        <f t="shared" si="24"/>
      </c>
    </row>
    <row r="481" spans="1:9" ht="15.75" thickBot="1">
      <c r="A481" s="33" t="s">
        <v>16</v>
      </c>
      <c r="B481" s="34">
        <v>1</v>
      </c>
      <c r="C481" s="34">
        <v>5</v>
      </c>
      <c r="D481" s="35">
        <v>10000</v>
      </c>
      <c r="E481" s="36">
        <v>6240</v>
      </c>
      <c r="F481" s="37">
        <f t="shared" si="22"/>
        <v>8120</v>
      </c>
      <c r="G481" s="38">
        <f t="shared" si="23"/>
        <v>1769574.837652857</v>
      </c>
      <c r="H481" s="39">
        <f>SUM(G472:G481)</f>
        <v>49017541.02360391</v>
      </c>
      <c r="I481" s="27">
        <f t="shared" si="24"/>
        <v>49017914.67360391</v>
      </c>
    </row>
    <row r="482" spans="1:9" ht="15">
      <c r="A482" s="20" t="s">
        <v>102</v>
      </c>
      <c r="B482" s="21">
        <v>1</v>
      </c>
      <c r="C482" s="21">
        <v>5</v>
      </c>
      <c r="D482" s="22">
        <v>1770</v>
      </c>
      <c r="E482" s="23">
        <v>793</v>
      </c>
      <c r="F482" s="24">
        <f t="shared" si="22"/>
        <v>1281.5</v>
      </c>
      <c r="G482" s="25">
        <f t="shared" si="23"/>
        <v>504405.55059230776</v>
      </c>
      <c r="H482" s="26"/>
      <c r="I482" s="27">
        <f t="shared" si="24"/>
      </c>
    </row>
    <row r="483" spans="1:9" ht="15">
      <c r="A483" s="28" t="s">
        <v>102</v>
      </c>
      <c r="B483" s="29">
        <v>1</v>
      </c>
      <c r="C483" s="29">
        <v>5</v>
      </c>
      <c r="D483" s="30">
        <v>1200</v>
      </c>
      <c r="E483" s="31">
        <v>468</v>
      </c>
      <c r="F483" s="32">
        <f t="shared" si="22"/>
        <v>834</v>
      </c>
      <c r="G483" s="2">
        <f t="shared" si="23"/>
        <v>376670.34235769365</v>
      </c>
      <c r="H483" s="26"/>
      <c r="I483" s="27">
        <f t="shared" si="24"/>
      </c>
    </row>
    <row r="484" spans="1:9" ht="15">
      <c r="A484" s="28" t="s">
        <v>102</v>
      </c>
      <c r="B484" s="29">
        <v>1</v>
      </c>
      <c r="C484" s="29">
        <v>5</v>
      </c>
      <c r="D484" s="30">
        <v>1200</v>
      </c>
      <c r="E484" s="31">
        <v>206</v>
      </c>
      <c r="F484" s="32">
        <f t="shared" si="22"/>
        <v>703</v>
      </c>
      <c r="G484" s="2">
        <f t="shared" si="23"/>
        <v>335361.32397009176</v>
      </c>
      <c r="H484" s="26"/>
      <c r="I484" s="27">
        <f t="shared" si="24"/>
      </c>
    </row>
    <row r="485" spans="1:9" ht="15">
      <c r="A485" s="28" t="s">
        <v>102</v>
      </c>
      <c r="B485" s="29">
        <v>1</v>
      </c>
      <c r="C485" s="29">
        <v>5</v>
      </c>
      <c r="D485" s="30">
        <v>4300</v>
      </c>
      <c r="E485" s="31">
        <v>3171</v>
      </c>
      <c r="F485" s="32">
        <f t="shared" si="22"/>
        <v>3735.5</v>
      </c>
      <c r="G485" s="2">
        <f t="shared" si="23"/>
        <v>1043843.568057528</v>
      </c>
      <c r="H485" s="26"/>
      <c r="I485" s="27">
        <f t="shared" si="24"/>
      </c>
    </row>
    <row r="486" spans="1:9" ht="15">
      <c r="A486" s="28" t="s">
        <v>102</v>
      </c>
      <c r="B486" s="29">
        <v>1</v>
      </c>
      <c r="C486" s="29">
        <v>5</v>
      </c>
      <c r="D486" s="30">
        <v>14500</v>
      </c>
      <c r="E486" s="31">
        <v>3116</v>
      </c>
      <c r="F486" s="32">
        <f t="shared" si="22"/>
        <v>8808</v>
      </c>
      <c r="G486" s="2">
        <f t="shared" si="23"/>
        <v>1870166.7794006127</v>
      </c>
      <c r="H486" s="26"/>
      <c r="I486" s="27">
        <f t="shared" si="24"/>
      </c>
    </row>
    <row r="487" spans="1:9" ht="15">
      <c r="A487" s="28" t="s">
        <v>102</v>
      </c>
      <c r="B487" s="29">
        <v>1</v>
      </c>
      <c r="C487" s="29">
        <v>5</v>
      </c>
      <c r="D487" s="30">
        <v>6000</v>
      </c>
      <c r="E487" s="31">
        <v>3835</v>
      </c>
      <c r="F487" s="32">
        <f t="shared" si="22"/>
        <v>4917.5</v>
      </c>
      <c r="G487" s="2">
        <f t="shared" si="23"/>
        <v>1258347.432525001</v>
      </c>
      <c r="H487" s="26"/>
      <c r="I487" s="27">
        <f t="shared" si="24"/>
      </c>
    </row>
    <row r="488" spans="1:9" ht="15.75" thickBot="1">
      <c r="A488" s="33" t="s">
        <v>102</v>
      </c>
      <c r="B488" s="34">
        <v>1</v>
      </c>
      <c r="C488" s="34">
        <v>5</v>
      </c>
      <c r="D488" s="35">
        <v>2600</v>
      </c>
      <c r="E488" s="36">
        <v>1096</v>
      </c>
      <c r="F488" s="37">
        <f t="shared" si="22"/>
        <v>1848</v>
      </c>
      <c r="G488" s="38">
        <f t="shared" si="23"/>
        <v>646929.183051899</v>
      </c>
      <c r="H488" s="39">
        <f>SUM(G482:G488)</f>
        <v>6035724.179955134</v>
      </c>
      <c r="I488" s="27">
        <f t="shared" si="24"/>
        <v>6036097.829955135</v>
      </c>
    </row>
    <row r="489" spans="1:9" ht="15">
      <c r="A489" s="20" t="s">
        <v>18</v>
      </c>
      <c r="B489" s="21">
        <v>1</v>
      </c>
      <c r="C489" s="21">
        <v>5</v>
      </c>
      <c r="D489" s="22">
        <v>18000</v>
      </c>
      <c r="E489" s="23">
        <v>10237</v>
      </c>
      <c r="F489" s="24">
        <f t="shared" si="22"/>
        <v>14118.5</v>
      </c>
      <c r="G489" s="25">
        <f t="shared" si="23"/>
        <v>2577383.2834103275</v>
      </c>
      <c r="H489" s="26"/>
      <c r="I489" s="27">
        <f t="shared" si="24"/>
      </c>
    </row>
    <row r="490" spans="1:9" ht="15">
      <c r="A490" s="28" t="s">
        <v>18</v>
      </c>
      <c r="B490" s="29">
        <v>1</v>
      </c>
      <c r="C490" s="29">
        <v>5</v>
      </c>
      <c r="D490" s="30">
        <v>10000</v>
      </c>
      <c r="E490" s="31">
        <v>5645</v>
      </c>
      <c r="F490" s="32">
        <f t="shared" si="22"/>
        <v>7822.5</v>
      </c>
      <c r="G490" s="2">
        <f t="shared" si="23"/>
        <v>1725238.1984891067</v>
      </c>
      <c r="H490" s="26"/>
      <c r="I490" s="27">
        <f t="shared" si="24"/>
      </c>
    </row>
    <row r="491" spans="1:9" ht="15">
      <c r="A491" s="28" t="s">
        <v>18</v>
      </c>
      <c r="B491" s="29">
        <v>1</v>
      </c>
      <c r="C491" s="29">
        <v>5</v>
      </c>
      <c r="D491" s="30">
        <v>12400</v>
      </c>
      <c r="E491" s="31">
        <v>6801</v>
      </c>
      <c r="F491" s="32">
        <f t="shared" si="22"/>
        <v>9600.5</v>
      </c>
      <c r="G491" s="2">
        <f t="shared" si="23"/>
        <v>1982969.8275790955</v>
      </c>
      <c r="H491" s="26"/>
      <c r="I491" s="27">
        <f t="shared" si="24"/>
      </c>
    </row>
    <row r="492" spans="1:9" ht="15">
      <c r="A492" s="28" t="s">
        <v>18</v>
      </c>
      <c r="B492" s="29">
        <v>1</v>
      </c>
      <c r="C492" s="29">
        <v>5</v>
      </c>
      <c r="D492" s="30">
        <v>24000</v>
      </c>
      <c r="E492" s="31">
        <v>20405</v>
      </c>
      <c r="F492" s="32">
        <f t="shared" si="22"/>
        <v>22202.5</v>
      </c>
      <c r="G492" s="2">
        <f t="shared" si="23"/>
        <v>3506200.4627993153</v>
      </c>
      <c r="H492" s="26"/>
      <c r="I492" s="27">
        <f t="shared" si="24"/>
      </c>
    </row>
    <row r="493" spans="1:9" ht="15">
      <c r="A493" s="28" t="s">
        <v>18</v>
      </c>
      <c r="B493" s="29">
        <v>1</v>
      </c>
      <c r="C493" s="29">
        <v>3</v>
      </c>
      <c r="D493" s="30">
        <v>1000</v>
      </c>
      <c r="E493" s="31">
        <v>197</v>
      </c>
      <c r="F493" s="32">
        <f t="shared" si="22"/>
        <v>598.5</v>
      </c>
      <c r="G493" s="2">
        <f t="shared" si="23"/>
        <v>240489.26086945718</v>
      </c>
      <c r="H493" s="26"/>
      <c r="I493" s="27">
        <f t="shared" si="24"/>
      </c>
    </row>
    <row r="494" spans="1:9" ht="15">
      <c r="A494" s="28" t="s">
        <v>18</v>
      </c>
      <c r="B494" s="29">
        <v>1</v>
      </c>
      <c r="C494" s="29">
        <v>3</v>
      </c>
      <c r="D494" s="30">
        <v>1000</v>
      </c>
      <c r="E494" s="31">
        <v>442</v>
      </c>
      <c r="F494" s="32">
        <f t="shared" si="22"/>
        <v>721</v>
      </c>
      <c r="G494" s="2">
        <f t="shared" si="23"/>
        <v>272942.94182378193</v>
      </c>
      <c r="H494" s="26"/>
      <c r="I494" s="27">
        <f t="shared" si="24"/>
      </c>
    </row>
    <row r="495" spans="1:9" ht="15">
      <c r="A495" s="28" t="s">
        <v>18</v>
      </c>
      <c r="B495" s="29">
        <v>1</v>
      </c>
      <c r="C495" s="29">
        <v>3</v>
      </c>
      <c r="D495" s="30">
        <v>60</v>
      </c>
      <c r="E495" s="31">
        <v>40</v>
      </c>
      <c r="F495" s="32">
        <f t="shared" si="22"/>
        <v>50</v>
      </c>
      <c r="G495" s="2">
        <f t="shared" si="23"/>
        <v>44484.35358867029</v>
      </c>
      <c r="H495" s="26"/>
      <c r="I495" s="27">
        <f t="shared" si="24"/>
      </c>
    </row>
    <row r="496" spans="1:9" ht="15">
      <c r="A496" s="28" t="s">
        <v>18</v>
      </c>
      <c r="B496" s="29">
        <v>1</v>
      </c>
      <c r="C496" s="29">
        <v>3</v>
      </c>
      <c r="D496" s="30">
        <v>700</v>
      </c>
      <c r="E496" s="31">
        <v>127</v>
      </c>
      <c r="F496" s="32">
        <f t="shared" si="22"/>
        <v>413.5</v>
      </c>
      <c r="G496" s="2">
        <f t="shared" si="23"/>
        <v>187037.00067200803</v>
      </c>
      <c r="H496" s="26"/>
      <c r="I496" s="27">
        <f t="shared" si="24"/>
      </c>
    </row>
    <row r="497" spans="1:9" ht="15">
      <c r="A497" s="28" t="s">
        <v>18</v>
      </c>
      <c r="B497" s="29">
        <v>1</v>
      </c>
      <c r="C497" s="29">
        <v>2</v>
      </c>
      <c r="D497" s="30">
        <v>50</v>
      </c>
      <c r="E497" s="31">
        <v>32</v>
      </c>
      <c r="F497" s="32">
        <f t="shared" si="22"/>
        <v>41</v>
      </c>
      <c r="G497" s="2">
        <f t="shared" si="23"/>
        <v>37342.82818165675</v>
      </c>
      <c r="H497" s="26"/>
      <c r="I497" s="27">
        <f t="shared" si="24"/>
      </c>
    </row>
    <row r="498" spans="1:9" ht="15">
      <c r="A498" s="28" t="s">
        <v>18</v>
      </c>
      <c r="B498" s="29">
        <v>1</v>
      </c>
      <c r="C498" s="29">
        <v>3</v>
      </c>
      <c r="D498" s="30">
        <v>100</v>
      </c>
      <c r="E498" s="31">
        <v>4</v>
      </c>
      <c r="F498" s="32">
        <f t="shared" si="22"/>
        <v>52</v>
      </c>
      <c r="G498" s="2">
        <f t="shared" si="23"/>
        <v>45686.35900947703</v>
      </c>
      <c r="H498" s="26"/>
      <c r="I498" s="27">
        <f t="shared" si="24"/>
      </c>
    </row>
    <row r="499" spans="1:9" ht="15">
      <c r="A499" s="28" t="s">
        <v>18</v>
      </c>
      <c r="B499" s="29">
        <v>1</v>
      </c>
      <c r="C499" s="29">
        <v>5</v>
      </c>
      <c r="D499" s="30">
        <v>2450</v>
      </c>
      <c r="E499" s="31">
        <v>2132</v>
      </c>
      <c r="F499" s="32">
        <f t="shared" si="22"/>
        <v>2291</v>
      </c>
      <c r="G499" s="2">
        <f t="shared" si="23"/>
        <v>748682.7057045602</v>
      </c>
      <c r="H499" s="26"/>
      <c r="I499" s="27">
        <f t="shared" si="24"/>
      </c>
    </row>
    <row r="500" spans="1:9" ht="15.75" thickBot="1">
      <c r="A500" s="33" t="s">
        <v>18</v>
      </c>
      <c r="B500" s="34">
        <v>1</v>
      </c>
      <c r="C500" s="34">
        <v>3</v>
      </c>
      <c r="D500" s="35">
        <v>150</v>
      </c>
      <c r="E500" s="36">
        <v>27</v>
      </c>
      <c r="F500" s="37">
        <f t="shared" si="22"/>
        <v>88.5</v>
      </c>
      <c r="G500" s="38">
        <f t="shared" si="23"/>
        <v>65581.22287826777</v>
      </c>
      <c r="H500" s="39">
        <f>SUM(G489:G500)</f>
        <v>11434038.445005726</v>
      </c>
      <c r="I500" s="27">
        <f t="shared" si="24"/>
        <v>11434412.095005726</v>
      </c>
    </row>
    <row r="501" spans="1:9" ht="15">
      <c r="A501" s="20" t="s">
        <v>103</v>
      </c>
      <c r="B501" s="21">
        <v>1</v>
      </c>
      <c r="C501" s="21">
        <v>5</v>
      </c>
      <c r="D501" s="22">
        <v>63000</v>
      </c>
      <c r="E501" s="23">
        <v>29838</v>
      </c>
      <c r="F501" s="24">
        <f t="shared" si="22"/>
        <v>46419</v>
      </c>
      <c r="G501" s="25">
        <f t="shared" si="23"/>
        <v>5788586.627478373</v>
      </c>
      <c r="H501" s="26"/>
      <c r="I501" s="27">
        <f t="shared" si="24"/>
      </c>
    </row>
    <row r="502" spans="1:9" ht="15">
      <c r="A502" s="28" t="s">
        <v>103</v>
      </c>
      <c r="B502" s="29">
        <v>1</v>
      </c>
      <c r="C502" s="29">
        <v>5</v>
      </c>
      <c r="D502" s="30">
        <v>17300</v>
      </c>
      <c r="E502" s="31">
        <v>13000</v>
      </c>
      <c r="F502" s="32">
        <f t="shared" si="22"/>
        <v>15150</v>
      </c>
      <c r="G502" s="2">
        <f t="shared" si="23"/>
        <v>2703941.26340736</v>
      </c>
      <c r="H502" s="26"/>
      <c r="I502" s="27">
        <f t="shared" si="24"/>
      </c>
    </row>
    <row r="503" spans="1:9" ht="15">
      <c r="A503" s="28" t="s">
        <v>103</v>
      </c>
      <c r="B503" s="29">
        <v>1</v>
      </c>
      <c r="C503" s="29">
        <v>5</v>
      </c>
      <c r="D503" s="30">
        <v>9700</v>
      </c>
      <c r="E503" s="31">
        <v>4000</v>
      </c>
      <c r="F503" s="32">
        <f t="shared" si="22"/>
        <v>6850</v>
      </c>
      <c r="G503" s="2">
        <f t="shared" si="23"/>
        <v>1576359.2374810022</v>
      </c>
      <c r="H503" s="26"/>
      <c r="I503" s="27">
        <f t="shared" si="24"/>
      </c>
    </row>
    <row r="504" spans="1:9" ht="15.75" thickBot="1">
      <c r="A504" s="33" t="s">
        <v>103</v>
      </c>
      <c r="B504" s="34">
        <v>1</v>
      </c>
      <c r="C504" s="34">
        <v>4</v>
      </c>
      <c r="D504" s="35">
        <v>2500</v>
      </c>
      <c r="E504" s="36">
        <v>803</v>
      </c>
      <c r="F504" s="37">
        <f t="shared" si="22"/>
        <v>1651.5</v>
      </c>
      <c r="G504" s="38">
        <f t="shared" si="23"/>
        <v>504987.27923027443</v>
      </c>
      <c r="H504" s="39">
        <f>SUM(G501:G504)</f>
        <v>10573874.40759701</v>
      </c>
      <c r="I504" s="27">
        <f t="shared" si="24"/>
        <v>10574248.05759701</v>
      </c>
    </row>
    <row r="505" spans="1:9" ht="15">
      <c r="A505" s="20" t="s">
        <v>104</v>
      </c>
      <c r="B505" s="21">
        <v>2</v>
      </c>
      <c r="C505" s="21">
        <v>5</v>
      </c>
      <c r="D505" s="22">
        <v>330000</v>
      </c>
      <c r="E505" s="23">
        <v>144906</v>
      </c>
      <c r="F505" s="24">
        <f t="shared" si="22"/>
        <v>237453</v>
      </c>
      <c r="G505" s="25">
        <f t="shared" si="23"/>
        <v>18389818.38529948</v>
      </c>
      <c r="H505" s="26"/>
      <c r="I505" s="27">
        <f t="shared" si="24"/>
      </c>
    </row>
    <row r="506" spans="1:9" ht="15">
      <c r="A506" s="28" t="s">
        <v>104</v>
      </c>
      <c r="B506" s="29">
        <v>2</v>
      </c>
      <c r="C506" s="29">
        <v>5</v>
      </c>
      <c r="D506" s="30">
        <v>100000</v>
      </c>
      <c r="E506" s="31">
        <v>84000</v>
      </c>
      <c r="F506" s="32">
        <f t="shared" si="22"/>
        <v>92000</v>
      </c>
      <c r="G506" s="2">
        <f t="shared" si="23"/>
        <v>9652564.479637185</v>
      </c>
      <c r="H506" s="26"/>
      <c r="I506" s="27">
        <f t="shared" si="24"/>
      </c>
    </row>
    <row r="507" spans="1:9" ht="15">
      <c r="A507" s="28" t="s">
        <v>104</v>
      </c>
      <c r="B507" s="29">
        <v>2</v>
      </c>
      <c r="C507" s="29">
        <v>5</v>
      </c>
      <c r="D507" s="30">
        <v>50000</v>
      </c>
      <c r="E507" s="31">
        <v>20042</v>
      </c>
      <c r="F507" s="32">
        <f t="shared" si="22"/>
        <v>35021</v>
      </c>
      <c r="G507" s="2">
        <f t="shared" si="23"/>
        <v>5006039.704890746</v>
      </c>
      <c r="H507" s="26"/>
      <c r="I507" s="27">
        <f t="shared" si="24"/>
      </c>
    </row>
    <row r="508" spans="1:9" ht="15">
      <c r="A508" s="28" t="s">
        <v>104</v>
      </c>
      <c r="B508" s="29">
        <v>2</v>
      </c>
      <c r="C508" s="29">
        <v>5</v>
      </c>
      <c r="D508" s="30">
        <v>20000</v>
      </c>
      <c r="E508" s="31">
        <v>4273</v>
      </c>
      <c r="F508" s="32">
        <f t="shared" si="22"/>
        <v>12136.5</v>
      </c>
      <c r="G508" s="2">
        <f t="shared" si="23"/>
        <v>2435715.055949931</v>
      </c>
      <c r="H508" s="26"/>
      <c r="I508" s="27">
        <f t="shared" si="24"/>
      </c>
    </row>
    <row r="509" spans="1:9" ht="15">
      <c r="A509" s="28" t="s">
        <v>104</v>
      </c>
      <c r="B509" s="29">
        <v>1</v>
      </c>
      <c r="C509" s="29">
        <v>1</v>
      </c>
      <c r="D509" s="30">
        <v>215</v>
      </c>
      <c r="E509" s="31">
        <v>54</v>
      </c>
      <c r="F509" s="32">
        <f t="shared" si="22"/>
        <v>134.5</v>
      </c>
      <c r="G509" s="2">
        <f t="shared" si="23"/>
        <v>44288.39335359777</v>
      </c>
      <c r="H509" s="26"/>
      <c r="I509" s="27">
        <f t="shared" si="24"/>
      </c>
    </row>
    <row r="510" spans="1:9" ht="15.75" thickBot="1">
      <c r="A510" s="28" t="s">
        <v>104</v>
      </c>
      <c r="B510" s="29">
        <v>1</v>
      </c>
      <c r="C510" s="29">
        <v>2</v>
      </c>
      <c r="D510" s="30">
        <v>280</v>
      </c>
      <c r="E510" s="31">
        <v>56</v>
      </c>
      <c r="F510" s="32">
        <f t="shared" si="22"/>
        <v>168</v>
      </c>
      <c r="G510" s="2">
        <f t="shared" si="23"/>
        <v>97409.65166789778</v>
      </c>
      <c r="H510" s="39">
        <f>SUM(G505:G510)</f>
        <v>35625835.67079884</v>
      </c>
      <c r="I510" s="27">
        <f t="shared" si="24"/>
        <v>35626209.32079884</v>
      </c>
    </row>
    <row r="511" spans="1:9" ht="15">
      <c r="A511" s="20" t="s">
        <v>105</v>
      </c>
      <c r="B511" s="21">
        <v>2</v>
      </c>
      <c r="C511" s="21">
        <v>5</v>
      </c>
      <c r="D511" s="22">
        <v>76300</v>
      </c>
      <c r="E511" s="23">
        <v>36495</v>
      </c>
      <c r="F511" s="24">
        <f t="shared" si="22"/>
        <v>56397.5</v>
      </c>
      <c r="G511" s="25">
        <f t="shared" si="23"/>
        <v>6920957.6920412</v>
      </c>
      <c r="H511" s="26"/>
      <c r="I511" s="27">
        <f t="shared" si="24"/>
      </c>
    </row>
    <row r="512" spans="1:9" ht="15">
      <c r="A512" s="28" t="s">
        <v>105</v>
      </c>
      <c r="B512" s="29">
        <v>2</v>
      </c>
      <c r="C512" s="29">
        <v>5</v>
      </c>
      <c r="D512" s="30">
        <v>26000</v>
      </c>
      <c r="E512" s="31">
        <v>20674</v>
      </c>
      <c r="F512" s="32">
        <f t="shared" si="22"/>
        <v>23337</v>
      </c>
      <c r="G512" s="2">
        <f t="shared" si="23"/>
        <v>3798890.32208988</v>
      </c>
      <c r="H512" s="26"/>
      <c r="I512" s="27">
        <f t="shared" si="24"/>
      </c>
    </row>
    <row r="513" spans="1:9" ht="15.75" thickBot="1">
      <c r="A513" s="33" t="s">
        <v>105</v>
      </c>
      <c r="B513" s="34">
        <v>2</v>
      </c>
      <c r="C513" s="34">
        <v>5</v>
      </c>
      <c r="D513" s="35">
        <v>25000</v>
      </c>
      <c r="E513" s="36">
        <v>11574</v>
      </c>
      <c r="F513" s="37">
        <f t="shared" si="22"/>
        <v>18287</v>
      </c>
      <c r="G513" s="38">
        <f t="shared" si="23"/>
        <v>3218579.153172009</v>
      </c>
      <c r="H513" s="39">
        <f>SUM(G511:G513)</f>
        <v>13938427.167303089</v>
      </c>
      <c r="I513" s="27">
        <f t="shared" si="24"/>
        <v>13938800.81730309</v>
      </c>
    </row>
    <row r="514" spans="1:9" ht="15">
      <c r="A514" s="20" t="s">
        <v>19</v>
      </c>
      <c r="B514" s="21">
        <v>2</v>
      </c>
      <c r="C514" s="21">
        <v>5</v>
      </c>
      <c r="D514" s="22">
        <v>37000</v>
      </c>
      <c r="E514" s="23">
        <v>21320</v>
      </c>
      <c r="F514" s="24">
        <f t="shared" si="22"/>
        <v>29160</v>
      </c>
      <c r="G514" s="25">
        <f t="shared" si="23"/>
        <v>4420000.33476009</v>
      </c>
      <c r="H514" s="26"/>
      <c r="I514" s="27">
        <f t="shared" si="24"/>
      </c>
    </row>
    <row r="515" spans="1:9" ht="15">
      <c r="A515" s="28" t="s">
        <v>19</v>
      </c>
      <c r="B515" s="29">
        <v>2</v>
      </c>
      <c r="C515" s="29">
        <v>5</v>
      </c>
      <c r="D515" s="30">
        <v>11000</v>
      </c>
      <c r="E515" s="31">
        <v>7535</v>
      </c>
      <c r="F515" s="32">
        <f aca="true" t="shared" si="25" ref="F515:F578">(D515+E515)/2</f>
        <v>9267.5</v>
      </c>
      <c r="G515" s="2">
        <f aca="true" t="shared" si="26" ref="G515:G578">IF(C515=1,1581.92*(F515^0.6798),IF(C515=2,2991.14*(F515^0.6798),IF(C515=3,3113.49*(F515^0.6798),IF(C515=4,3279.19*(F515^0.6798),IF(C515=5,IF(B515=1,3891.82*(F515^0.6798),IF(B515=2,4076.24*(F515^0.6798),0)),0)))))</f>
        <v>2027687.0068212275</v>
      </c>
      <c r="H515" s="26"/>
      <c r="I515" s="27">
        <f t="shared" si="24"/>
      </c>
    </row>
    <row r="516" spans="1:9" ht="15">
      <c r="A516" s="28" t="s">
        <v>19</v>
      </c>
      <c r="B516" s="29">
        <v>1</v>
      </c>
      <c r="C516" s="29">
        <v>5</v>
      </c>
      <c r="D516" s="30">
        <v>14000</v>
      </c>
      <c r="E516" s="31">
        <v>13344</v>
      </c>
      <c r="F516" s="32">
        <f t="shared" si="25"/>
        <v>13672</v>
      </c>
      <c r="G516" s="2">
        <f t="shared" si="26"/>
        <v>2521688.123116605</v>
      </c>
      <c r="H516" s="26"/>
      <c r="I516" s="27">
        <f t="shared" si="24"/>
      </c>
    </row>
    <row r="517" spans="1:9" ht="15">
      <c r="A517" s="28" t="s">
        <v>19</v>
      </c>
      <c r="B517" s="29">
        <v>2</v>
      </c>
      <c r="C517" s="29">
        <v>5</v>
      </c>
      <c r="D517" s="30">
        <v>10000</v>
      </c>
      <c r="E517" s="31">
        <v>10455</v>
      </c>
      <c r="F517" s="32">
        <f t="shared" si="25"/>
        <v>10227.5</v>
      </c>
      <c r="G517" s="2">
        <f t="shared" si="26"/>
        <v>2168208.5089711198</v>
      </c>
      <c r="H517" s="26"/>
      <c r="I517" s="27">
        <f t="shared" si="24"/>
      </c>
    </row>
    <row r="518" spans="1:9" ht="15.75" thickBot="1">
      <c r="A518" s="33" t="s">
        <v>19</v>
      </c>
      <c r="B518" s="34">
        <v>1</v>
      </c>
      <c r="C518" s="34">
        <v>2</v>
      </c>
      <c r="D518" s="35">
        <v>1200</v>
      </c>
      <c r="E518" s="36">
        <v>3230</v>
      </c>
      <c r="F518" s="37">
        <f t="shared" si="25"/>
        <v>2215</v>
      </c>
      <c r="G518" s="38">
        <f t="shared" si="26"/>
        <v>562369.556814673</v>
      </c>
      <c r="H518" s="39">
        <f>SUM(G514:G518)</f>
        <v>11699953.530483715</v>
      </c>
      <c r="I518" s="27">
        <f t="shared" si="24"/>
        <v>11700327.180483716</v>
      </c>
    </row>
    <row r="519" spans="1:9" ht="15">
      <c r="A519" s="20" t="s">
        <v>106</v>
      </c>
      <c r="B519" s="21">
        <v>1</v>
      </c>
      <c r="C519" s="21">
        <v>5</v>
      </c>
      <c r="D519" s="22">
        <v>45000</v>
      </c>
      <c r="E519" s="23">
        <v>24017</v>
      </c>
      <c r="F519" s="24">
        <f t="shared" si="25"/>
        <v>34508.5</v>
      </c>
      <c r="G519" s="25">
        <f t="shared" si="26"/>
        <v>4731892.787820885</v>
      </c>
      <c r="H519" s="26"/>
      <c r="I519" s="27">
        <f t="shared" si="24"/>
      </c>
    </row>
    <row r="520" spans="1:9" ht="15">
      <c r="A520" s="28" t="s">
        <v>106</v>
      </c>
      <c r="B520" s="29">
        <v>1</v>
      </c>
      <c r="C520" s="29">
        <v>5</v>
      </c>
      <c r="D520" s="30">
        <v>1000</v>
      </c>
      <c r="E520" s="31">
        <v>362</v>
      </c>
      <c r="F520" s="32">
        <f t="shared" si="25"/>
        <v>681</v>
      </c>
      <c r="G520" s="2">
        <f t="shared" si="26"/>
        <v>328190.6108585367</v>
      </c>
      <c r="H520" s="26"/>
      <c r="I520" s="27">
        <f t="shared" si="24"/>
      </c>
    </row>
    <row r="521" spans="1:9" ht="15">
      <c r="A521" s="28" t="s">
        <v>106</v>
      </c>
      <c r="B521" s="29">
        <v>1</v>
      </c>
      <c r="C521" s="29">
        <v>5</v>
      </c>
      <c r="D521" s="30">
        <v>22000</v>
      </c>
      <c r="E521" s="31">
        <v>17911</v>
      </c>
      <c r="F521" s="32">
        <f t="shared" si="25"/>
        <v>19955.5</v>
      </c>
      <c r="G521" s="2">
        <f t="shared" si="26"/>
        <v>3260883.7042025896</v>
      </c>
      <c r="H521" s="26"/>
      <c r="I521" s="27">
        <f t="shared" si="24"/>
      </c>
    </row>
    <row r="522" spans="1:9" ht="15">
      <c r="A522" s="28" t="s">
        <v>106</v>
      </c>
      <c r="B522" s="29">
        <v>1</v>
      </c>
      <c r="C522" s="29">
        <v>5</v>
      </c>
      <c r="D522" s="30">
        <v>7000</v>
      </c>
      <c r="E522" s="31">
        <v>4079</v>
      </c>
      <c r="F522" s="32">
        <f t="shared" si="25"/>
        <v>5539.5</v>
      </c>
      <c r="G522" s="2">
        <f t="shared" si="26"/>
        <v>1364470.142473097</v>
      </c>
      <c r="H522" s="26"/>
      <c r="I522" s="27">
        <f t="shared" si="24"/>
      </c>
    </row>
    <row r="523" spans="1:9" ht="15">
      <c r="A523" s="28" t="s">
        <v>106</v>
      </c>
      <c r="B523" s="29">
        <v>1</v>
      </c>
      <c r="C523" s="29">
        <v>5</v>
      </c>
      <c r="D523" s="30">
        <v>6000</v>
      </c>
      <c r="E523" s="31">
        <v>5168</v>
      </c>
      <c r="F523" s="32">
        <f t="shared" si="25"/>
        <v>5584</v>
      </c>
      <c r="G523" s="2">
        <f t="shared" si="26"/>
        <v>1371911.9373635312</v>
      </c>
      <c r="H523" s="26"/>
      <c r="I523" s="27">
        <f t="shared" si="24"/>
      </c>
    </row>
    <row r="524" spans="1:9" ht="15.75" thickBot="1">
      <c r="A524" s="33" t="s">
        <v>106</v>
      </c>
      <c r="B524" s="34">
        <v>1</v>
      </c>
      <c r="C524" s="34">
        <v>5</v>
      </c>
      <c r="D524" s="35">
        <v>7500</v>
      </c>
      <c r="E524" s="36">
        <v>4899</v>
      </c>
      <c r="F524" s="37">
        <f t="shared" si="25"/>
        <v>6199.5</v>
      </c>
      <c r="G524" s="38">
        <f t="shared" si="26"/>
        <v>1472979.85048961</v>
      </c>
      <c r="H524" s="39">
        <f>SUM(G519:G524)</f>
        <v>12530329.03320825</v>
      </c>
      <c r="I524" s="27">
        <f t="shared" si="24"/>
        <v>12530702.68320825</v>
      </c>
    </row>
    <row r="525" spans="1:9" ht="15.75" thickBot="1">
      <c r="A525" s="40" t="s">
        <v>107</v>
      </c>
      <c r="B525" s="41">
        <v>2</v>
      </c>
      <c r="C525" s="41">
        <v>5</v>
      </c>
      <c r="D525" s="42">
        <v>420000</v>
      </c>
      <c r="E525" s="43">
        <v>256803</v>
      </c>
      <c r="F525" s="14">
        <f t="shared" si="25"/>
        <v>338401.5</v>
      </c>
      <c r="G525" s="15">
        <f t="shared" si="26"/>
        <v>23397411.321941525</v>
      </c>
      <c r="H525" s="39">
        <f>G525</f>
        <v>23397411.321941525</v>
      </c>
      <c r="I525" s="27">
        <f t="shared" si="24"/>
        <v>23397784.971941523</v>
      </c>
    </row>
    <row r="526" spans="1:9" ht="15">
      <c r="A526" s="20" t="s">
        <v>109</v>
      </c>
      <c r="B526" s="21">
        <v>2</v>
      </c>
      <c r="C526" s="21">
        <v>5</v>
      </c>
      <c r="D526" s="22">
        <v>290000</v>
      </c>
      <c r="E526" s="23">
        <v>166393</v>
      </c>
      <c r="F526" s="24">
        <f t="shared" si="25"/>
        <v>228196.5</v>
      </c>
      <c r="G526" s="25">
        <f t="shared" si="26"/>
        <v>17899388.335402735</v>
      </c>
      <c r="H526" s="26"/>
      <c r="I526" s="27">
        <f t="shared" si="24"/>
      </c>
    </row>
    <row r="527" spans="1:9" ht="15">
      <c r="A527" s="28" t="s">
        <v>109</v>
      </c>
      <c r="B527" s="29">
        <v>2</v>
      </c>
      <c r="C527" s="29">
        <v>5</v>
      </c>
      <c r="D527" s="30">
        <v>125000</v>
      </c>
      <c r="E527" s="31">
        <v>72009</v>
      </c>
      <c r="F527" s="32">
        <f t="shared" si="25"/>
        <v>98504.5</v>
      </c>
      <c r="G527" s="2">
        <f t="shared" si="26"/>
        <v>10111397.491835969</v>
      </c>
      <c r="H527" s="26"/>
      <c r="I527" s="27">
        <f t="shared" si="24"/>
      </c>
    </row>
    <row r="528" spans="1:9" ht="15">
      <c r="A528" s="28" t="s">
        <v>109</v>
      </c>
      <c r="B528" s="29">
        <v>1</v>
      </c>
      <c r="C528" s="29">
        <v>5</v>
      </c>
      <c r="D528" s="30">
        <v>25000</v>
      </c>
      <c r="E528" s="31">
        <v>19254</v>
      </c>
      <c r="F528" s="32">
        <f t="shared" si="25"/>
        <v>22127</v>
      </c>
      <c r="G528" s="2">
        <f t="shared" si="26"/>
        <v>3498090.8577155536</v>
      </c>
      <c r="H528" s="26"/>
      <c r="I528" s="27">
        <f aca="true" t="shared" si="27" ref="I528:I591">IF(H528=0,"",H528+373.65)</f>
      </c>
    </row>
    <row r="529" spans="1:9" ht="15">
      <c r="A529" s="28" t="s">
        <v>109</v>
      </c>
      <c r="B529" s="29">
        <v>2</v>
      </c>
      <c r="C529" s="29">
        <v>5</v>
      </c>
      <c r="D529" s="30">
        <v>8000</v>
      </c>
      <c r="E529" s="31">
        <v>2717</v>
      </c>
      <c r="F529" s="32">
        <f t="shared" si="25"/>
        <v>5358.5</v>
      </c>
      <c r="G529" s="2">
        <f t="shared" si="26"/>
        <v>1397215.3157736217</v>
      </c>
      <c r="H529" s="26"/>
      <c r="I529" s="27">
        <f t="shared" si="27"/>
      </c>
    </row>
    <row r="530" spans="1:9" ht="15">
      <c r="A530" s="28" t="s">
        <v>109</v>
      </c>
      <c r="B530" s="29">
        <v>2</v>
      </c>
      <c r="C530" s="29">
        <v>4</v>
      </c>
      <c r="D530" s="30">
        <v>7000</v>
      </c>
      <c r="E530" s="31">
        <v>3321</v>
      </c>
      <c r="F530" s="32">
        <f t="shared" si="25"/>
        <v>5160.5</v>
      </c>
      <c r="G530" s="2">
        <f t="shared" si="26"/>
        <v>1095606.132729772</v>
      </c>
      <c r="H530" s="26"/>
      <c r="I530" s="27">
        <f t="shared" si="27"/>
      </c>
    </row>
    <row r="531" spans="1:9" ht="15">
      <c r="A531" s="28" t="s">
        <v>109</v>
      </c>
      <c r="B531" s="29">
        <v>1</v>
      </c>
      <c r="C531" s="29">
        <v>5</v>
      </c>
      <c r="D531" s="30">
        <v>2500</v>
      </c>
      <c r="E531" s="31">
        <v>2156</v>
      </c>
      <c r="F531" s="32">
        <f t="shared" si="25"/>
        <v>2328</v>
      </c>
      <c r="G531" s="2">
        <f t="shared" si="26"/>
        <v>756881.2951740763</v>
      </c>
      <c r="H531" s="26"/>
      <c r="I531" s="27">
        <f t="shared" si="27"/>
      </c>
    </row>
    <row r="532" spans="1:9" ht="15">
      <c r="A532" s="28" t="s">
        <v>109</v>
      </c>
      <c r="B532" s="29">
        <v>1</v>
      </c>
      <c r="C532" s="29">
        <v>5</v>
      </c>
      <c r="D532" s="30">
        <v>2000</v>
      </c>
      <c r="E532" s="31">
        <v>1400</v>
      </c>
      <c r="F532" s="32">
        <f t="shared" si="25"/>
        <v>1700</v>
      </c>
      <c r="G532" s="2">
        <f t="shared" si="26"/>
        <v>611240.2185342334</v>
      </c>
      <c r="H532" s="26"/>
      <c r="I532" s="27">
        <f t="shared" si="27"/>
      </c>
    </row>
    <row r="533" spans="1:9" ht="15">
      <c r="A533" s="28" t="s">
        <v>109</v>
      </c>
      <c r="B533" s="29">
        <v>1</v>
      </c>
      <c r="C533" s="29">
        <v>3</v>
      </c>
      <c r="D533" s="30">
        <v>1600</v>
      </c>
      <c r="E533" s="31">
        <v>358</v>
      </c>
      <c r="F533" s="32">
        <f t="shared" si="25"/>
        <v>979</v>
      </c>
      <c r="G533" s="2">
        <f t="shared" si="26"/>
        <v>336032.7058609493</v>
      </c>
      <c r="H533" s="26"/>
      <c r="I533" s="27">
        <f t="shared" si="27"/>
      </c>
    </row>
    <row r="534" spans="1:9" ht="15">
      <c r="A534" s="28" t="s">
        <v>109</v>
      </c>
      <c r="B534" s="29">
        <v>1</v>
      </c>
      <c r="C534" s="29">
        <v>3</v>
      </c>
      <c r="D534" s="30">
        <v>1500</v>
      </c>
      <c r="E534" s="31">
        <v>486</v>
      </c>
      <c r="F534" s="32">
        <f t="shared" si="25"/>
        <v>993</v>
      </c>
      <c r="G534" s="2">
        <f t="shared" si="26"/>
        <v>339291.9644985283</v>
      </c>
      <c r="H534" s="26"/>
      <c r="I534" s="27">
        <f t="shared" si="27"/>
      </c>
    </row>
    <row r="535" spans="1:9" ht="15">
      <c r="A535" s="28" t="s">
        <v>109</v>
      </c>
      <c r="B535" s="29">
        <v>1</v>
      </c>
      <c r="C535" s="29">
        <v>3</v>
      </c>
      <c r="D535" s="30">
        <v>935</v>
      </c>
      <c r="E535" s="31">
        <v>84</v>
      </c>
      <c r="F535" s="32">
        <f t="shared" si="25"/>
        <v>509.5</v>
      </c>
      <c r="G535" s="2">
        <f t="shared" si="26"/>
        <v>215557.97466823607</v>
      </c>
      <c r="H535" s="26"/>
      <c r="I535" s="27">
        <f t="shared" si="27"/>
      </c>
    </row>
    <row r="536" spans="1:9" ht="15.75" thickBot="1">
      <c r="A536" s="33" t="s">
        <v>109</v>
      </c>
      <c r="B536" s="34">
        <v>1</v>
      </c>
      <c r="C536" s="34">
        <v>1</v>
      </c>
      <c r="D536" s="35">
        <v>320</v>
      </c>
      <c r="E536" s="36">
        <v>22</v>
      </c>
      <c r="F536" s="37">
        <f t="shared" si="25"/>
        <v>171</v>
      </c>
      <c r="G536" s="38">
        <f t="shared" si="26"/>
        <v>52140.50974251937</v>
      </c>
      <c r="H536" s="39">
        <f>SUM(G526:G536)</f>
        <v>36312842.80193619</v>
      </c>
      <c r="I536" s="27">
        <f t="shared" si="27"/>
        <v>36313216.451936185</v>
      </c>
    </row>
    <row r="537" spans="1:9" ht="15">
      <c r="A537" s="20" t="s">
        <v>20</v>
      </c>
      <c r="B537" s="21">
        <v>2</v>
      </c>
      <c r="C537" s="21">
        <v>5</v>
      </c>
      <c r="D537" s="22">
        <v>41382</v>
      </c>
      <c r="E537" s="23">
        <v>32050</v>
      </c>
      <c r="F537" s="24">
        <f t="shared" si="25"/>
        <v>36716</v>
      </c>
      <c r="G537" s="25">
        <f t="shared" si="26"/>
        <v>5169498.586584817</v>
      </c>
      <c r="H537" s="26"/>
      <c r="I537" s="27">
        <f t="shared" si="27"/>
      </c>
    </row>
    <row r="538" spans="1:9" ht="15">
      <c r="A538" s="28" t="s">
        <v>20</v>
      </c>
      <c r="B538" s="29">
        <v>2</v>
      </c>
      <c r="C538" s="29">
        <v>5</v>
      </c>
      <c r="D538" s="30">
        <v>13558</v>
      </c>
      <c r="E538" s="31">
        <v>8591</v>
      </c>
      <c r="F538" s="32">
        <f t="shared" si="25"/>
        <v>11074.5</v>
      </c>
      <c r="G538" s="2">
        <f t="shared" si="26"/>
        <v>2288712.746042066</v>
      </c>
      <c r="H538" s="26"/>
      <c r="I538" s="27">
        <f t="shared" si="27"/>
      </c>
    </row>
    <row r="539" spans="1:9" ht="15">
      <c r="A539" s="28" t="s">
        <v>20</v>
      </c>
      <c r="B539" s="29">
        <v>1</v>
      </c>
      <c r="C539" s="29">
        <v>5</v>
      </c>
      <c r="D539" s="30">
        <v>9477</v>
      </c>
      <c r="E539" s="31">
        <v>3910</v>
      </c>
      <c r="F539" s="32">
        <f t="shared" si="25"/>
        <v>6693.5</v>
      </c>
      <c r="G539" s="2">
        <f t="shared" si="26"/>
        <v>1551786.027028306</v>
      </c>
      <c r="H539" s="26"/>
      <c r="I539" s="27">
        <f t="shared" si="27"/>
      </c>
    </row>
    <row r="540" spans="1:9" ht="15">
      <c r="A540" s="28" t="s">
        <v>20</v>
      </c>
      <c r="B540" s="29">
        <v>2</v>
      </c>
      <c r="C540" s="29">
        <v>5</v>
      </c>
      <c r="D540" s="30">
        <v>7412</v>
      </c>
      <c r="E540" s="31">
        <v>7284</v>
      </c>
      <c r="F540" s="32">
        <f t="shared" si="25"/>
        <v>7348</v>
      </c>
      <c r="G540" s="2">
        <f t="shared" si="26"/>
        <v>1731735.3924022915</v>
      </c>
      <c r="H540" s="26"/>
      <c r="I540" s="27">
        <f t="shared" si="27"/>
      </c>
    </row>
    <row r="541" spans="1:9" ht="15">
      <c r="A541" s="28" t="s">
        <v>20</v>
      </c>
      <c r="B541" s="29">
        <v>1</v>
      </c>
      <c r="C541" s="29">
        <v>5</v>
      </c>
      <c r="D541" s="30">
        <v>6395</v>
      </c>
      <c r="E541" s="31">
        <v>7488</v>
      </c>
      <c r="F541" s="32">
        <f t="shared" si="25"/>
        <v>6941.5</v>
      </c>
      <c r="G541" s="2">
        <f t="shared" si="26"/>
        <v>1590642.9975930497</v>
      </c>
      <c r="H541" s="26"/>
      <c r="I541" s="27">
        <f t="shared" si="27"/>
      </c>
    </row>
    <row r="542" spans="1:9" ht="15">
      <c r="A542" s="28" t="s">
        <v>20</v>
      </c>
      <c r="B542" s="29">
        <v>2</v>
      </c>
      <c r="C542" s="29">
        <v>4</v>
      </c>
      <c r="D542" s="30">
        <v>2750</v>
      </c>
      <c r="E542" s="31">
        <v>2232</v>
      </c>
      <c r="F542" s="32">
        <f t="shared" si="25"/>
        <v>2491</v>
      </c>
      <c r="G542" s="2">
        <f t="shared" si="26"/>
        <v>667761.5996956619</v>
      </c>
      <c r="H542" s="26"/>
      <c r="I542" s="27">
        <f t="shared" si="27"/>
      </c>
    </row>
    <row r="543" spans="1:9" ht="15.75" thickBot="1">
      <c r="A543" s="33" t="s">
        <v>20</v>
      </c>
      <c r="B543" s="34">
        <v>2</v>
      </c>
      <c r="C543" s="34">
        <v>4</v>
      </c>
      <c r="D543" s="35">
        <v>1600</v>
      </c>
      <c r="E543" s="36">
        <v>1682</v>
      </c>
      <c r="F543" s="37">
        <f t="shared" si="25"/>
        <v>1641</v>
      </c>
      <c r="G543" s="38">
        <f t="shared" si="26"/>
        <v>502802.4605513505</v>
      </c>
      <c r="H543" s="39">
        <f>SUM(G537:G543)</f>
        <v>13502939.809897542</v>
      </c>
      <c r="I543" s="27">
        <f t="shared" si="27"/>
        <v>13503313.459897542</v>
      </c>
    </row>
    <row r="544" spans="1:9" ht="15.75" thickBot="1">
      <c r="A544" s="20" t="s">
        <v>111</v>
      </c>
      <c r="B544" s="21">
        <v>2</v>
      </c>
      <c r="C544" s="21">
        <v>5</v>
      </c>
      <c r="D544" s="22">
        <v>71500</v>
      </c>
      <c r="E544" s="23">
        <v>54666</v>
      </c>
      <c r="F544" s="24">
        <f t="shared" si="25"/>
        <v>63083</v>
      </c>
      <c r="G544" s="25">
        <f t="shared" si="26"/>
        <v>7468616.403919834</v>
      </c>
      <c r="H544" s="39">
        <f>G544</f>
        <v>7468616.403919834</v>
      </c>
      <c r="I544" s="27">
        <f t="shared" si="27"/>
        <v>7468990.053919834</v>
      </c>
    </row>
    <row r="545" spans="1:9" ht="15">
      <c r="A545" s="20" t="s">
        <v>112</v>
      </c>
      <c r="B545" s="21">
        <v>2</v>
      </c>
      <c r="C545" s="21">
        <v>5</v>
      </c>
      <c r="D545" s="22">
        <v>9650</v>
      </c>
      <c r="E545" s="23">
        <v>6928</v>
      </c>
      <c r="F545" s="24">
        <f t="shared" si="25"/>
        <v>8289</v>
      </c>
      <c r="G545" s="25">
        <f t="shared" si="26"/>
        <v>1879565.6562137667</v>
      </c>
      <c r="H545" s="26"/>
      <c r="I545" s="27">
        <f t="shared" si="27"/>
      </c>
    </row>
    <row r="546" spans="1:9" ht="15">
      <c r="A546" s="28" t="s">
        <v>112</v>
      </c>
      <c r="B546" s="29">
        <v>2</v>
      </c>
      <c r="C546" s="29">
        <v>5</v>
      </c>
      <c r="D546" s="30">
        <v>22000</v>
      </c>
      <c r="E546" s="31">
        <v>14449</v>
      </c>
      <c r="F546" s="32">
        <f t="shared" si="25"/>
        <v>18224.5</v>
      </c>
      <c r="G546" s="2">
        <f t="shared" si="26"/>
        <v>3211097.0992084076</v>
      </c>
      <c r="H546" s="26"/>
      <c r="I546" s="27">
        <f t="shared" si="27"/>
      </c>
    </row>
    <row r="547" spans="1:9" ht="15.75" thickBot="1">
      <c r="A547" s="33" t="s">
        <v>112</v>
      </c>
      <c r="B547" s="34">
        <v>1</v>
      </c>
      <c r="C547" s="34">
        <v>3</v>
      </c>
      <c r="D547" s="35">
        <v>1000</v>
      </c>
      <c r="E547" s="36">
        <v>587</v>
      </c>
      <c r="F547" s="37">
        <f t="shared" si="25"/>
        <v>793.5</v>
      </c>
      <c r="G547" s="38">
        <f t="shared" si="26"/>
        <v>291312.7405781849</v>
      </c>
      <c r="H547" s="39">
        <f>SUM(G545:G547)</f>
        <v>5381975.496000359</v>
      </c>
      <c r="I547" s="27">
        <f t="shared" si="27"/>
        <v>5382349.146000359</v>
      </c>
    </row>
    <row r="548" spans="1:9" ht="15">
      <c r="A548" s="20" t="s">
        <v>113</v>
      </c>
      <c r="B548" s="21">
        <v>2</v>
      </c>
      <c r="C548" s="21">
        <v>4</v>
      </c>
      <c r="D548" s="22">
        <v>9900</v>
      </c>
      <c r="E548" s="23">
        <v>2683</v>
      </c>
      <c r="F548" s="24">
        <f t="shared" si="25"/>
        <v>6291.5</v>
      </c>
      <c r="G548" s="25">
        <f t="shared" si="26"/>
        <v>1253602.0299561548</v>
      </c>
      <c r="H548" s="26"/>
      <c r="I548" s="27">
        <f t="shared" si="27"/>
      </c>
    </row>
    <row r="549" spans="1:9" ht="15">
      <c r="A549" s="28" t="s">
        <v>113</v>
      </c>
      <c r="B549" s="29">
        <v>2</v>
      </c>
      <c r="C549" s="29">
        <v>5</v>
      </c>
      <c r="D549" s="30">
        <v>16000</v>
      </c>
      <c r="E549" s="31">
        <v>8609</v>
      </c>
      <c r="F549" s="32">
        <f t="shared" si="25"/>
        <v>12304.5</v>
      </c>
      <c r="G549" s="2">
        <f t="shared" si="26"/>
        <v>2458585.033809124</v>
      </c>
      <c r="H549" s="26"/>
      <c r="I549" s="27">
        <f t="shared" si="27"/>
      </c>
    </row>
    <row r="550" spans="1:9" ht="15">
      <c r="A550" s="28" t="s">
        <v>113</v>
      </c>
      <c r="B550" s="29">
        <v>2</v>
      </c>
      <c r="C550" s="29">
        <v>4</v>
      </c>
      <c r="D550" s="30">
        <v>7000</v>
      </c>
      <c r="E550" s="31">
        <v>4847</v>
      </c>
      <c r="F550" s="32">
        <f t="shared" si="25"/>
        <v>5923.5</v>
      </c>
      <c r="G550" s="2">
        <f t="shared" si="26"/>
        <v>1203276.3263517027</v>
      </c>
      <c r="H550" s="26"/>
      <c r="I550" s="27">
        <f t="shared" si="27"/>
      </c>
    </row>
    <row r="551" spans="1:9" ht="15">
      <c r="A551" s="28" t="s">
        <v>113</v>
      </c>
      <c r="B551" s="29">
        <v>2</v>
      </c>
      <c r="C551" s="29">
        <v>5</v>
      </c>
      <c r="D551" s="30">
        <v>27000</v>
      </c>
      <c r="E551" s="31">
        <v>15175</v>
      </c>
      <c r="F551" s="32">
        <f t="shared" si="25"/>
        <v>21087.5</v>
      </c>
      <c r="G551" s="2">
        <f t="shared" si="26"/>
        <v>3545945.0919077294</v>
      </c>
      <c r="H551" s="26"/>
      <c r="I551" s="27">
        <f t="shared" si="27"/>
      </c>
    </row>
    <row r="552" spans="1:9" ht="15">
      <c r="A552" s="28" t="s">
        <v>113</v>
      </c>
      <c r="B552" s="29">
        <v>2</v>
      </c>
      <c r="C552" s="29">
        <v>4</v>
      </c>
      <c r="D552" s="30">
        <v>1700</v>
      </c>
      <c r="E552" s="31">
        <v>711</v>
      </c>
      <c r="F552" s="32">
        <f t="shared" si="25"/>
        <v>1205.5</v>
      </c>
      <c r="G552" s="2">
        <f t="shared" si="26"/>
        <v>407703.1373845641</v>
      </c>
      <c r="H552" s="26"/>
      <c r="I552" s="27">
        <f t="shared" si="27"/>
      </c>
    </row>
    <row r="553" spans="1:9" ht="15">
      <c r="A553" s="28" t="s">
        <v>113</v>
      </c>
      <c r="B553" s="29">
        <v>2</v>
      </c>
      <c r="C553" s="29">
        <v>4</v>
      </c>
      <c r="D553" s="30">
        <v>13500</v>
      </c>
      <c r="E553" s="31">
        <v>1492</v>
      </c>
      <c r="F553" s="32">
        <f t="shared" si="25"/>
        <v>7496</v>
      </c>
      <c r="G553" s="2">
        <f t="shared" si="26"/>
        <v>1412133.4091328306</v>
      </c>
      <c r="H553" s="26"/>
      <c r="I553" s="27">
        <f t="shared" si="27"/>
      </c>
    </row>
    <row r="554" spans="1:9" ht="15">
      <c r="A554" s="28" t="s">
        <v>113</v>
      </c>
      <c r="B554" s="29">
        <v>1</v>
      </c>
      <c r="C554" s="29">
        <v>3</v>
      </c>
      <c r="D554" s="30">
        <v>4200</v>
      </c>
      <c r="E554" s="31">
        <v>1083</v>
      </c>
      <c r="F554" s="32">
        <f t="shared" si="25"/>
        <v>2641.5</v>
      </c>
      <c r="G554" s="2">
        <f t="shared" si="26"/>
        <v>659813.9955349859</v>
      </c>
      <c r="H554" s="26"/>
      <c r="I554" s="27">
        <f t="shared" si="27"/>
      </c>
    </row>
    <row r="555" spans="1:9" ht="15">
      <c r="A555" s="28" t="s">
        <v>113</v>
      </c>
      <c r="B555" s="29">
        <v>2</v>
      </c>
      <c r="C555" s="29">
        <v>5</v>
      </c>
      <c r="D555" s="30">
        <v>7500</v>
      </c>
      <c r="E555" s="31">
        <v>3878</v>
      </c>
      <c r="F555" s="32">
        <f t="shared" si="25"/>
        <v>5689</v>
      </c>
      <c r="G555" s="2">
        <f t="shared" si="26"/>
        <v>1455235.1431503794</v>
      </c>
      <c r="H555" s="26"/>
      <c r="I555" s="27">
        <f t="shared" si="27"/>
      </c>
    </row>
    <row r="556" spans="1:9" ht="15">
      <c r="A556" s="28" t="s">
        <v>113</v>
      </c>
      <c r="B556" s="29">
        <v>2</v>
      </c>
      <c r="C556" s="29">
        <v>5</v>
      </c>
      <c r="D556" s="30">
        <v>13000</v>
      </c>
      <c r="E556" s="31">
        <v>5613</v>
      </c>
      <c r="F556" s="32">
        <f t="shared" si="25"/>
        <v>9306.5</v>
      </c>
      <c r="G556" s="2">
        <f t="shared" si="26"/>
        <v>2033483.8550624847</v>
      </c>
      <c r="H556" s="26"/>
      <c r="I556" s="27">
        <f t="shared" si="27"/>
      </c>
    </row>
    <row r="557" spans="1:9" ht="15.75" thickBot="1">
      <c r="A557" s="33" t="s">
        <v>113</v>
      </c>
      <c r="B557" s="34">
        <v>2</v>
      </c>
      <c r="C557" s="34">
        <v>5</v>
      </c>
      <c r="D557" s="35">
        <v>2200</v>
      </c>
      <c r="E557" s="36">
        <v>1376</v>
      </c>
      <c r="F557" s="37">
        <f t="shared" si="25"/>
        <v>1788</v>
      </c>
      <c r="G557" s="38">
        <f t="shared" si="26"/>
        <v>662550.8000164487</v>
      </c>
      <c r="H557" s="39">
        <f>SUM(G548:G557)</f>
        <v>15092328.822306404</v>
      </c>
      <c r="I557" s="27">
        <f t="shared" si="27"/>
        <v>15092702.472306404</v>
      </c>
    </row>
    <row r="558" spans="1:9" ht="15">
      <c r="A558" s="20" t="s">
        <v>114</v>
      </c>
      <c r="B558" s="21">
        <v>1</v>
      </c>
      <c r="C558" s="21">
        <v>5</v>
      </c>
      <c r="D558" s="22">
        <v>6700</v>
      </c>
      <c r="E558" s="23">
        <v>1375</v>
      </c>
      <c r="F558" s="24">
        <f t="shared" si="25"/>
        <v>4037.5</v>
      </c>
      <c r="G558" s="25">
        <f t="shared" si="26"/>
        <v>1100494.932539248</v>
      </c>
      <c r="H558" s="26"/>
      <c r="I558" s="27">
        <f t="shared" si="27"/>
      </c>
    </row>
    <row r="559" spans="1:9" ht="15">
      <c r="A559" s="28" t="s">
        <v>114</v>
      </c>
      <c r="B559" s="29">
        <v>1</v>
      </c>
      <c r="C559" s="29">
        <v>1</v>
      </c>
      <c r="D559" s="30">
        <v>200</v>
      </c>
      <c r="E559" s="31">
        <v>0</v>
      </c>
      <c r="F559" s="32">
        <f t="shared" si="25"/>
        <v>100</v>
      </c>
      <c r="G559" s="2">
        <f t="shared" si="26"/>
        <v>36206.330947800925</v>
      </c>
      <c r="H559" s="26"/>
      <c r="I559" s="27">
        <f t="shared" si="27"/>
      </c>
    </row>
    <row r="560" spans="1:9" ht="15">
      <c r="A560" s="28" t="s">
        <v>114</v>
      </c>
      <c r="B560" s="29">
        <v>1</v>
      </c>
      <c r="C560" s="29">
        <v>1</v>
      </c>
      <c r="D560" s="30">
        <v>735</v>
      </c>
      <c r="E560" s="31">
        <v>112</v>
      </c>
      <c r="F560" s="32">
        <f t="shared" si="25"/>
        <v>423.5</v>
      </c>
      <c r="G560" s="2">
        <f t="shared" si="26"/>
        <v>96587.17592888867</v>
      </c>
      <c r="H560" s="26"/>
      <c r="I560" s="27">
        <f t="shared" si="27"/>
      </c>
    </row>
    <row r="561" spans="1:9" ht="15">
      <c r="A561" s="28" t="s">
        <v>114</v>
      </c>
      <c r="B561" s="29">
        <v>1</v>
      </c>
      <c r="C561" s="29">
        <v>1</v>
      </c>
      <c r="D561" s="30">
        <v>260</v>
      </c>
      <c r="E561" s="31">
        <v>78</v>
      </c>
      <c r="F561" s="32">
        <f t="shared" si="25"/>
        <v>169</v>
      </c>
      <c r="G561" s="2">
        <f t="shared" si="26"/>
        <v>51725.16665510382</v>
      </c>
      <c r="H561" s="26"/>
      <c r="I561" s="27">
        <f t="shared" si="27"/>
      </c>
    </row>
    <row r="562" spans="1:9" ht="15">
      <c r="A562" s="28" t="s">
        <v>114</v>
      </c>
      <c r="B562" s="29">
        <v>1</v>
      </c>
      <c r="C562" s="29">
        <v>1</v>
      </c>
      <c r="D562" s="30">
        <v>735</v>
      </c>
      <c r="E562" s="31">
        <v>70</v>
      </c>
      <c r="F562" s="32">
        <f t="shared" si="25"/>
        <v>402.5</v>
      </c>
      <c r="G562" s="2">
        <f t="shared" si="26"/>
        <v>93304.88141182196</v>
      </c>
      <c r="H562" s="26"/>
      <c r="I562" s="27">
        <f t="shared" si="27"/>
      </c>
    </row>
    <row r="563" spans="1:9" ht="15">
      <c r="A563" s="28" t="s">
        <v>114</v>
      </c>
      <c r="B563" s="29">
        <v>1</v>
      </c>
      <c r="C563" s="29">
        <v>1</v>
      </c>
      <c r="D563" s="30">
        <v>1340</v>
      </c>
      <c r="E563" s="31">
        <v>36.8</v>
      </c>
      <c r="F563" s="32">
        <f t="shared" si="25"/>
        <v>688.4</v>
      </c>
      <c r="G563" s="2">
        <f t="shared" si="26"/>
        <v>134384.36223524364</v>
      </c>
      <c r="H563" s="26"/>
      <c r="I563" s="27">
        <f t="shared" si="27"/>
      </c>
    </row>
    <row r="564" spans="1:9" ht="15">
      <c r="A564" s="28" t="s">
        <v>114</v>
      </c>
      <c r="B564" s="29">
        <v>1</v>
      </c>
      <c r="C564" s="29">
        <v>1</v>
      </c>
      <c r="D564" s="30">
        <v>225</v>
      </c>
      <c r="E564" s="31">
        <v>53</v>
      </c>
      <c r="F564" s="32">
        <f t="shared" si="25"/>
        <v>139</v>
      </c>
      <c r="G564" s="2">
        <f t="shared" si="26"/>
        <v>45290.381404131134</v>
      </c>
      <c r="H564" s="26"/>
      <c r="I564" s="27">
        <f t="shared" si="27"/>
      </c>
    </row>
    <row r="565" spans="1:9" ht="15">
      <c r="A565" s="28" t="s">
        <v>114</v>
      </c>
      <c r="B565" s="29">
        <v>1</v>
      </c>
      <c r="C565" s="29">
        <v>1</v>
      </c>
      <c r="D565" s="30">
        <v>495</v>
      </c>
      <c r="E565" s="31">
        <v>165</v>
      </c>
      <c r="F565" s="32">
        <f t="shared" si="25"/>
        <v>330</v>
      </c>
      <c r="G565" s="2">
        <f t="shared" si="26"/>
        <v>81521.14917552512</v>
      </c>
      <c r="H565" s="26"/>
      <c r="I565" s="27">
        <f t="shared" si="27"/>
      </c>
    </row>
    <row r="566" spans="1:9" ht="15">
      <c r="A566" s="28" t="s">
        <v>114</v>
      </c>
      <c r="B566" s="29">
        <v>1</v>
      </c>
      <c r="C566" s="29">
        <v>1</v>
      </c>
      <c r="D566" s="30">
        <v>310</v>
      </c>
      <c r="E566" s="31">
        <v>21.2</v>
      </c>
      <c r="F566" s="32">
        <f t="shared" si="25"/>
        <v>165.6</v>
      </c>
      <c r="G566" s="2">
        <f t="shared" si="26"/>
        <v>51015.451052025324</v>
      </c>
      <c r="H566" s="26"/>
      <c r="I566" s="27">
        <f t="shared" si="27"/>
      </c>
    </row>
    <row r="567" spans="1:9" ht="15">
      <c r="A567" s="28" t="s">
        <v>114</v>
      </c>
      <c r="B567" s="29">
        <v>1</v>
      </c>
      <c r="C567" s="29">
        <v>1</v>
      </c>
      <c r="D567" s="30">
        <v>75</v>
      </c>
      <c r="E567" s="31">
        <v>20.8</v>
      </c>
      <c r="F567" s="32">
        <f t="shared" si="25"/>
        <v>47.9</v>
      </c>
      <c r="G567" s="2">
        <f t="shared" si="26"/>
        <v>21952.12660909145</v>
      </c>
      <c r="H567" s="26"/>
      <c r="I567" s="27">
        <f t="shared" si="27"/>
      </c>
    </row>
    <row r="568" spans="1:9" ht="15">
      <c r="A568" s="28" t="s">
        <v>114</v>
      </c>
      <c r="B568" s="29">
        <v>1</v>
      </c>
      <c r="C568" s="29">
        <v>1</v>
      </c>
      <c r="D568" s="30">
        <v>75</v>
      </c>
      <c r="E568" s="31">
        <v>0</v>
      </c>
      <c r="F568" s="32">
        <f t="shared" si="25"/>
        <v>37.5</v>
      </c>
      <c r="G568" s="2">
        <f t="shared" si="26"/>
        <v>18587.071630306044</v>
      </c>
      <c r="H568" s="26"/>
      <c r="I568" s="27">
        <f t="shared" si="27"/>
      </c>
    </row>
    <row r="569" spans="1:9" ht="15">
      <c r="A569" s="28" t="s">
        <v>114</v>
      </c>
      <c r="B569" s="29">
        <v>1</v>
      </c>
      <c r="C569" s="29">
        <v>1</v>
      </c>
      <c r="D569" s="30">
        <v>100</v>
      </c>
      <c r="E569" s="31">
        <v>27</v>
      </c>
      <c r="F569" s="32">
        <f t="shared" si="25"/>
        <v>63.5</v>
      </c>
      <c r="G569" s="2">
        <f t="shared" si="26"/>
        <v>26589.495378217034</v>
      </c>
      <c r="H569" s="26"/>
      <c r="I569" s="27">
        <f t="shared" si="27"/>
      </c>
    </row>
    <row r="570" spans="1:9" ht="15.75" thickBot="1">
      <c r="A570" s="33" t="s">
        <v>114</v>
      </c>
      <c r="B570" s="34">
        <v>1</v>
      </c>
      <c r="C570" s="34">
        <v>1</v>
      </c>
      <c r="D570" s="35">
        <v>25</v>
      </c>
      <c r="E570" s="36">
        <v>0</v>
      </c>
      <c r="F570" s="37">
        <f t="shared" si="25"/>
        <v>12.5</v>
      </c>
      <c r="G570" s="38">
        <f t="shared" si="26"/>
        <v>8807.729000920348</v>
      </c>
      <c r="H570" s="39">
        <f>SUM(G558:G570)</f>
        <v>1766466.2539683238</v>
      </c>
      <c r="I570" s="27">
        <f t="shared" si="27"/>
        <v>1766839.9039683237</v>
      </c>
    </row>
    <row r="571" spans="1:9" ht="15">
      <c r="A571" s="20" t="s">
        <v>115</v>
      </c>
      <c r="B571" s="21">
        <v>2</v>
      </c>
      <c r="C571" s="21">
        <v>5</v>
      </c>
      <c r="D571" s="22">
        <v>60000</v>
      </c>
      <c r="E571" s="23">
        <v>56008</v>
      </c>
      <c r="F571" s="24">
        <f t="shared" si="25"/>
        <v>58004</v>
      </c>
      <c r="G571" s="25">
        <f t="shared" si="26"/>
        <v>7054373.607021017</v>
      </c>
      <c r="H571" s="26"/>
      <c r="I571" s="27">
        <f t="shared" si="27"/>
      </c>
    </row>
    <row r="572" spans="1:9" ht="15">
      <c r="A572" s="28" t="s">
        <v>115</v>
      </c>
      <c r="B572" s="29">
        <v>1</v>
      </c>
      <c r="C572" s="29">
        <v>5</v>
      </c>
      <c r="D572" s="30">
        <v>22500</v>
      </c>
      <c r="E572" s="31">
        <v>8542</v>
      </c>
      <c r="F572" s="32">
        <f t="shared" si="25"/>
        <v>15521</v>
      </c>
      <c r="G572" s="2">
        <f t="shared" si="26"/>
        <v>2748779.8394590486</v>
      </c>
      <c r="H572" s="26"/>
      <c r="I572" s="27">
        <f t="shared" si="27"/>
      </c>
    </row>
    <row r="573" spans="1:9" ht="15">
      <c r="A573" s="28" t="s">
        <v>115</v>
      </c>
      <c r="B573" s="29">
        <v>1</v>
      </c>
      <c r="C573" s="29">
        <v>4</v>
      </c>
      <c r="D573" s="30">
        <v>10000</v>
      </c>
      <c r="E573" s="31">
        <v>4485</v>
      </c>
      <c r="F573" s="32">
        <f t="shared" si="25"/>
        <v>7242.5</v>
      </c>
      <c r="G573" s="2">
        <f t="shared" si="26"/>
        <v>1379490.7281818078</v>
      </c>
      <c r="H573" s="26"/>
      <c r="I573" s="27">
        <f t="shared" si="27"/>
      </c>
    </row>
    <row r="574" spans="1:9" ht="15">
      <c r="A574" s="28" t="s">
        <v>115</v>
      </c>
      <c r="B574" s="29">
        <v>1</v>
      </c>
      <c r="C574" s="29">
        <v>5</v>
      </c>
      <c r="D574" s="30">
        <v>4800</v>
      </c>
      <c r="E574" s="31">
        <v>2009</v>
      </c>
      <c r="F574" s="32">
        <f t="shared" si="25"/>
        <v>3404.5</v>
      </c>
      <c r="G574" s="2">
        <f t="shared" si="26"/>
        <v>980037.2998518299</v>
      </c>
      <c r="H574" s="26"/>
      <c r="I574" s="27">
        <f t="shared" si="27"/>
      </c>
    </row>
    <row r="575" spans="1:9" ht="15">
      <c r="A575" s="28" t="s">
        <v>115</v>
      </c>
      <c r="B575" s="29">
        <v>2</v>
      </c>
      <c r="C575" s="29">
        <v>5</v>
      </c>
      <c r="D575" s="30">
        <v>4000</v>
      </c>
      <c r="E575" s="31">
        <v>4034</v>
      </c>
      <c r="F575" s="32">
        <f t="shared" si="25"/>
        <v>4017</v>
      </c>
      <c r="G575" s="2">
        <f t="shared" si="26"/>
        <v>1148661.887879654</v>
      </c>
      <c r="H575" s="26"/>
      <c r="I575" s="27">
        <f t="shared" si="27"/>
      </c>
    </row>
    <row r="576" spans="1:9" ht="15">
      <c r="A576" s="28" t="s">
        <v>115</v>
      </c>
      <c r="B576" s="29">
        <v>1</v>
      </c>
      <c r="C576" s="29">
        <v>4</v>
      </c>
      <c r="D576" s="30">
        <v>2000</v>
      </c>
      <c r="E576" s="31">
        <v>999</v>
      </c>
      <c r="F576" s="32">
        <f t="shared" si="25"/>
        <v>1499.5</v>
      </c>
      <c r="G576" s="2">
        <f t="shared" si="26"/>
        <v>472906.1819774971</v>
      </c>
      <c r="H576" s="26"/>
      <c r="I576" s="27">
        <f t="shared" si="27"/>
      </c>
    </row>
    <row r="577" spans="1:9" ht="15">
      <c r="A577" s="28" t="s">
        <v>115</v>
      </c>
      <c r="B577" s="29">
        <v>1</v>
      </c>
      <c r="C577" s="29">
        <v>4</v>
      </c>
      <c r="D577" s="30">
        <v>2000</v>
      </c>
      <c r="E577" s="31">
        <v>533</v>
      </c>
      <c r="F577" s="32">
        <f t="shared" si="25"/>
        <v>1266.5</v>
      </c>
      <c r="G577" s="2">
        <f t="shared" si="26"/>
        <v>421616.49338982423</v>
      </c>
      <c r="H577" s="26"/>
      <c r="I577" s="27">
        <f t="shared" si="27"/>
      </c>
    </row>
    <row r="578" spans="1:9" ht="15">
      <c r="A578" s="28" t="s">
        <v>115</v>
      </c>
      <c r="B578" s="29">
        <v>1</v>
      </c>
      <c r="C578" s="29">
        <v>5</v>
      </c>
      <c r="D578" s="30">
        <v>5600</v>
      </c>
      <c r="E578" s="31">
        <v>1762</v>
      </c>
      <c r="F578" s="32">
        <f t="shared" si="25"/>
        <v>3681</v>
      </c>
      <c r="G578" s="2">
        <f t="shared" si="26"/>
        <v>1033466.273485125</v>
      </c>
      <c r="H578" s="26"/>
      <c r="I578" s="27">
        <f t="shared" si="27"/>
      </c>
    </row>
    <row r="579" spans="1:9" ht="15">
      <c r="A579" s="28" t="s">
        <v>115</v>
      </c>
      <c r="B579" s="29">
        <v>1</v>
      </c>
      <c r="C579" s="29">
        <v>3</v>
      </c>
      <c r="D579" s="30">
        <v>2600</v>
      </c>
      <c r="E579" s="31">
        <v>1013</v>
      </c>
      <c r="F579" s="32">
        <f aca="true" t="shared" si="28" ref="F579:F642">(D579+E579)/2</f>
        <v>1806.5</v>
      </c>
      <c r="G579" s="2">
        <f aca="true" t="shared" si="29" ref="G579:G642">IF(C579=1,1581.92*(F579^0.6798),IF(C579=2,2991.14*(F579^0.6798),IF(C579=3,3113.49*(F579^0.6798),IF(C579=4,3279.19*(F579^0.6798),IF(C579=5,IF(B579=1,3891.82*(F579^0.6798),IF(B579=2,4076.24*(F579^0.6798),0)),0)))))</f>
        <v>509619.3673782964</v>
      </c>
      <c r="H579" s="26"/>
      <c r="I579" s="27">
        <f t="shared" si="27"/>
      </c>
    </row>
    <row r="580" spans="1:9" ht="15">
      <c r="A580" s="28" t="s">
        <v>115</v>
      </c>
      <c r="B580" s="29">
        <v>1</v>
      </c>
      <c r="C580" s="29">
        <v>4</v>
      </c>
      <c r="D580" s="30">
        <v>65</v>
      </c>
      <c r="E580" s="31">
        <v>21</v>
      </c>
      <c r="F580" s="32">
        <f t="shared" si="28"/>
        <v>43</v>
      </c>
      <c r="G580" s="2">
        <f t="shared" si="29"/>
        <v>42286.17833417563</v>
      </c>
      <c r="H580" s="26"/>
      <c r="I580" s="27">
        <f t="shared" si="27"/>
      </c>
    </row>
    <row r="581" spans="1:9" ht="15">
      <c r="A581" s="28" t="s">
        <v>115</v>
      </c>
      <c r="B581" s="29">
        <v>1</v>
      </c>
      <c r="C581" s="29">
        <v>3</v>
      </c>
      <c r="D581" s="30">
        <v>110</v>
      </c>
      <c r="E581" s="31">
        <v>9</v>
      </c>
      <c r="F581" s="32">
        <f t="shared" si="28"/>
        <v>59.5</v>
      </c>
      <c r="G581" s="2">
        <f t="shared" si="29"/>
        <v>50068.445572761164</v>
      </c>
      <c r="H581" s="26"/>
      <c r="I581" s="27">
        <f t="shared" si="27"/>
      </c>
    </row>
    <row r="582" spans="1:9" ht="15">
      <c r="A582" s="28" t="s">
        <v>115</v>
      </c>
      <c r="B582" s="29">
        <v>1</v>
      </c>
      <c r="C582" s="29">
        <v>5</v>
      </c>
      <c r="D582" s="30">
        <v>1900</v>
      </c>
      <c r="E582" s="31">
        <v>366</v>
      </c>
      <c r="F582" s="32">
        <f t="shared" si="28"/>
        <v>1133</v>
      </c>
      <c r="G582" s="2">
        <f t="shared" si="29"/>
        <v>463893.4476573612</v>
      </c>
      <c r="H582" s="26"/>
      <c r="I582" s="27">
        <f t="shared" si="27"/>
      </c>
    </row>
    <row r="583" spans="1:9" ht="15">
      <c r="A583" s="28" t="s">
        <v>115</v>
      </c>
      <c r="B583" s="29">
        <v>1</v>
      </c>
      <c r="C583" s="29">
        <v>2</v>
      </c>
      <c r="D583" s="30">
        <v>200</v>
      </c>
      <c r="E583" s="31">
        <v>23</v>
      </c>
      <c r="F583" s="32">
        <f t="shared" si="28"/>
        <v>111.5</v>
      </c>
      <c r="G583" s="2">
        <f t="shared" si="29"/>
        <v>73718.11056090366</v>
      </c>
      <c r="H583" s="26"/>
      <c r="I583" s="27">
        <f t="shared" si="27"/>
      </c>
    </row>
    <row r="584" spans="1:9" ht="15.75" thickBot="1">
      <c r="A584" s="33" t="s">
        <v>115</v>
      </c>
      <c r="B584" s="34">
        <v>1</v>
      </c>
      <c r="C584" s="34">
        <v>3</v>
      </c>
      <c r="D584" s="35">
        <v>50</v>
      </c>
      <c r="E584" s="36">
        <v>24</v>
      </c>
      <c r="F584" s="37">
        <f t="shared" si="28"/>
        <v>37</v>
      </c>
      <c r="G584" s="38">
        <f t="shared" si="29"/>
        <v>36250.2500976086</v>
      </c>
      <c r="H584" s="39">
        <f>SUM(G571:G584)</f>
        <v>16415168.11084691</v>
      </c>
      <c r="I584" s="27">
        <f t="shared" si="27"/>
        <v>16415541.760846911</v>
      </c>
    </row>
    <row r="585" spans="1:9" ht="15">
      <c r="A585" s="20" t="s">
        <v>116</v>
      </c>
      <c r="B585" s="21">
        <v>1</v>
      </c>
      <c r="C585" s="21">
        <v>5</v>
      </c>
      <c r="D585" s="22">
        <v>125000</v>
      </c>
      <c r="E585" s="23">
        <v>89408</v>
      </c>
      <c r="F585" s="24">
        <f t="shared" si="28"/>
        <v>107204</v>
      </c>
      <c r="G585" s="25">
        <f t="shared" si="29"/>
        <v>10225632.408215404</v>
      </c>
      <c r="H585" s="26"/>
      <c r="I585" s="27">
        <f t="shared" si="27"/>
      </c>
    </row>
    <row r="586" spans="1:9" ht="15">
      <c r="A586" s="28" t="s">
        <v>116</v>
      </c>
      <c r="B586" s="29">
        <v>2</v>
      </c>
      <c r="C586" s="29">
        <v>5</v>
      </c>
      <c r="D586" s="30">
        <v>30000</v>
      </c>
      <c r="E586" s="31">
        <v>15599</v>
      </c>
      <c r="F586" s="32">
        <f t="shared" si="28"/>
        <v>22799.5</v>
      </c>
      <c r="G586" s="2">
        <f t="shared" si="29"/>
        <v>3739188.685341187</v>
      </c>
      <c r="H586" s="26"/>
      <c r="I586" s="27">
        <f t="shared" si="27"/>
      </c>
    </row>
    <row r="587" spans="1:9" ht="15">
      <c r="A587" s="28" t="s">
        <v>116</v>
      </c>
      <c r="B587" s="29">
        <v>1</v>
      </c>
      <c r="C587" s="29">
        <v>5</v>
      </c>
      <c r="D587" s="30">
        <v>27500</v>
      </c>
      <c r="E587" s="31">
        <v>4901</v>
      </c>
      <c r="F587" s="32">
        <f t="shared" si="28"/>
        <v>16200.5</v>
      </c>
      <c r="G587" s="2">
        <f t="shared" si="29"/>
        <v>2830024.299007968</v>
      </c>
      <c r="H587" s="26"/>
      <c r="I587" s="27">
        <f t="shared" si="27"/>
      </c>
    </row>
    <row r="588" spans="1:9" ht="15">
      <c r="A588" s="28" t="s">
        <v>116</v>
      </c>
      <c r="B588" s="29">
        <v>1</v>
      </c>
      <c r="C588" s="29">
        <v>5</v>
      </c>
      <c r="D588" s="30">
        <v>8200</v>
      </c>
      <c r="E588" s="31">
        <v>14108</v>
      </c>
      <c r="F588" s="32">
        <f t="shared" si="28"/>
        <v>11154</v>
      </c>
      <c r="G588" s="2">
        <f t="shared" si="29"/>
        <v>2195816.7557143555</v>
      </c>
      <c r="H588" s="26"/>
      <c r="I588" s="27">
        <f t="shared" si="27"/>
      </c>
    </row>
    <row r="589" spans="1:9" ht="15">
      <c r="A589" s="28" t="s">
        <v>116</v>
      </c>
      <c r="B589" s="29">
        <v>1</v>
      </c>
      <c r="C589" s="29">
        <v>5</v>
      </c>
      <c r="D589" s="30">
        <v>3400</v>
      </c>
      <c r="E589" s="31">
        <v>1331</v>
      </c>
      <c r="F589" s="32">
        <f t="shared" si="28"/>
        <v>2365.5</v>
      </c>
      <c r="G589" s="2">
        <f t="shared" si="29"/>
        <v>765148.213538511</v>
      </c>
      <c r="H589" s="26"/>
      <c r="I589" s="27">
        <f t="shared" si="27"/>
      </c>
    </row>
    <row r="590" spans="1:9" ht="15">
      <c r="A590" s="28" t="s">
        <v>116</v>
      </c>
      <c r="B590" s="29">
        <v>1</v>
      </c>
      <c r="C590" s="29">
        <v>4</v>
      </c>
      <c r="D590" s="30">
        <v>1000</v>
      </c>
      <c r="E590" s="31">
        <v>269</v>
      </c>
      <c r="F590" s="32">
        <f t="shared" si="28"/>
        <v>634.5</v>
      </c>
      <c r="G590" s="2">
        <f t="shared" si="29"/>
        <v>263547.9246007945</v>
      </c>
      <c r="H590" s="26"/>
      <c r="I590" s="27">
        <f t="shared" si="27"/>
      </c>
    </row>
    <row r="591" spans="1:9" ht="15">
      <c r="A591" s="28" t="s">
        <v>116</v>
      </c>
      <c r="B591" s="29">
        <v>1</v>
      </c>
      <c r="C591" s="29">
        <v>4</v>
      </c>
      <c r="D591" s="30">
        <v>850</v>
      </c>
      <c r="E591" s="31">
        <v>416</v>
      </c>
      <c r="F591" s="32">
        <f t="shared" si="28"/>
        <v>633</v>
      </c>
      <c r="G591" s="2">
        <f t="shared" si="29"/>
        <v>263124.2183136294</v>
      </c>
      <c r="H591" s="26"/>
      <c r="I591" s="27">
        <f t="shared" si="27"/>
      </c>
    </row>
    <row r="592" spans="1:9" ht="15.75" thickBot="1">
      <c r="A592" s="33" t="s">
        <v>116</v>
      </c>
      <c r="B592" s="34">
        <v>1</v>
      </c>
      <c r="C592" s="34">
        <v>4</v>
      </c>
      <c r="D592" s="35">
        <v>20000</v>
      </c>
      <c r="E592" s="36">
        <v>2644</v>
      </c>
      <c r="F592" s="37">
        <f t="shared" si="28"/>
        <v>11322</v>
      </c>
      <c r="G592" s="38">
        <f t="shared" si="29"/>
        <v>1869061.2715833022</v>
      </c>
      <c r="H592" s="39">
        <f>SUM(G585:G592)</f>
        <v>22151543.776315156</v>
      </c>
      <c r="I592" s="27">
        <f aca="true" t="shared" si="30" ref="I592:I655">IF(H592=0,"",H592+373.65)</f>
        <v>22151917.426315155</v>
      </c>
    </row>
    <row r="593" spans="1:9" ht="15">
      <c r="A593" s="20" t="s">
        <v>21</v>
      </c>
      <c r="B593" s="21">
        <v>1</v>
      </c>
      <c r="C593" s="21">
        <v>5</v>
      </c>
      <c r="D593" s="22">
        <v>80000</v>
      </c>
      <c r="E593" s="23">
        <v>26915</v>
      </c>
      <c r="F593" s="24">
        <f t="shared" si="28"/>
        <v>53457.5</v>
      </c>
      <c r="G593" s="25">
        <f t="shared" si="29"/>
        <v>6371666.293306005</v>
      </c>
      <c r="H593" s="26"/>
      <c r="I593" s="27">
        <f t="shared" si="30"/>
      </c>
    </row>
    <row r="594" spans="1:9" ht="15.75" thickBot="1">
      <c r="A594" s="33" t="s">
        <v>21</v>
      </c>
      <c r="B594" s="34">
        <v>2</v>
      </c>
      <c r="C594" s="34">
        <v>5</v>
      </c>
      <c r="D594" s="35">
        <v>70000</v>
      </c>
      <c r="E594" s="36">
        <v>24926</v>
      </c>
      <c r="F594" s="37">
        <f t="shared" si="28"/>
        <v>47463</v>
      </c>
      <c r="G594" s="38">
        <f t="shared" si="29"/>
        <v>6155254.315798769</v>
      </c>
      <c r="H594" s="39">
        <f>SUM(G593:G594)</f>
        <v>12526920.609104775</v>
      </c>
      <c r="I594" s="27">
        <f t="shared" si="30"/>
        <v>12527294.259104775</v>
      </c>
    </row>
    <row r="595" spans="1:9" ht="15">
      <c r="A595" s="20" t="s">
        <v>117</v>
      </c>
      <c r="B595" s="21">
        <v>2</v>
      </c>
      <c r="C595" s="21">
        <v>5</v>
      </c>
      <c r="D595" s="22">
        <v>125000</v>
      </c>
      <c r="E595" s="23">
        <v>78283</v>
      </c>
      <c r="F595" s="24">
        <f t="shared" si="28"/>
        <v>101641.5</v>
      </c>
      <c r="G595" s="25">
        <f t="shared" si="29"/>
        <v>10329199.292104304</v>
      </c>
      <c r="H595" s="26"/>
      <c r="I595" s="27">
        <f t="shared" si="30"/>
      </c>
    </row>
    <row r="596" spans="1:9" ht="15">
      <c r="A596" s="28" t="s">
        <v>117</v>
      </c>
      <c r="B596" s="29">
        <v>2</v>
      </c>
      <c r="C596" s="29">
        <v>5</v>
      </c>
      <c r="D596" s="30">
        <v>17000</v>
      </c>
      <c r="E596" s="31">
        <v>4967</v>
      </c>
      <c r="F596" s="32">
        <f t="shared" si="28"/>
        <v>10983.5</v>
      </c>
      <c r="G596" s="2">
        <f t="shared" si="29"/>
        <v>2275911.190384432</v>
      </c>
      <c r="H596" s="26"/>
      <c r="I596" s="27">
        <f t="shared" si="30"/>
      </c>
    </row>
    <row r="597" spans="1:9" ht="15">
      <c r="A597" s="28" t="s">
        <v>117</v>
      </c>
      <c r="B597" s="29">
        <v>2</v>
      </c>
      <c r="C597" s="29">
        <v>5</v>
      </c>
      <c r="D597" s="30">
        <v>3500</v>
      </c>
      <c r="E597" s="31">
        <v>2350</v>
      </c>
      <c r="F597" s="32">
        <f t="shared" si="28"/>
        <v>2925</v>
      </c>
      <c r="G597" s="2">
        <f t="shared" si="29"/>
        <v>925831.8415007894</v>
      </c>
      <c r="H597" s="26"/>
      <c r="I597" s="27">
        <f t="shared" si="30"/>
      </c>
    </row>
    <row r="598" spans="1:9" ht="15">
      <c r="A598" s="28" t="s">
        <v>117</v>
      </c>
      <c r="B598" s="29">
        <v>2</v>
      </c>
      <c r="C598" s="29">
        <v>5</v>
      </c>
      <c r="D598" s="30">
        <v>22500</v>
      </c>
      <c r="E598" s="31">
        <v>7175</v>
      </c>
      <c r="F598" s="32">
        <f t="shared" si="28"/>
        <v>14837.5</v>
      </c>
      <c r="G598" s="2">
        <f t="shared" si="29"/>
        <v>2792227.319535104</v>
      </c>
      <c r="H598" s="26"/>
      <c r="I598" s="27">
        <f t="shared" si="30"/>
      </c>
    </row>
    <row r="599" spans="1:9" ht="15.75" thickBot="1">
      <c r="A599" s="33" t="s">
        <v>117</v>
      </c>
      <c r="B599" s="34">
        <v>2</v>
      </c>
      <c r="C599" s="34">
        <v>4</v>
      </c>
      <c r="D599" s="35">
        <v>6500</v>
      </c>
      <c r="E599" s="36">
        <v>3347</v>
      </c>
      <c r="F599" s="37">
        <f t="shared" si="28"/>
        <v>4923.5</v>
      </c>
      <c r="G599" s="38">
        <f t="shared" si="29"/>
        <v>1061144.2054125033</v>
      </c>
      <c r="H599" s="39">
        <f>SUM(G595:G599)</f>
        <v>17384313.84893713</v>
      </c>
      <c r="I599" s="27">
        <f t="shared" si="30"/>
        <v>17384687.49893713</v>
      </c>
    </row>
    <row r="600" spans="1:9" ht="15">
      <c r="A600" s="20" t="s">
        <v>119</v>
      </c>
      <c r="B600" s="21">
        <v>2</v>
      </c>
      <c r="C600" s="21">
        <v>5</v>
      </c>
      <c r="D600" s="22">
        <v>170000</v>
      </c>
      <c r="E600" s="23">
        <v>88062</v>
      </c>
      <c r="F600" s="24">
        <f t="shared" si="28"/>
        <v>129031</v>
      </c>
      <c r="G600" s="25">
        <f t="shared" si="29"/>
        <v>12148133.90838062</v>
      </c>
      <c r="H600" s="26"/>
      <c r="I600" s="27">
        <f t="shared" si="30"/>
      </c>
    </row>
    <row r="601" spans="1:9" ht="15">
      <c r="A601" s="28" t="s">
        <v>119</v>
      </c>
      <c r="B601" s="29">
        <v>1</v>
      </c>
      <c r="C601" s="29">
        <v>5</v>
      </c>
      <c r="D601" s="30">
        <v>13700</v>
      </c>
      <c r="E601" s="31">
        <v>19711</v>
      </c>
      <c r="F601" s="32">
        <f t="shared" si="28"/>
        <v>16705.5</v>
      </c>
      <c r="G601" s="2">
        <f t="shared" si="29"/>
        <v>2889699.0768358805</v>
      </c>
      <c r="H601" s="26"/>
      <c r="I601" s="27">
        <f t="shared" si="30"/>
      </c>
    </row>
    <row r="602" spans="1:9" ht="15">
      <c r="A602" s="28" t="s">
        <v>119</v>
      </c>
      <c r="B602" s="29">
        <v>1</v>
      </c>
      <c r="C602" s="29">
        <v>4</v>
      </c>
      <c r="D602" s="30">
        <v>3600</v>
      </c>
      <c r="E602" s="31">
        <v>1987</v>
      </c>
      <c r="F602" s="32">
        <f t="shared" si="28"/>
        <v>2793.5</v>
      </c>
      <c r="G602" s="2">
        <f t="shared" si="29"/>
        <v>721869.0977623216</v>
      </c>
      <c r="H602" s="26"/>
      <c r="I602" s="27">
        <f t="shared" si="30"/>
      </c>
    </row>
    <row r="603" spans="1:9" ht="15">
      <c r="A603" s="28" t="s">
        <v>119</v>
      </c>
      <c r="B603" s="29">
        <v>1</v>
      </c>
      <c r="C603" s="29">
        <v>4</v>
      </c>
      <c r="D603" s="30">
        <v>2400</v>
      </c>
      <c r="E603" s="31">
        <v>774</v>
      </c>
      <c r="F603" s="32">
        <f t="shared" si="28"/>
        <v>1587</v>
      </c>
      <c r="G603" s="2">
        <f t="shared" si="29"/>
        <v>491494.62837950425</v>
      </c>
      <c r="H603" s="26"/>
      <c r="I603" s="27">
        <f t="shared" si="30"/>
      </c>
    </row>
    <row r="604" spans="1:9" ht="15">
      <c r="A604" s="28" t="s">
        <v>119</v>
      </c>
      <c r="B604" s="29">
        <v>1</v>
      </c>
      <c r="C604" s="29">
        <v>4</v>
      </c>
      <c r="D604" s="30">
        <v>3150</v>
      </c>
      <c r="E604" s="31">
        <v>2076</v>
      </c>
      <c r="F604" s="32">
        <f t="shared" si="28"/>
        <v>2613</v>
      </c>
      <c r="G604" s="2">
        <f t="shared" si="29"/>
        <v>689823.4466157906</v>
      </c>
      <c r="H604" s="26"/>
      <c r="I604" s="27">
        <f t="shared" si="30"/>
      </c>
    </row>
    <row r="605" spans="1:9" ht="15">
      <c r="A605" s="28" t="s">
        <v>119</v>
      </c>
      <c r="B605" s="29">
        <v>1</v>
      </c>
      <c r="C605" s="29">
        <v>5</v>
      </c>
      <c r="D605" s="30">
        <v>14000</v>
      </c>
      <c r="E605" s="31">
        <v>7339</v>
      </c>
      <c r="F605" s="32">
        <f t="shared" si="28"/>
        <v>10669.5</v>
      </c>
      <c r="G605" s="2">
        <f t="shared" si="29"/>
        <v>2130517.3871554756</v>
      </c>
      <c r="H605" s="26"/>
      <c r="I605" s="27">
        <f t="shared" si="30"/>
      </c>
    </row>
    <row r="606" spans="1:9" ht="15">
      <c r="A606" s="28" t="s">
        <v>119</v>
      </c>
      <c r="B606" s="29">
        <v>1</v>
      </c>
      <c r="C606" s="29">
        <v>4</v>
      </c>
      <c r="D606" s="30">
        <v>3400</v>
      </c>
      <c r="E606" s="31">
        <v>3903</v>
      </c>
      <c r="F606" s="32">
        <f t="shared" si="28"/>
        <v>3651.5</v>
      </c>
      <c r="G606" s="2">
        <f t="shared" si="29"/>
        <v>866033.2652345889</v>
      </c>
      <c r="H606" s="26"/>
      <c r="I606" s="27">
        <f t="shared" si="30"/>
      </c>
    </row>
    <row r="607" spans="1:9" ht="15">
      <c r="A607" s="28" t="s">
        <v>119</v>
      </c>
      <c r="B607" s="29">
        <v>1</v>
      </c>
      <c r="C607" s="29">
        <v>4</v>
      </c>
      <c r="D607" s="30">
        <v>1300</v>
      </c>
      <c r="E607" s="31">
        <v>6556</v>
      </c>
      <c r="F607" s="32">
        <f t="shared" si="28"/>
        <v>3928</v>
      </c>
      <c r="G607" s="2">
        <f t="shared" si="29"/>
        <v>910090.0209942544</v>
      </c>
      <c r="H607" s="26"/>
      <c r="I607" s="27">
        <f t="shared" si="30"/>
      </c>
    </row>
    <row r="608" spans="1:9" ht="15">
      <c r="A608" s="28" t="s">
        <v>119</v>
      </c>
      <c r="B608" s="29">
        <v>2</v>
      </c>
      <c r="C608" s="29">
        <v>5</v>
      </c>
      <c r="D608" s="30">
        <v>42500</v>
      </c>
      <c r="E608" s="31">
        <v>28549</v>
      </c>
      <c r="F608" s="32">
        <f t="shared" si="28"/>
        <v>35524.5</v>
      </c>
      <c r="G608" s="2">
        <f t="shared" si="29"/>
        <v>5054854.544857801</v>
      </c>
      <c r="H608" s="26"/>
      <c r="I608" s="27">
        <f t="shared" si="30"/>
      </c>
    </row>
    <row r="609" spans="1:9" ht="15">
      <c r="A609" s="28" t="s">
        <v>119</v>
      </c>
      <c r="B609" s="29">
        <v>1</v>
      </c>
      <c r="C609" s="29">
        <v>5</v>
      </c>
      <c r="D609" s="30">
        <v>14500</v>
      </c>
      <c r="E609" s="31">
        <v>4916</v>
      </c>
      <c r="F609" s="32">
        <f t="shared" si="28"/>
        <v>9708</v>
      </c>
      <c r="G609" s="2">
        <f t="shared" si="29"/>
        <v>1998037.1624916312</v>
      </c>
      <c r="H609" s="26"/>
      <c r="I609" s="27">
        <f t="shared" si="30"/>
      </c>
    </row>
    <row r="610" spans="1:9" ht="15">
      <c r="A610" s="28" t="s">
        <v>119</v>
      </c>
      <c r="B610" s="29">
        <v>2</v>
      </c>
      <c r="C610" s="29">
        <v>4</v>
      </c>
      <c r="D610" s="30">
        <v>4500</v>
      </c>
      <c r="E610" s="31">
        <v>1226</v>
      </c>
      <c r="F610" s="32">
        <f t="shared" si="28"/>
        <v>2863</v>
      </c>
      <c r="G610" s="2">
        <f t="shared" si="29"/>
        <v>734029.8703489378</v>
      </c>
      <c r="H610" s="26"/>
      <c r="I610" s="27">
        <f t="shared" si="30"/>
      </c>
    </row>
    <row r="611" spans="1:9" ht="15">
      <c r="A611" s="28" t="s">
        <v>119</v>
      </c>
      <c r="B611" s="29">
        <v>1</v>
      </c>
      <c r="C611" s="29">
        <v>4</v>
      </c>
      <c r="D611" s="30">
        <v>1000</v>
      </c>
      <c r="E611" s="31">
        <v>350</v>
      </c>
      <c r="F611" s="32">
        <f t="shared" si="28"/>
        <v>675</v>
      </c>
      <c r="G611" s="2">
        <f t="shared" si="29"/>
        <v>274869.9640775531</v>
      </c>
      <c r="H611" s="26"/>
      <c r="I611" s="27">
        <f t="shared" si="30"/>
      </c>
    </row>
    <row r="612" spans="1:9" ht="15">
      <c r="A612" s="28" t="s">
        <v>119</v>
      </c>
      <c r="B612" s="29">
        <v>1</v>
      </c>
      <c r="C612" s="29">
        <v>4</v>
      </c>
      <c r="D612" s="30">
        <v>4500</v>
      </c>
      <c r="E612" s="31">
        <v>3510</v>
      </c>
      <c r="F612" s="32">
        <f t="shared" si="28"/>
        <v>4005</v>
      </c>
      <c r="G612" s="2">
        <f t="shared" si="29"/>
        <v>922180.1596302734</v>
      </c>
      <c r="H612" s="26"/>
      <c r="I612" s="27">
        <f t="shared" si="30"/>
      </c>
    </row>
    <row r="613" spans="1:9" ht="15">
      <c r="A613" s="28" t="s">
        <v>119</v>
      </c>
      <c r="B613" s="29">
        <v>1</v>
      </c>
      <c r="C613" s="29">
        <v>4</v>
      </c>
      <c r="D613" s="30">
        <v>1200</v>
      </c>
      <c r="E613" s="31">
        <v>931</v>
      </c>
      <c r="F613" s="32">
        <f t="shared" si="28"/>
        <v>1065.5</v>
      </c>
      <c r="G613" s="2">
        <f t="shared" si="29"/>
        <v>374884.44350730407</v>
      </c>
      <c r="H613" s="26"/>
      <c r="I613" s="27">
        <f t="shared" si="30"/>
      </c>
    </row>
    <row r="614" spans="1:9" ht="15.75" thickBot="1">
      <c r="A614" s="28" t="s">
        <v>119</v>
      </c>
      <c r="B614" s="29"/>
      <c r="C614" s="29"/>
      <c r="D614" s="30"/>
      <c r="E614" s="31"/>
      <c r="F614" s="32">
        <f t="shared" si="28"/>
        <v>0</v>
      </c>
      <c r="G614" s="2">
        <f t="shared" si="29"/>
        <v>0</v>
      </c>
      <c r="H614" s="39">
        <f>SUM(G600:G614)</f>
        <v>30206516.976271935</v>
      </c>
      <c r="I614" s="27">
        <f t="shared" si="30"/>
        <v>30206890.626271933</v>
      </c>
    </row>
    <row r="615" spans="1:9" ht="15">
      <c r="A615" s="20" t="s">
        <v>120</v>
      </c>
      <c r="B615" s="21">
        <v>2</v>
      </c>
      <c r="C615" s="21">
        <v>5</v>
      </c>
      <c r="D615" s="22">
        <v>100000</v>
      </c>
      <c r="E615" s="23">
        <v>68368</v>
      </c>
      <c r="F615" s="24">
        <f t="shared" si="28"/>
        <v>84184</v>
      </c>
      <c r="G615" s="25">
        <f t="shared" si="29"/>
        <v>9087214.91810793</v>
      </c>
      <c r="H615" s="26"/>
      <c r="I615" s="27">
        <f t="shared" si="30"/>
      </c>
    </row>
    <row r="616" spans="1:9" ht="15">
      <c r="A616" s="28" t="s">
        <v>120</v>
      </c>
      <c r="B616" s="29">
        <v>2</v>
      </c>
      <c r="C616" s="29">
        <v>5</v>
      </c>
      <c r="D616" s="30">
        <v>65000</v>
      </c>
      <c r="E616" s="31">
        <v>13715</v>
      </c>
      <c r="F616" s="32">
        <f t="shared" si="28"/>
        <v>39357.5</v>
      </c>
      <c r="G616" s="2">
        <f t="shared" si="29"/>
        <v>5419502.783592318</v>
      </c>
      <c r="H616" s="26"/>
      <c r="I616" s="27">
        <f t="shared" si="30"/>
      </c>
    </row>
    <row r="617" spans="1:9" ht="15">
      <c r="A617" s="28" t="s">
        <v>120</v>
      </c>
      <c r="B617" s="29">
        <v>2</v>
      </c>
      <c r="C617" s="29">
        <v>5</v>
      </c>
      <c r="D617" s="30">
        <v>7200</v>
      </c>
      <c r="E617" s="31">
        <v>6071</v>
      </c>
      <c r="F617" s="32">
        <f t="shared" si="28"/>
        <v>6635.5</v>
      </c>
      <c r="G617" s="2">
        <f t="shared" si="29"/>
        <v>1615732.4823861078</v>
      </c>
      <c r="H617" s="26"/>
      <c r="I617" s="27">
        <f t="shared" si="30"/>
      </c>
    </row>
    <row r="618" spans="1:9" ht="15">
      <c r="A618" s="28" t="s">
        <v>120</v>
      </c>
      <c r="B618" s="29">
        <v>1</v>
      </c>
      <c r="C618" s="29">
        <v>2</v>
      </c>
      <c r="D618" s="30">
        <v>3760</v>
      </c>
      <c r="E618" s="31">
        <v>1734</v>
      </c>
      <c r="F618" s="32">
        <f t="shared" si="28"/>
        <v>2747</v>
      </c>
      <c r="G618" s="2">
        <f t="shared" si="29"/>
        <v>650987.8114667012</v>
      </c>
      <c r="H618" s="26"/>
      <c r="I618" s="27">
        <f t="shared" si="30"/>
      </c>
    </row>
    <row r="619" spans="1:9" ht="15">
      <c r="A619" s="28" t="s">
        <v>120</v>
      </c>
      <c r="B619" s="29">
        <v>1</v>
      </c>
      <c r="C619" s="29">
        <v>4</v>
      </c>
      <c r="D619" s="30">
        <v>2100</v>
      </c>
      <c r="E619" s="31">
        <v>2735</v>
      </c>
      <c r="F619" s="32">
        <f t="shared" si="28"/>
        <v>2417.5</v>
      </c>
      <c r="G619" s="2">
        <f t="shared" si="29"/>
        <v>654303.3078485585</v>
      </c>
      <c r="H619" s="26"/>
      <c r="I619" s="27">
        <f t="shared" si="30"/>
      </c>
    </row>
    <row r="620" spans="1:9" ht="15">
      <c r="A620" s="28" t="s">
        <v>120</v>
      </c>
      <c r="B620" s="29">
        <v>1</v>
      </c>
      <c r="C620" s="29">
        <v>4</v>
      </c>
      <c r="D620" s="30">
        <v>2700</v>
      </c>
      <c r="E620" s="31">
        <v>2731</v>
      </c>
      <c r="F620" s="32">
        <f t="shared" si="28"/>
        <v>2715.5</v>
      </c>
      <c r="G620" s="2">
        <f t="shared" si="29"/>
        <v>708105.0306638854</v>
      </c>
      <c r="H620" s="26"/>
      <c r="I620" s="27">
        <f t="shared" si="30"/>
      </c>
    </row>
    <row r="621" spans="1:9" ht="15">
      <c r="A621" s="28" t="s">
        <v>120</v>
      </c>
      <c r="B621" s="29">
        <v>1</v>
      </c>
      <c r="C621" s="29">
        <v>4</v>
      </c>
      <c r="D621" s="30">
        <v>2500</v>
      </c>
      <c r="E621" s="31">
        <v>3217</v>
      </c>
      <c r="F621" s="32">
        <f t="shared" si="28"/>
        <v>2858.5</v>
      </c>
      <c r="G621" s="2">
        <f t="shared" si="29"/>
        <v>733245.3659055152</v>
      </c>
      <c r="H621" s="26"/>
      <c r="I621" s="27">
        <f t="shared" si="30"/>
      </c>
    </row>
    <row r="622" spans="1:9" ht="15">
      <c r="A622" s="28" t="s">
        <v>120</v>
      </c>
      <c r="B622" s="29">
        <v>1</v>
      </c>
      <c r="C622" s="29">
        <v>4</v>
      </c>
      <c r="D622" s="30">
        <v>1200</v>
      </c>
      <c r="E622" s="31">
        <v>0</v>
      </c>
      <c r="F622" s="32">
        <f t="shared" si="28"/>
        <v>600</v>
      </c>
      <c r="G622" s="2">
        <f t="shared" si="29"/>
        <v>253719.4731584025</v>
      </c>
      <c r="H622" s="26"/>
      <c r="I622" s="27">
        <f t="shared" si="30"/>
      </c>
    </row>
    <row r="623" spans="1:9" ht="15">
      <c r="A623" s="28" t="s">
        <v>120</v>
      </c>
      <c r="B623" s="29">
        <v>1</v>
      </c>
      <c r="C623" s="29">
        <v>4</v>
      </c>
      <c r="D623" s="30">
        <v>1000</v>
      </c>
      <c r="E623" s="31">
        <v>4043</v>
      </c>
      <c r="F623" s="32">
        <f t="shared" si="28"/>
        <v>2521.5</v>
      </c>
      <c r="G623" s="2">
        <f t="shared" si="29"/>
        <v>673308.8926758394</v>
      </c>
      <c r="H623" s="26"/>
      <c r="I623" s="27">
        <f t="shared" si="30"/>
      </c>
    </row>
    <row r="624" spans="1:9" ht="15">
      <c r="A624" s="28" t="s">
        <v>120</v>
      </c>
      <c r="B624" s="29">
        <v>1</v>
      </c>
      <c r="C624" s="29">
        <v>4</v>
      </c>
      <c r="D624" s="30">
        <v>633</v>
      </c>
      <c r="E624" s="31">
        <v>0</v>
      </c>
      <c r="F624" s="32">
        <f t="shared" si="28"/>
        <v>316.5</v>
      </c>
      <c r="G624" s="2">
        <f t="shared" si="29"/>
        <v>164255.76904475052</v>
      </c>
      <c r="H624" s="26"/>
      <c r="I624" s="27">
        <f t="shared" si="30"/>
      </c>
    </row>
    <row r="625" spans="1:9" ht="15">
      <c r="A625" s="28" t="s">
        <v>120</v>
      </c>
      <c r="B625" s="29">
        <v>1</v>
      </c>
      <c r="C625" s="29">
        <v>4</v>
      </c>
      <c r="D625" s="30">
        <v>400</v>
      </c>
      <c r="E625" s="31">
        <v>584</v>
      </c>
      <c r="F625" s="32">
        <f t="shared" si="28"/>
        <v>492</v>
      </c>
      <c r="G625" s="2">
        <f t="shared" si="29"/>
        <v>221699.36938151467</v>
      </c>
      <c r="H625" s="26"/>
      <c r="I625" s="27">
        <f t="shared" si="30"/>
      </c>
    </row>
    <row r="626" spans="1:9" ht="15">
      <c r="A626" s="28" t="s">
        <v>120</v>
      </c>
      <c r="B626" s="29">
        <v>1</v>
      </c>
      <c r="C626" s="29">
        <v>4</v>
      </c>
      <c r="D626" s="30">
        <v>400</v>
      </c>
      <c r="E626" s="31">
        <v>0</v>
      </c>
      <c r="F626" s="32">
        <f t="shared" si="28"/>
        <v>200</v>
      </c>
      <c r="G626" s="2">
        <f t="shared" si="29"/>
        <v>120228.31817099413</v>
      </c>
      <c r="H626" s="26"/>
      <c r="I626" s="27">
        <f t="shared" si="30"/>
      </c>
    </row>
    <row r="627" spans="1:9" ht="15">
      <c r="A627" s="28" t="s">
        <v>120</v>
      </c>
      <c r="B627" s="29">
        <v>1</v>
      </c>
      <c r="C627" s="29">
        <v>3</v>
      </c>
      <c r="D627" s="30">
        <v>350</v>
      </c>
      <c r="E627" s="31">
        <v>0</v>
      </c>
      <c r="F627" s="32">
        <f t="shared" si="28"/>
        <v>175</v>
      </c>
      <c r="G627" s="2">
        <f t="shared" si="29"/>
        <v>104247.28201900794</v>
      </c>
      <c r="H627" s="26"/>
      <c r="I627" s="27">
        <f t="shared" si="30"/>
      </c>
    </row>
    <row r="628" spans="1:9" ht="15">
      <c r="A628" s="28" t="s">
        <v>120</v>
      </c>
      <c r="B628" s="29">
        <v>1</v>
      </c>
      <c r="C628" s="29">
        <v>2</v>
      </c>
      <c r="D628" s="30">
        <v>1956</v>
      </c>
      <c r="E628" s="31">
        <v>1820</v>
      </c>
      <c r="F628" s="32">
        <f t="shared" si="28"/>
        <v>1888</v>
      </c>
      <c r="G628" s="2">
        <f t="shared" si="29"/>
        <v>504502.00132369733</v>
      </c>
      <c r="H628" s="26"/>
      <c r="I628" s="27">
        <f t="shared" si="30"/>
      </c>
    </row>
    <row r="629" spans="1:9" ht="15">
      <c r="A629" s="28" t="s">
        <v>120</v>
      </c>
      <c r="B629" s="29">
        <v>1</v>
      </c>
      <c r="C629" s="29">
        <v>4</v>
      </c>
      <c r="D629" s="30">
        <v>160</v>
      </c>
      <c r="E629" s="31">
        <v>0</v>
      </c>
      <c r="F629" s="32">
        <f t="shared" si="28"/>
        <v>80</v>
      </c>
      <c r="G629" s="2">
        <f t="shared" si="29"/>
        <v>64489.22444199587</v>
      </c>
      <c r="H629" s="26"/>
      <c r="I629" s="27">
        <f t="shared" si="30"/>
      </c>
    </row>
    <row r="630" spans="1:9" ht="15">
      <c r="A630" s="28" t="s">
        <v>120</v>
      </c>
      <c r="B630" s="29">
        <v>1</v>
      </c>
      <c r="C630" s="29">
        <v>3</v>
      </c>
      <c r="D630" s="30">
        <v>150</v>
      </c>
      <c r="E630" s="31">
        <v>0</v>
      </c>
      <c r="F630" s="32">
        <f t="shared" si="28"/>
        <v>75</v>
      </c>
      <c r="G630" s="2">
        <f t="shared" si="29"/>
        <v>58602.22722350153</v>
      </c>
      <c r="H630" s="26"/>
      <c r="I630" s="27">
        <f t="shared" si="30"/>
      </c>
    </row>
    <row r="631" spans="1:9" ht="15.75" thickBot="1">
      <c r="A631" s="33" t="s">
        <v>120</v>
      </c>
      <c r="B631" s="34">
        <v>1</v>
      </c>
      <c r="C631" s="34">
        <v>4</v>
      </c>
      <c r="D631" s="35">
        <v>150</v>
      </c>
      <c r="E631" s="36">
        <v>0</v>
      </c>
      <c r="F631" s="37">
        <f t="shared" si="28"/>
        <v>75</v>
      </c>
      <c r="G631" s="38">
        <f t="shared" si="29"/>
        <v>61721.03892706706</v>
      </c>
      <c r="H631" s="39">
        <f>SUM(G615:G631)</f>
        <v>21095865.296337787</v>
      </c>
      <c r="I631" s="27">
        <f t="shared" si="30"/>
        <v>21096238.946337786</v>
      </c>
    </row>
    <row r="632" spans="1:9" ht="15">
      <c r="A632" s="20" t="s">
        <v>122</v>
      </c>
      <c r="B632" s="21">
        <v>1</v>
      </c>
      <c r="C632" s="21">
        <v>5</v>
      </c>
      <c r="D632" s="22">
        <v>10000</v>
      </c>
      <c r="E632" s="23">
        <v>4176</v>
      </c>
      <c r="F632" s="24">
        <f t="shared" si="28"/>
        <v>7088</v>
      </c>
      <c r="G632" s="25">
        <f t="shared" si="29"/>
        <v>1613387.7786886771</v>
      </c>
      <c r="H632" s="26"/>
      <c r="I632" s="27">
        <f t="shared" si="30"/>
      </c>
    </row>
    <row r="633" spans="1:9" ht="15">
      <c r="A633" s="28" t="s">
        <v>122</v>
      </c>
      <c r="B633" s="29">
        <v>2</v>
      </c>
      <c r="C633" s="29">
        <v>5</v>
      </c>
      <c r="D633" s="30">
        <v>21560</v>
      </c>
      <c r="E633" s="31">
        <v>8637</v>
      </c>
      <c r="F633" s="32">
        <f t="shared" si="28"/>
        <v>15098.5</v>
      </c>
      <c r="G633" s="2">
        <f t="shared" si="29"/>
        <v>2825523.6443324513</v>
      </c>
      <c r="H633" s="26"/>
      <c r="I633" s="27">
        <f t="shared" si="30"/>
      </c>
    </row>
    <row r="634" spans="1:9" ht="15">
      <c r="A634" s="28" t="s">
        <v>122</v>
      </c>
      <c r="B634" s="29">
        <v>1</v>
      </c>
      <c r="C634" s="29">
        <v>5</v>
      </c>
      <c r="D634" s="30">
        <v>48000</v>
      </c>
      <c r="E634" s="31">
        <v>16729</v>
      </c>
      <c r="F634" s="32">
        <f t="shared" si="28"/>
        <v>32364.5</v>
      </c>
      <c r="G634" s="2">
        <f t="shared" si="29"/>
        <v>4529993.565534087</v>
      </c>
      <c r="H634" s="26"/>
      <c r="I634" s="27">
        <f t="shared" si="30"/>
      </c>
    </row>
    <row r="635" spans="1:9" ht="15">
      <c r="A635" s="28" t="s">
        <v>122</v>
      </c>
      <c r="B635" s="29">
        <v>1</v>
      </c>
      <c r="C635" s="29">
        <v>5</v>
      </c>
      <c r="D635" s="30">
        <v>24000</v>
      </c>
      <c r="E635" s="31">
        <v>10372</v>
      </c>
      <c r="F635" s="32">
        <f t="shared" si="28"/>
        <v>17186</v>
      </c>
      <c r="G635" s="2">
        <f t="shared" si="29"/>
        <v>2945944.6286666985</v>
      </c>
      <c r="H635" s="26"/>
      <c r="I635" s="27">
        <f t="shared" si="30"/>
      </c>
    </row>
    <row r="636" spans="1:9" ht="15">
      <c r="A636" s="28" t="s">
        <v>122</v>
      </c>
      <c r="B636" s="29">
        <v>1</v>
      </c>
      <c r="C636" s="29">
        <v>2</v>
      </c>
      <c r="D636" s="30">
        <v>100</v>
      </c>
      <c r="E636" s="31"/>
      <c r="F636" s="32">
        <f t="shared" si="28"/>
        <v>50</v>
      </c>
      <c r="G636" s="2">
        <f t="shared" si="29"/>
        <v>42736.26361196447</v>
      </c>
      <c r="H636" s="26"/>
      <c r="I636" s="27">
        <f t="shared" si="30"/>
      </c>
    </row>
    <row r="637" spans="1:9" ht="15">
      <c r="A637" s="28" t="s">
        <v>122</v>
      </c>
      <c r="B637" s="29">
        <v>1</v>
      </c>
      <c r="C637" s="29">
        <v>1</v>
      </c>
      <c r="D637" s="30">
        <v>35</v>
      </c>
      <c r="E637" s="31"/>
      <c r="F637" s="32">
        <f t="shared" si="28"/>
        <v>17.5</v>
      </c>
      <c r="G637" s="2">
        <f t="shared" si="29"/>
        <v>11071.380640201993</v>
      </c>
      <c r="H637" s="26"/>
      <c r="I637" s="27">
        <f t="shared" si="30"/>
      </c>
    </row>
    <row r="638" spans="1:9" ht="15">
      <c r="A638" s="28" t="s">
        <v>122</v>
      </c>
      <c r="B638" s="29">
        <v>1</v>
      </c>
      <c r="C638" s="29">
        <v>2</v>
      </c>
      <c r="D638" s="30">
        <v>50</v>
      </c>
      <c r="E638" s="31"/>
      <c r="F638" s="32">
        <f t="shared" si="28"/>
        <v>25</v>
      </c>
      <c r="G638" s="2">
        <f t="shared" si="29"/>
        <v>26678.18983243626</v>
      </c>
      <c r="H638" s="26"/>
      <c r="I638" s="27">
        <f t="shared" si="30"/>
      </c>
    </row>
    <row r="639" spans="1:9" ht="15">
      <c r="A639" s="28" t="s">
        <v>122</v>
      </c>
      <c r="B639" s="29">
        <v>1</v>
      </c>
      <c r="C639" s="29">
        <v>2</v>
      </c>
      <c r="D639" s="30">
        <v>200</v>
      </c>
      <c r="E639" s="31"/>
      <c r="F639" s="32">
        <f t="shared" si="28"/>
        <v>100</v>
      </c>
      <c r="G639" s="2">
        <f t="shared" si="29"/>
        <v>68459.97569485515</v>
      </c>
      <c r="H639" s="26"/>
      <c r="I639" s="27">
        <f t="shared" si="30"/>
      </c>
    </row>
    <row r="640" spans="1:9" ht="15">
      <c r="A640" s="28" t="s">
        <v>122</v>
      </c>
      <c r="B640" s="29">
        <v>1</v>
      </c>
      <c r="C640" s="29">
        <v>5</v>
      </c>
      <c r="D640" s="30">
        <v>5400</v>
      </c>
      <c r="E640" s="31">
        <v>2484</v>
      </c>
      <c r="F640" s="32">
        <f t="shared" si="28"/>
        <v>3942</v>
      </c>
      <c r="G640" s="2">
        <f t="shared" si="29"/>
        <v>1082731.828782883</v>
      </c>
      <c r="H640" s="26"/>
      <c r="I640" s="27">
        <f t="shared" si="30"/>
      </c>
    </row>
    <row r="641" spans="1:9" ht="15.75" thickBot="1">
      <c r="A641" s="33" t="s">
        <v>122</v>
      </c>
      <c r="B641" s="34">
        <v>1</v>
      </c>
      <c r="C641" s="34">
        <v>5</v>
      </c>
      <c r="D641" s="35">
        <v>2540</v>
      </c>
      <c r="E641" s="36">
        <v>610</v>
      </c>
      <c r="F641" s="37">
        <f t="shared" si="28"/>
        <v>1575</v>
      </c>
      <c r="G641" s="38">
        <f t="shared" si="29"/>
        <v>580315.3642776903</v>
      </c>
      <c r="H641" s="39">
        <f>SUM(G632:G641)</f>
        <v>13726842.620061945</v>
      </c>
      <c r="I641" s="27">
        <f t="shared" si="30"/>
        <v>13727216.270061946</v>
      </c>
    </row>
    <row r="642" spans="1:9" ht="15">
      <c r="A642" s="20" t="s">
        <v>22</v>
      </c>
      <c r="B642" s="21">
        <v>1</v>
      </c>
      <c r="C642" s="21">
        <v>5</v>
      </c>
      <c r="D642" s="22">
        <v>15000</v>
      </c>
      <c r="E642" s="23">
        <v>11544</v>
      </c>
      <c r="F642" s="24">
        <f t="shared" si="28"/>
        <v>13272</v>
      </c>
      <c r="G642" s="25">
        <f t="shared" si="29"/>
        <v>2471296.7153687775</v>
      </c>
      <c r="H642" s="26"/>
      <c r="I642" s="27">
        <f t="shared" si="30"/>
      </c>
    </row>
    <row r="643" spans="1:9" ht="15">
      <c r="A643" s="28" t="s">
        <v>22</v>
      </c>
      <c r="B643" s="29">
        <v>1</v>
      </c>
      <c r="C643" s="29">
        <v>5</v>
      </c>
      <c r="D643" s="30">
        <v>9900</v>
      </c>
      <c r="E643" s="31">
        <v>6998</v>
      </c>
      <c r="F643" s="32">
        <f aca="true" t="shared" si="31" ref="F643:F706">(D643+E643)/2</f>
        <v>8449</v>
      </c>
      <c r="G643" s="2">
        <f aca="true" t="shared" si="32" ref="G643:G706">IF(C643=1,1581.92*(F643^0.6798),IF(C643=2,2991.14*(F643^0.6798),IF(C643=3,3113.49*(F643^0.6798),IF(C643=4,3279.19*(F643^0.6798),IF(C643=5,IF(B643=1,3891.82*(F643^0.6798),IF(B643=2,4076.24*(F643^0.6798),0)),0)))))</f>
        <v>1818004.6737775295</v>
      </c>
      <c r="H643" s="26"/>
      <c r="I643" s="27">
        <f t="shared" si="30"/>
      </c>
    </row>
    <row r="644" spans="1:9" ht="15">
      <c r="A644" s="28" t="s">
        <v>22</v>
      </c>
      <c r="B644" s="29">
        <v>1</v>
      </c>
      <c r="C644" s="29">
        <v>5</v>
      </c>
      <c r="D644" s="30">
        <v>11700</v>
      </c>
      <c r="E644" s="31">
        <v>5020</v>
      </c>
      <c r="F644" s="32">
        <f t="shared" si="31"/>
        <v>8360</v>
      </c>
      <c r="G644" s="2">
        <f t="shared" si="32"/>
        <v>1804964.119058182</v>
      </c>
      <c r="H644" s="26"/>
      <c r="I644" s="27">
        <f t="shared" si="30"/>
      </c>
    </row>
    <row r="645" spans="1:9" ht="15.75" thickBot="1">
      <c r="A645" s="33" t="s">
        <v>22</v>
      </c>
      <c r="B645" s="34">
        <v>1</v>
      </c>
      <c r="C645" s="34">
        <v>3</v>
      </c>
      <c r="D645" s="35">
        <v>3500</v>
      </c>
      <c r="E645" s="36">
        <v>2351</v>
      </c>
      <c r="F645" s="37">
        <f t="shared" si="31"/>
        <v>2925.5</v>
      </c>
      <c r="G645" s="38">
        <f t="shared" si="32"/>
        <v>707245.6823525222</v>
      </c>
      <c r="H645" s="39">
        <f>SUM(G642:G645)</f>
        <v>6801511.190557012</v>
      </c>
      <c r="I645" s="27">
        <f t="shared" si="30"/>
        <v>6801884.840557013</v>
      </c>
    </row>
    <row r="646" spans="1:9" ht="15">
      <c r="A646" s="20" t="s">
        <v>23</v>
      </c>
      <c r="B646" s="21">
        <v>1</v>
      </c>
      <c r="C646" s="21">
        <v>5</v>
      </c>
      <c r="D646" s="22">
        <v>35000</v>
      </c>
      <c r="E646" s="23">
        <v>33100</v>
      </c>
      <c r="F646" s="24">
        <f t="shared" si="31"/>
        <v>34050</v>
      </c>
      <c r="G646" s="25">
        <f t="shared" si="32"/>
        <v>4689061.849536319</v>
      </c>
      <c r="H646" s="26"/>
      <c r="I646" s="27">
        <f t="shared" si="30"/>
      </c>
    </row>
    <row r="647" spans="1:9" ht="15">
      <c r="A647" s="28" t="s">
        <v>23</v>
      </c>
      <c r="B647" s="29">
        <v>1</v>
      </c>
      <c r="C647" s="29">
        <v>4</v>
      </c>
      <c r="D647" s="30">
        <v>2500</v>
      </c>
      <c r="E647" s="31">
        <v>2500</v>
      </c>
      <c r="F647" s="32">
        <f t="shared" si="31"/>
        <v>2500</v>
      </c>
      <c r="G647" s="2">
        <f t="shared" si="32"/>
        <v>669400.7564772833</v>
      </c>
      <c r="H647" s="26"/>
      <c r="I647" s="27">
        <f t="shared" si="30"/>
      </c>
    </row>
    <row r="648" spans="1:9" ht="15">
      <c r="A648" s="28" t="s">
        <v>23</v>
      </c>
      <c r="B648" s="29">
        <v>1</v>
      </c>
      <c r="C648" s="29">
        <v>1</v>
      </c>
      <c r="D648" s="30">
        <v>150</v>
      </c>
      <c r="E648" s="31">
        <v>140</v>
      </c>
      <c r="F648" s="32">
        <f t="shared" si="31"/>
        <v>145</v>
      </c>
      <c r="G648" s="2">
        <f t="shared" si="32"/>
        <v>46610.362947868576</v>
      </c>
      <c r="H648" s="26"/>
      <c r="I648" s="27">
        <f t="shared" si="30"/>
      </c>
    </row>
    <row r="649" spans="1:9" ht="15.75" thickBot="1">
      <c r="A649" s="28" t="s">
        <v>23</v>
      </c>
      <c r="B649" s="29">
        <v>2</v>
      </c>
      <c r="C649" s="29">
        <v>5</v>
      </c>
      <c r="D649" s="30">
        <v>18000</v>
      </c>
      <c r="E649" s="31">
        <v>9300</v>
      </c>
      <c r="F649" s="32">
        <f t="shared" si="31"/>
        <v>13650</v>
      </c>
      <c r="G649" s="2">
        <f t="shared" si="32"/>
        <v>2638292.377992819</v>
      </c>
      <c r="H649" s="39">
        <f>SUM(G646:G649)</f>
        <v>8043365.34695429</v>
      </c>
      <c r="I649" s="27">
        <f t="shared" si="30"/>
        <v>8043738.99695429</v>
      </c>
    </row>
    <row r="650" spans="1:9" ht="15">
      <c r="A650" s="20" t="s">
        <v>123</v>
      </c>
      <c r="B650" s="21">
        <v>2</v>
      </c>
      <c r="C650" s="21">
        <v>5</v>
      </c>
      <c r="D650" s="22">
        <v>25000</v>
      </c>
      <c r="E650" s="23">
        <v>20888</v>
      </c>
      <c r="F650" s="24">
        <f t="shared" si="31"/>
        <v>22944</v>
      </c>
      <c r="G650" s="25">
        <f t="shared" si="32"/>
        <v>3755282.5888313768</v>
      </c>
      <c r="H650" s="26"/>
      <c r="I650" s="27">
        <f t="shared" si="30"/>
      </c>
    </row>
    <row r="651" spans="1:9" ht="15">
      <c r="A651" s="28" t="s">
        <v>123</v>
      </c>
      <c r="B651" s="29">
        <v>1</v>
      </c>
      <c r="C651" s="29">
        <v>5</v>
      </c>
      <c r="D651" s="30">
        <v>3000</v>
      </c>
      <c r="E651" s="31">
        <v>2183</v>
      </c>
      <c r="F651" s="32">
        <f t="shared" si="31"/>
        <v>2591.5</v>
      </c>
      <c r="G651" s="2">
        <f t="shared" si="32"/>
        <v>814113.3196965262</v>
      </c>
      <c r="H651" s="26"/>
      <c r="I651" s="27">
        <f t="shared" si="30"/>
      </c>
    </row>
    <row r="652" spans="1:9" ht="15">
      <c r="A652" s="28" t="s">
        <v>123</v>
      </c>
      <c r="B652" s="29">
        <v>1</v>
      </c>
      <c r="C652" s="29">
        <v>5</v>
      </c>
      <c r="D652" s="30">
        <v>335</v>
      </c>
      <c r="E652" s="31">
        <v>297</v>
      </c>
      <c r="F652" s="32">
        <f t="shared" si="31"/>
        <v>316</v>
      </c>
      <c r="G652" s="2">
        <f t="shared" si="32"/>
        <v>194733.21066106818</v>
      </c>
      <c r="H652" s="26"/>
      <c r="I652" s="27">
        <f t="shared" si="30"/>
      </c>
    </row>
    <row r="653" spans="1:9" ht="15">
      <c r="A653" s="28" t="s">
        <v>123</v>
      </c>
      <c r="B653" s="29">
        <v>1</v>
      </c>
      <c r="C653" s="29">
        <v>4</v>
      </c>
      <c r="D653" s="30">
        <v>590</v>
      </c>
      <c r="E653" s="31">
        <v>328</v>
      </c>
      <c r="F653" s="32">
        <f t="shared" si="31"/>
        <v>459</v>
      </c>
      <c r="G653" s="2">
        <f t="shared" si="32"/>
        <v>211478.80347301406</v>
      </c>
      <c r="H653" s="26"/>
      <c r="I653" s="27">
        <f t="shared" si="30"/>
      </c>
    </row>
    <row r="654" spans="1:9" ht="15">
      <c r="A654" s="28" t="s">
        <v>123</v>
      </c>
      <c r="B654" s="29">
        <v>1</v>
      </c>
      <c r="C654" s="29">
        <v>1</v>
      </c>
      <c r="D654" s="30">
        <v>50</v>
      </c>
      <c r="E654" s="31"/>
      <c r="F654" s="32">
        <f t="shared" si="31"/>
        <v>25</v>
      </c>
      <c r="G654" s="2">
        <f t="shared" si="32"/>
        <v>14109.256691337609</v>
      </c>
      <c r="H654" s="26"/>
      <c r="I654" s="27">
        <f t="shared" si="30"/>
      </c>
    </row>
    <row r="655" spans="1:9" ht="15">
      <c r="A655" s="28" t="s">
        <v>123</v>
      </c>
      <c r="B655" s="29">
        <v>1</v>
      </c>
      <c r="C655" s="29">
        <v>1</v>
      </c>
      <c r="D655" s="30">
        <v>190</v>
      </c>
      <c r="E655" s="31"/>
      <c r="F655" s="32">
        <f t="shared" si="31"/>
        <v>95</v>
      </c>
      <c r="G655" s="2">
        <f t="shared" si="32"/>
        <v>34965.60311372089</v>
      </c>
      <c r="H655" s="26"/>
      <c r="I655" s="27">
        <f t="shared" si="30"/>
      </c>
    </row>
    <row r="656" spans="1:9" ht="15">
      <c r="A656" s="28" t="s">
        <v>123</v>
      </c>
      <c r="B656" s="29">
        <v>1</v>
      </c>
      <c r="C656" s="29">
        <v>1</v>
      </c>
      <c r="D656" s="30">
        <v>30</v>
      </c>
      <c r="E656" s="31"/>
      <c r="F656" s="32">
        <f t="shared" si="31"/>
        <v>15</v>
      </c>
      <c r="G656" s="2">
        <f t="shared" si="32"/>
        <v>9969.912682147515</v>
      </c>
      <c r="H656" s="26"/>
      <c r="I656" s="27">
        <f aca="true" t="shared" si="33" ref="I656:I719">IF(H656=0,"",H656+373.65)</f>
      </c>
    </row>
    <row r="657" spans="1:9" ht="15.75" thickBot="1">
      <c r="A657" s="33" t="s">
        <v>123</v>
      </c>
      <c r="B657" s="34">
        <v>1</v>
      </c>
      <c r="C657" s="34">
        <v>1</v>
      </c>
      <c r="D657" s="35">
        <v>117</v>
      </c>
      <c r="E657" s="36"/>
      <c r="F657" s="37">
        <f t="shared" si="31"/>
        <v>58.5</v>
      </c>
      <c r="G657" s="38">
        <f t="shared" si="32"/>
        <v>25147.63073392366</v>
      </c>
      <c r="H657" s="39">
        <f>SUM(G650:G657)</f>
        <v>5059800.325883117</v>
      </c>
      <c r="I657" s="27">
        <f t="shared" si="33"/>
        <v>5060173.975883117</v>
      </c>
    </row>
    <row r="658" spans="1:9" ht="15">
      <c r="A658" s="20" t="s">
        <v>125</v>
      </c>
      <c r="B658" s="21">
        <v>1</v>
      </c>
      <c r="C658" s="21">
        <v>5</v>
      </c>
      <c r="D658" s="22">
        <v>100000</v>
      </c>
      <c r="E658" s="23">
        <v>36212</v>
      </c>
      <c r="F658" s="24">
        <f t="shared" si="31"/>
        <v>68106</v>
      </c>
      <c r="G658" s="25">
        <f t="shared" si="32"/>
        <v>7511940.906639368</v>
      </c>
      <c r="H658" s="26"/>
      <c r="I658" s="27">
        <f t="shared" si="33"/>
      </c>
    </row>
    <row r="659" spans="1:9" ht="15">
      <c r="A659" s="28" t="s">
        <v>125</v>
      </c>
      <c r="B659" s="29">
        <v>1</v>
      </c>
      <c r="C659" s="29">
        <v>4</v>
      </c>
      <c r="D659" s="30">
        <v>5000</v>
      </c>
      <c r="E659" s="31">
        <v>2031</v>
      </c>
      <c r="F659" s="32">
        <f t="shared" si="31"/>
        <v>3515.5</v>
      </c>
      <c r="G659" s="2">
        <f t="shared" si="32"/>
        <v>843973.1164872573</v>
      </c>
      <c r="H659" s="26"/>
      <c r="I659" s="27">
        <f t="shared" si="33"/>
      </c>
    </row>
    <row r="660" spans="1:9" ht="15">
      <c r="A660" s="28" t="s">
        <v>125</v>
      </c>
      <c r="B660" s="29">
        <v>1</v>
      </c>
      <c r="C660" s="29">
        <v>4</v>
      </c>
      <c r="D660" s="30">
        <v>4000</v>
      </c>
      <c r="E660" s="31">
        <v>1861</v>
      </c>
      <c r="F660" s="32">
        <f t="shared" si="31"/>
        <v>2930.5</v>
      </c>
      <c r="G660" s="2">
        <f t="shared" si="32"/>
        <v>745750.522055188</v>
      </c>
      <c r="H660" s="26"/>
      <c r="I660" s="27">
        <f t="shared" si="33"/>
      </c>
    </row>
    <row r="661" spans="1:9" ht="15">
      <c r="A661" s="28" t="s">
        <v>125</v>
      </c>
      <c r="B661" s="29">
        <v>2</v>
      </c>
      <c r="C661" s="29">
        <v>5</v>
      </c>
      <c r="D661" s="30">
        <v>15000</v>
      </c>
      <c r="E661" s="31">
        <v>12294</v>
      </c>
      <c r="F661" s="32">
        <f t="shared" si="31"/>
        <v>13647</v>
      </c>
      <c r="G661" s="2">
        <f t="shared" si="32"/>
        <v>2637898.185844997</v>
      </c>
      <c r="H661" s="26"/>
      <c r="I661" s="27">
        <f t="shared" si="33"/>
      </c>
    </row>
    <row r="662" spans="1:9" ht="15">
      <c r="A662" s="28" t="s">
        <v>125</v>
      </c>
      <c r="B662" s="29">
        <v>2</v>
      </c>
      <c r="C662" s="29">
        <v>5</v>
      </c>
      <c r="D662" s="30">
        <v>2000</v>
      </c>
      <c r="E662" s="31">
        <v>1565</v>
      </c>
      <c r="F662" s="32">
        <f t="shared" si="31"/>
        <v>1782.5</v>
      </c>
      <c r="G662" s="2">
        <f t="shared" si="32"/>
        <v>661164.6519114902</v>
      </c>
      <c r="H662" s="26"/>
      <c r="I662" s="27">
        <f t="shared" si="33"/>
      </c>
    </row>
    <row r="663" spans="1:9" ht="15">
      <c r="A663" s="28" t="s">
        <v>125</v>
      </c>
      <c r="B663" s="29">
        <v>1</v>
      </c>
      <c r="C663" s="29">
        <v>4</v>
      </c>
      <c r="D663" s="30">
        <v>330</v>
      </c>
      <c r="E663" s="31">
        <v>121</v>
      </c>
      <c r="F663" s="32">
        <f t="shared" si="31"/>
        <v>225.5</v>
      </c>
      <c r="G663" s="2">
        <f t="shared" si="32"/>
        <v>130447.45274671339</v>
      </c>
      <c r="H663" s="26"/>
      <c r="I663" s="27">
        <f t="shared" si="33"/>
      </c>
    </row>
    <row r="664" spans="1:9" ht="15.75" thickBot="1">
      <c r="A664" s="33" t="s">
        <v>125</v>
      </c>
      <c r="B664" s="34">
        <v>1</v>
      </c>
      <c r="C664" s="34">
        <v>4</v>
      </c>
      <c r="D664" s="35">
        <v>150</v>
      </c>
      <c r="E664" s="36">
        <v>200</v>
      </c>
      <c r="F664" s="37">
        <f t="shared" si="31"/>
        <v>175</v>
      </c>
      <c r="G664" s="38">
        <f t="shared" si="32"/>
        <v>109795.32445066811</v>
      </c>
      <c r="H664" s="39">
        <f>SUM(G658:G664)</f>
        <v>12640970.16013568</v>
      </c>
      <c r="I664" s="27">
        <f t="shared" si="33"/>
        <v>12641343.810135681</v>
      </c>
    </row>
    <row r="665" spans="1:9" ht="15">
      <c r="A665" s="20" t="s">
        <v>127</v>
      </c>
      <c r="B665" s="21">
        <v>2</v>
      </c>
      <c r="C665" s="21">
        <v>5</v>
      </c>
      <c r="D665" s="22">
        <v>7500</v>
      </c>
      <c r="E665" s="23">
        <v>5357</v>
      </c>
      <c r="F665" s="24">
        <f t="shared" si="31"/>
        <v>6428.5</v>
      </c>
      <c r="G665" s="25">
        <f t="shared" si="32"/>
        <v>1581294.226445036</v>
      </c>
      <c r="H665" s="26"/>
      <c r="I665" s="27">
        <f t="shared" si="33"/>
      </c>
    </row>
    <row r="666" spans="1:9" ht="15">
      <c r="A666" s="28" t="s">
        <v>127</v>
      </c>
      <c r="B666" s="29">
        <v>2</v>
      </c>
      <c r="C666" s="29">
        <v>5</v>
      </c>
      <c r="D666" s="30">
        <v>260000</v>
      </c>
      <c r="E666" s="31">
        <v>131000</v>
      </c>
      <c r="F666" s="32">
        <f t="shared" si="31"/>
        <v>195500</v>
      </c>
      <c r="G666" s="2">
        <f t="shared" si="32"/>
        <v>16113182.092351122</v>
      </c>
      <c r="H666" s="26"/>
      <c r="I666" s="27">
        <f t="shared" si="33"/>
      </c>
    </row>
    <row r="667" spans="1:9" ht="15">
      <c r="A667" s="28" t="s">
        <v>127</v>
      </c>
      <c r="B667" s="29">
        <v>2</v>
      </c>
      <c r="C667" s="29">
        <v>5</v>
      </c>
      <c r="D667" s="30">
        <v>135000</v>
      </c>
      <c r="E667" s="31">
        <v>65000</v>
      </c>
      <c r="F667" s="32">
        <f t="shared" si="31"/>
        <v>100000</v>
      </c>
      <c r="G667" s="2">
        <f t="shared" si="32"/>
        <v>10215502.78157962</v>
      </c>
      <c r="H667" s="26"/>
      <c r="I667" s="27">
        <f t="shared" si="33"/>
      </c>
    </row>
    <row r="668" spans="1:9" ht="15">
      <c r="A668" s="28" t="s">
        <v>127</v>
      </c>
      <c r="B668" s="29">
        <v>1</v>
      </c>
      <c r="C668" s="29">
        <v>5</v>
      </c>
      <c r="D668" s="30">
        <v>92000</v>
      </c>
      <c r="E668" s="31">
        <v>87850</v>
      </c>
      <c r="F668" s="32">
        <f t="shared" si="31"/>
        <v>89925</v>
      </c>
      <c r="G668" s="2">
        <f t="shared" si="32"/>
        <v>9074039.659679808</v>
      </c>
      <c r="H668" s="26"/>
      <c r="I668" s="27">
        <f t="shared" si="33"/>
      </c>
    </row>
    <row r="669" spans="1:9" ht="15">
      <c r="A669" s="28" t="s">
        <v>127</v>
      </c>
      <c r="B669" s="29">
        <v>1</v>
      </c>
      <c r="C669" s="29">
        <v>3</v>
      </c>
      <c r="D669" s="30">
        <v>500</v>
      </c>
      <c r="E669" s="31">
        <v>609</v>
      </c>
      <c r="F669" s="32">
        <f t="shared" si="31"/>
        <v>554.5</v>
      </c>
      <c r="G669" s="2">
        <f t="shared" si="32"/>
        <v>228324.09724676973</v>
      </c>
      <c r="H669" s="26"/>
      <c r="I669" s="27">
        <f t="shared" si="33"/>
      </c>
    </row>
    <row r="670" spans="1:9" ht="15">
      <c r="A670" s="28" t="s">
        <v>127</v>
      </c>
      <c r="B670" s="29">
        <v>1</v>
      </c>
      <c r="C670" s="29">
        <v>1</v>
      </c>
      <c r="D670" s="30">
        <v>45</v>
      </c>
      <c r="E670" s="31">
        <v>45</v>
      </c>
      <c r="F670" s="32">
        <f t="shared" si="31"/>
        <v>45</v>
      </c>
      <c r="G670" s="2">
        <f t="shared" si="32"/>
        <v>21039.643834592174</v>
      </c>
      <c r="H670" s="26"/>
      <c r="I670" s="27">
        <f t="shared" si="33"/>
      </c>
    </row>
    <row r="671" spans="1:9" ht="15">
      <c r="A671" s="28" t="s">
        <v>127</v>
      </c>
      <c r="B671" s="29">
        <v>2</v>
      </c>
      <c r="C671" s="29">
        <v>1</v>
      </c>
      <c r="D671" s="30">
        <v>60</v>
      </c>
      <c r="E671" s="31">
        <v>7</v>
      </c>
      <c r="F671" s="32">
        <f t="shared" si="31"/>
        <v>33.5</v>
      </c>
      <c r="G671" s="2">
        <f t="shared" si="32"/>
        <v>17215.116919401094</v>
      </c>
      <c r="H671" s="26"/>
      <c r="I671" s="27">
        <f t="shared" si="33"/>
      </c>
    </row>
    <row r="672" spans="1:9" ht="15">
      <c r="A672" s="28" t="s">
        <v>127</v>
      </c>
      <c r="B672" s="29">
        <v>2</v>
      </c>
      <c r="C672" s="29">
        <v>2</v>
      </c>
      <c r="D672" s="30">
        <v>690</v>
      </c>
      <c r="E672" s="31">
        <v>183</v>
      </c>
      <c r="F672" s="32">
        <f t="shared" si="31"/>
        <v>436.5</v>
      </c>
      <c r="G672" s="2">
        <f t="shared" si="32"/>
        <v>186422.37323909637</v>
      </c>
      <c r="H672" s="26"/>
      <c r="I672" s="27">
        <f t="shared" si="33"/>
      </c>
    </row>
    <row r="673" spans="1:9" ht="15.75" thickBot="1">
      <c r="A673" s="33" t="s">
        <v>127</v>
      </c>
      <c r="B673" s="34">
        <v>1</v>
      </c>
      <c r="C673" s="34">
        <v>2</v>
      </c>
      <c r="D673" s="35">
        <v>0</v>
      </c>
      <c r="E673" s="36">
        <v>37</v>
      </c>
      <c r="F673" s="37">
        <f t="shared" si="31"/>
        <v>18.5</v>
      </c>
      <c r="G673" s="38">
        <f t="shared" si="32"/>
        <v>21740.027123235574</v>
      </c>
      <c r="H673" s="39">
        <f>SUM(G665:G673)</f>
        <v>37458760.01841868</v>
      </c>
      <c r="I673" s="27">
        <f t="shared" si="33"/>
        <v>37459133.668418676</v>
      </c>
    </row>
    <row r="674" spans="1:9" ht="15">
      <c r="A674" s="20" t="s">
        <v>129</v>
      </c>
      <c r="B674" s="21">
        <v>1</v>
      </c>
      <c r="C674" s="21">
        <v>5</v>
      </c>
      <c r="D674" s="22">
        <v>83000</v>
      </c>
      <c r="E674" s="23">
        <v>33243</v>
      </c>
      <c r="F674" s="24">
        <f t="shared" si="31"/>
        <v>58121.5</v>
      </c>
      <c r="G674" s="25">
        <f t="shared" si="32"/>
        <v>6744486.842434657</v>
      </c>
      <c r="H674" s="26"/>
      <c r="I674" s="27">
        <f t="shared" si="33"/>
      </c>
    </row>
    <row r="675" spans="1:9" ht="15">
      <c r="A675" s="28" t="s">
        <v>129</v>
      </c>
      <c r="B675" s="29">
        <v>2</v>
      </c>
      <c r="C675" s="29">
        <v>3</v>
      </c>
      <c r="D675" s="30">
        <v>4850</v>
      </c>
      <c r="E675" s="31">
        <v>2400</v>
      </c>
      <c r="F675" s="32">
        <f t="shared" si="31"/>
        <v>3625</v>
      </c>
      <c r="G675" s="2">
        <f t="shared" si="32"/>
        <v>818210.5236360687</v>
      </c>
      <c r="H675" s="26"/>
      <c r="I675" s="27">
        <f t="shared" si="33"/>
      </c>
    </row>
    <row r="676" spans="1:9" ht="15">
      <c r="A676" s="28" t="s">
        <v>129</v>
      </c>
      <c r="B676" s="29">
        <v>1</v>
      </c>
      <c r="C676" s="29">
        <v>3</v>
      </c>
      <c r="D676" s="30">
        <v>1500</v>
      </c>
      <c r="E676" s="31">
        <v>2156</v>
      </c>
      <c r="F676" s="32">
        <f t="shared" si="31"/>
        <v>1828</v>
      </c>
      <c r="G676" s="2">
        <f t="shared" si="32"/>
        <v>513734.68714626273</v>
      </c>
      <c r="H676" s="26"/>
      <c r="I676" s="27">
        <f t="shared" si="33"/>
      </c>
    </row>
    <row r="677" spans="1:9" ht="15">
      <c r="A677" s="28" t="s">
        <v>129</v>
      </c>
      <c r="B677" s="29">
        <v>2</v>
      </c>
      <c r="C677" s="29">
        <v>3</v>
      </c>
      <c r="D677" s="30">
        <v>850</v>
      </c>
      <c r="E677" s="31">
        <v>1212</v>
      </c>
      <c r="F677" s="32">
        <f t="shared" si="31"/>
        <v>1031</v>
      </c>
      <c r="G677" s="2">
        <f t="shared" si="32"/>
        <v>348065.2895199916</v>
      </c>
      <c r="H677" s="26"/>
      <c r="I677" s="27">
        <f t="shared" si="33"/>
      </c>
    </row>
    <row r="678" spans="1:9" ht="15">
      <c r="A678" s="28" t="s">
        <v>129</v>
      </c>
      <c r="B678" s="29">
        <v>2</v>
      </c>
      <c r="C678" s="29">
        <v>5</v>
      </c>
      <c r="D678" s="30">
        <v>15000</v>
      </c>
      <c r="E678" s="31">
        <v>18600</v>
      </c>
      <c r="F678" s="32">
        <f t="shared" si="31"/>
        <v>16800</v>
      </c>
      <c r="G678" s="2">
        <f t="shared" si="32"/>
        <v>3038260.420502319</v>
      </c>
      <c r="H678" s="26"/>
      <c r="I678" s="27">
        <f t="shared" si="33"/>
      </c>
    </row>
    <row r="679" spans="1:9" ht="15">
      <c r="A679" s="28" t="s">
        <v>129</v>
      </c>
      <c r="B679" s="29">
        <v>2</v>
      </c>
      <c r="C679" s="29">
        <v>4</v>
      </c>
      <c r="D679" s="30">
        <v>6000</v>
      </c>
      <c r="E679" s="31">
        <v>5713</v>
      </c>
      <c r="F679" s="32">
        <f t="shared" si="31"/>
        <v>5856.5</v>
      </c>
      <c r="G679" s="2">
        <f t="shared" si="32"/>
        <v>1194007.332025916</v>
      </c>
      <c r="H679" s="26"/>
      <c r="I679" s="27">
        <f t="shared" si="33"/>
      </c>
    </row>
    <row r="680" spans="1:9" ht="15">
      <c r="A680" s="28" t="s">
        <v>129</v>
      </c>
      <c r="B680" s="29">
        <v>1</v>
      </c>
      <c r="C680" s="29">
        <v>4</v>
      </c>
      <c r="D680" s="30">
        <v>19000</v>
      </c>
      <c r="E680" s="31">
        <v>7600</v>
      </c>
      <c r="F680" s="32">
        <f t="shared" si="31"/>
        <v>13300</v>
      </c>
      <c r="G680" s="2">
        <f t="shared" si="32"/>
        <v>2085263.427712831</v>
      </c>
      <c r="H680" s="26"/>
      <c r="I680" s="27">
        <f t="shared" si="33"/>
      </c>
    </row>
    <row r="681" spans="1:9" ht="15.75" thickBot="1">
      <c r="A681" s="33" t="s">
        <v>129</v>
      </c>
      <c r="B681" s="34">
        <v>1</v>
      </c>
      <c r="C681" s="34">
        <v>4</v>
      </c>
      <c r="D681" s="35">
        <v>10500</v>
      </c>
      <c r="E681" s="36">
        <v>8632</v>
      </c>
      <c r="F681" s="37">
        <f t="shared" si="31"/>
        <v>9566</v>
      </c>
      <c r="G681" s="38">
        <f t="shared" si="32"/>
        <v>1666737.0553687548</v>
      </c>
      <c r="H681" s="39">
        <f>SUM(G674:G681)</f>
        <v>16408765.5783468</v>
      </c>
      <c r="I681" s="27">
        <f t="shared" si="33"/>
        <v>16409139.2283468</v>
      </c>
    </row>
    <row r="682" spans="1:9" ht="15.75" thickBot="1">
      <c r="A682" s="20" t="s">
        <v>130</v>
      </c>
      <c r="B682" s="21">
        <v>2</v>
      </c>
      <c r="C682" s="21">
        <v>5</v>
      </c>
      <c r="D682" s="22">
        <v>23000</v>
      </c>
      <c r="E682" s="23">
        <v>24940</v>
      </c>
      <c r="F682" s="24">
        <f t="shared" si="31"/>
        <v>23970</v>
      </c>
      <c r="G682" s="25">
        <f t="shared" si="32"/>
        <v>3868637.8443817194</v>
      </c>
      <c r="H682" s="39">
        <f>G682</f>
        <v>3868637.8443817194</v>
      </c>
      <c r="I682" s="27">
        <f t="shared" si="33"/>
        <v>3869011.4943817193</v>
      </c>
    </row>
    <row r="683" spans="1:9" ht="15">
      <c r="A683" s="20" t="s">
        <v>131</v>
      </c>
      <c r="B683" s="21">
        <v>2</v>
      </c>
      <c r="C683" s="21">
        <v>5</v>
      </c>
      <c r="D683" s="22">
        <v>15000</v>
      </c>
      <c r="E683" s="23">
        <v>8096</v>
      </c>
      <c r="F683" s="24">
        <f t="shared" si="31"/>
        <v>11548</v>
      </c>
      <c r="G683" s="25">
        <f t="shared" si="32"/>
        <v>2354788.20708101</v>
      </c>
      <c r="H683" s="26"/>
      <c r="I683" s="27">
        <f t="shared" si="33"/>
      </c>
    </row>
    <row r="684" spans="1:9" ht="15">
      <c r="A684" s="28" t="s">
        <v>131</v>
      </c>
      <c r="B684" s="29">
        <v>1</v>
      </c>
      <c r="C684" s="29">
        <v>5</v>
      </c>
      <c r="D684" s="30">
        <v>9000</v>
      </c>
      <c r="E684" s="31">
        <v>1922</v>
      </c>
      <c r="F684" s="32">
        <f t="shared" si="31"/>
        <v>5461</v>
      </c>
      <c r="G684" s="2">
        <f t="shared" si="32"/>
        <v>1351295.6265488605</v>
      </c>
      <c r="H684" s="26"/>
      <c r="I684" s="27">
        <f t="shared" si="33"/>
      </c>
    </row>
    <row r="685" spans="1:9" ht="15">
      <c r="A685" s="28" t="s">
        <v>131</v>
      </c>
      <c r="B685" s="29">
        <v>1</v>
      </c>
      <c r="C685" s="29">
        <v>4</v>
      </c>
      <c r="D685" s="30">
        <v>700</v>
      </c>
      <c r="E685" s="31">
        <v>471</v>
      </c>
      <c r="F685" s="32">
        <f t="shared" si="31"/>
        <v>585.5</v>
      </c>
      <c r="G685" s="2">
        <f t="shared" si="32"/>
        <v>249534.9416072812</v>
      </c>
      <c r="H685" s="26"/>
      <c r="I685" s="27">
        <f t="shared" si="33"/>
      </c>
    </row>
    <row r="686" spans="1:9" ht="15">
      <c r="A686" s="28" t="s">
        <v>131</v>
      </c>
      <c r="B686" s="29">
        <v>1</v>
      </c>
      <c r="C686" s="29">
        <v>5</v>
      </c>
      <c r="D686" s="30">
        <v>36000</v>
      </c>
      <c r="E686" s="31">
        <v>15640</v>
      </c>
      <c r="F686" s="32">
        <f t="shared" si="31"/>
        <v>25820</v>
      </c>
      <c r="G686" s="2">
        <f t="shared" si="32"/>
        <v>3885085.6364321676</v>
      </c>
      <c r="H686" s="26"/>
      <c r="I686" s="27">
        <f t="shared" si="33"/>
      </c>
    </row>
    <row r="687" spans="1:9" ht="15">
      <c r="A687" s="28" t="s">
        <v>131</v>
      </c>
      <c r="B687" s="29">
        <v>2</v>
      </c>
      <c r="C687" s="29">
        <v>5</v>
      </c>
      <c r="D687" s="30">
        <v>42500</v>
      </c>
      <c r="E687" s="31">
        <v>20546</v>
      </c>
      <c r="F687" s="32">
        <f t="shared" si="31"/>
        <v>31523</v>
      </c>
      <c r="G687" s="2">
        <f t="shared" si="32"/>
        <v>4660438.157773997</v>
      </c>
      <c r="H687" s="26"/>
      <c r="I687" s="27">
        <f t="shared" si="33"/>
      </c>
    </row>
    <row r="688" spans="1:9" ht="15">
      <c r="A688" s="28" t="s">
        <v>131</v>
      </c>
      <c r="B688" s="29">
        <v>2</v>
      </c>
      <c r="C688" s="29">
        <v>5</v>
      </c>
      <c r="D688" s="30">
        <v>24000</v>
      </c>
      <c r="E688" s="31">
        <v>7612</v>
      </c>
      <c r="F688" s="32">
        <f t="shared" si="31"/>
        <v>15806</v>
      </c>
      <c r="G688" s="2">
        <f t="shared" si="32"/>
        <v>2914868.230053499</v>
      </c>
      <c r="H688" s="26"/>
      <c r="I688" s="27">
        <f t="shared" si="33"/>
      </c>
    </row>
    <row r="689" spans="1:9" ht="15">
      <c r="A689" s="28" t="s">
        <v>131</v>
      </c>
      <c r="B689" s="29">
        <v>1</v>
      </c>
      <c r="C689" s="29">
        <v>4</v>
      </c>
      <c r="D689" s="30">
        <v>4000</v>
      </c>
      <c r="E689" s="31">
        <v>2328</v>
      </c>
      <c r="F689" s="32">
        <f t="shared" si="31"/>
        <v>3164</v>
      </c>
      <c r="G689" s="2">
        <f t="shared" si="32"/>
        <v>785646.7829432127</v>
      </c>
      <c r="H689" s="26"/>
      <c r="I689" s="27">
        <f t="shared" si="33"/>
      </c>
    </row>
    <row r="690" spans="1:9" ht="15">
      <c r="A690" s="28" t="s">
        <v>131</v>
      </c>
      <c r="B690" s="29">
        <v>1</v>
      </c>
      <c r="C690" s="29">
        <v>5</v>
      </c>
      <c r="D690" s="30">
        <v>3500</v>
      </c>
      <c r="E690" s="31">
        <v>1292</v>
      </c>
      <c r="F690" s="32">
        <f t="shared" si="31"/>
        <v>2396</v>
      </c>
      <c r="G690" s="2">
        <f t="shared" si="32"/>
        <v>771841.0658873961</v>
      </c>
      <c r="H690" s="26"/>
      <c r="I690" s="27">
        <f t="shared" si="33"/>
      </c>
    </row>
    <row r="691" spans="1:9" ht="15">
      <c r="A691" s="28" t="s">
        <v>131</v>
      </c>
      <c r="B691" s="29">
        <v>1</v>
      </c>
      <c r="C691" s="29">
        <v>4</v>
      </c>
      <c r="D691" s="30">
        <v>1400</v>
      </c>
      <c r="E691" s="31">
        <v>977</v>
      </c>
      <c r="F691" s="32">
        <f t="shared" si="31"/>
        <v>1188.5</v>
      </c>
      <c r="G691" s="2">
        <f t="shared" si="32"/>
        <v>403785.78663840453</v>
      </c>
      <c r="H691" s="26"/>
      <c r="I691" s="27">
        <f t="shared" si="33"/>
      </c>
    </row>
    <row r="692" spans="1:9" ht="15">
      <c r="A692" s="28" t="s">
        <v>131</v>
      </c>
      <c r="B692" s="29">
        <v>1</v>
      </c>
      <c r="C692" s="29">
        <v>4</v>
      </c>
      <c r="D692" s="30">
        <v>2000</v>
      </c>
      <c r="E692" s="31">
        <v>702</v>
      </c>
      <c r="F692" s="32">
        <f t="shared" si="31"/>
        <v>1351</v>
      </c>
      <c r="G692" s="2">
        <f t="shared" si="32"/>
        <v>440540.75035849924</v>
      </c>
      <c r="H692" s="26"/>
      <c r="I692" s="27">
        <f t="shared" si="33"/>
      </c>
    </row>
    <row r="693" spans="1:9" ht="15">
      <c r="A693" s="28" t="s">
        <v>131</v>
      </c>
      <c r="B693" s="29">
        <v>1</v>
      </c>
      <c r="C693" s="29">
        <v>4</v>
      </c>
      <c r="D693" s="30">
        <v>900</v>
      </c>
      <c r="E693" s="31">
        <v>369</v>
      </c>
      <c r="F693" s="32">
        <f t="shared" si="31"/>
        <v>634.5</v>
      </c>
      <c r="G693" s="2">
        <f t="shared" si="32"/>
        <v>263547.9246007945</v>
      </c>
      <c r="H693" s="26"/>
      <c r="I693" s="27">
        <f t="shared" si="33"/>
      </c>
    </row>
    <row r="694" spans="1:9" ht="15">
      <c r="A694" s="28" t="s">
        <v>131</v>
      </c>
      <c r="B694" s="29">
        <v>2</v>
      </c>
      <c r="C694" s="29">
        <v>5</v>
      </c>
      <c r="D694" s="30">
        <v>26000</v>
      </c>
      <c r="E694" s="31">
        <v>11302</v>
      </c>
      <c r="F694" s="32">
        <f t="shared" si="31"/>
        <v>18651</v>
      </c>
      <c r="G694" s="2">
        <f t="shared" si="32"/>
        <v>3261993.1820718795</v>
      </c>
      <c r="H694" s="26"/>
      <c r="I694" s="27">
        <f t="shared" si="33"/>
      </c>
    </row>
    <row r="695" spans="1:9" ht="15">
      <c r="A695" s="28" t="s">
        <v>131</v>
      </c>
      <c r="B695" s="29">
        <v>1</v>
      </c>
      <c r="C695" s="29">
        <v>4</v>
      </c>
      <c r="D695" s="30">
        <v>4000</v>
      </c>
      <c r="E695" s="31">
        <v>1968</v>
      </c>
      <c r="F695" s="32">
        <f t="shared" si="31"/>
        <v>2984</v>
      </c>
      <c r="G695" s="2">
        <f t="shared" si="32"/>
        <v>754978.9064537504</v>
      </c>
      <c r="H695" s="26"/>
      <c r="I695" s="27">
        <f t="shared" si="33"/>
      </c>
    </row>
    <row r="696" spans="1:9" ht="15">
      <c r="A696" s="28" t="s">
        <v>131</v>
      </c>
      <c r="B696" s="29">
        <v>1</v>
      </c>
      <c r="C696" s="29">
        <v>4</v>
      </c>
      <c r="D696" s="30">
        <v>4000</v>
      </c>
      <c r="E696" s="31">
        <v>1356</v>
      </c>
      <c r="F696" s="32">
        <f t="shared" si="31"/>
        <v>2678</v>
      </c>
      <c r="G696" s="2">
        <f t="shared" si="32"/>
        <v>701442.7135574782</v>
      </c>
      <c r="H696" s="26"/>
      <c r="I696" s="27">
        <f t="shared" si="33"/>
      </c>
    </row>
    <row r="697" spans="1:9" ht="15">
      <c r="A697" s="28" t="s">
        <v>131</v>
      </c>
      <c r="B697" s="29">
        <v>1</v>
      </c>
      <c r="C697" s="29">
        <v>4</v>
      </c>
      <c r="D697" s="30">
        <v>2000</v>
      </c>
      <c r="E697" s="31">
        <v>2064</v>
      </c>
      <c r="F697" s="32">
        <f t="shared" si="31"/>
        <v>2032</v>
      </c>
      <c r="G697" s="2">
        <f t="shared" si="32"/>
        <v>581424.2142487741</v>
      </c>
      <c r="H697" s="26"/>
      <c r="I697" s="27">
        <f t="shared" si="33"/>
      </c>
    </row>
    <row r="698" spans="1:9" ht="15">
      <c r="A698" s="28" t="s">
        <v>131</v>
      </c>
      <c r="B698" s="29">
        <v>1</v>
      </c>
      <c r="C698" s="29">
        <v>4</v>
      </c>
      <c r="D698" s="30">
        <v>2000</v>
      </c>
      <c r="E698" s="31">
        <v>1245</v>
      </c>
      <c r="F698" s="32">
        <f t="shared" si="31"/>
        <v>1622.5</v>
      </c>
      <c r="G698" s="2">
        <f t="shared" si="32"/>
        <v>498942.0920505592</v>
      </c>
      <c r="H698" s="26"/>
      <c r="I698" s="27">
        <f t="shared" si="33"/>
      </c>
    </row>
    <row r="699" spans="1:9" ht="15">
      <c r="A699" s="28" t="s">
        <v>131</v>
      </c>
      <c r="B699" s="29">
        <v>1</v>
      </c>
      <c r="C699" s="29">
        <v>3</v>
      </c>
      <c r="D699" s="30">
        <v>250</v>
      </c>
      <c r="E699" s="31">
        <v>157</v>
      </c>
      <c r="F699" s="32">
        <f t="shared" si="31"/>
        <v>203.5</v>
      </c>
      <c r="G699" s="2">
        <f t="shared" si="32"/>
        <v>115507.33490598146</v>
      </c>
      <c r="H699" s="26"/>
      <c r="I699" s="27">
        <f t="shared" si="33"/>
      </c>
    </row>
    <row r="700" spans="1:9" ht="15">
      <c r="A700" s="28" t="s">
        <v>131</v>
      </c>
      <c r="B700" s="29">
        <v>1</v>
      </c>
      <c r="C700" s="29">
        <v>3</v>
      </c>
      <c r="D700" s="30">
        <v>200</v>
      </c>
      <c r="E700" s="31">
        <v>71</v>
      </c>
      <c r="F700" s="32">
        <f t="shared" si="31"/>
        <v>135.5</v>
      </c>
      <c r="G700" s="2">
        <f t="shared" si="32"/>
        <v>87607.2015987856</v>
      </c>
      <c r="H700" s="26"/>
      <c r="I700" s="27">
        <f t="shared" si="33"/>
      </c>
    </row>
    <row r="701" spans="1:9" ht="15.75" thickBot="1">
      <c r="A701" s="33" t="s">
        <v>131</v>
      </c>
      <c r="B701" s="34">
        <v>1</v>
      </c>
      <c r="C701" s="34">
        <v>3</v>
      </c>
      <c r="D701" s="35">
        <v>200</v>
      </c>
      <c r="E701" s="36">
        <v>71</v>
      </c>
      <c r="F701" s="37">
        <f t="shared" si="31"/>
        <v>135.5</v>
      </c>
      <c r="G701" s="38">
        <f t="shared" si="32"/>
        <v>87607.2015987856</v>
      </c>
      <c r="H701" s="39">
        <f>SUM(G683:G701)</f>
        <v>24170875.95641112</v>
      </c>
      <c r="I701" s="27">
        <f t="shared" si="33"/>
        <v>24171249.606411118</v>
      </c>
    </row>
    <row r="702" spans="1:9" ht="15">
      <c r="A702" s="20" t="s">
        <v>132</v>
      </c>
      <c r="B702" s="21">
        <v>2</v>
      </c>
      <c r="C702" s="21">
        <v>5</v>
      </c>
      <c r="D702" s="22">
        <v>60000</v>
      </c>
      <c r="E702" s="23">
        <v>60083</v>
      </c>
      <c r="F702" s="24">
        <f t="shared" si="31"/>
        <v>60041.5</v>
      </c>
      <c r="G702" s="25">
        <f t="shared" si="32"/>
        <v>7221893.819775146</v>
      </c>
      <c r="H702" s="26"/>
      <c r="I702" s="27">
        <f t="shared" si="33"/>
      </c>
    </row>
    <row r="703" spans="1:9" ht="15">
      <c r="A703" s="28" t="s">
        <v>132</v>
      </c>
      <c r="B703" s="29">
        <v>1</v>
      </c>
      <c r="C703" s="29">
        <v>5</v>
      </c>
      <c r="D703" s="30">
        <v>6510</v>
      </c>
      <c r="E703" s="31">
        <v>2116</v>
      </c>
      <c r="F703" s="32">
        <f t="shared" si="31"/>
        <v>4313</v>
      </c>
      <c r="G703" s="2">
        <f t="shared" si="32"/>
        <v>1151001.318745493</v>
      </c>
      <c r="H703" s="26"/>
      <c r="I703" s="27">
        <f t="shared" si="33"/>
      </c>
    </row>
    <row r="704" spans="1:9" ht="15.75" thickBot="1">
      <c r="A704" s="33" t="s">
        <v>132</v>
      </c>
      <c r="B704" s="34">
        <v>1</v>
      </c>
      <c r="C704" s="34">
        <v>3</v>
      </c>
      <c r="D704" s="35">
        <v>1200</v>
      </c>
      <c r="E704" s="36">
        <v>883</v>
      </c>
      <c r="F704" s="37">
        <f t="shared" si="31"/>
        <v>1041.5</v>
      </c>
      <c r="G704" s="38">
        <f t="shared" si="32"/>
        <v>350471.1308038798</v>
      </c>
      <c r="H704" s="39">
        <f>SUM(G702:G704)</f>
        <v>8723366.269324519</v>
      </c>
      <c r="I704" s="27">
        <f t="shared" si="33"/>
        <v>8723739.91932452</v>
      </c>
    </row>
    <row r="705" spans="1:9" ht="15">
      <c r="A705" s="20" t="s">
        <v>133</v>
      </c>
      <c r="B705" s="21">
        <v>1</v>
      </c>
      <c r="C705" s="21">
        <v>5</v>
      </c>
      <c r="D705" s="22">
        <v>6800</v>
      </c>
      <c r="E705" s="23">
        <v>4123</v>
      </c>
      <c r="F705" s="24">
        <f t="shared" si="31"/>
        <v>5461.5</v>
      </c>
      <c r="G705" s="25">
        <f t="shared" si="32"/>
        <v>1351379.731777026</v>
      </c>
      <c r="H705" s="26"/>
      <c r="I705" s="27">
        <f t="shared" si="33"/>
      </c>
    </row>
    <row r="706" spans="1:9" ht="15">
      <c r="A706" s="28" t="s">
        <v>133</v>
      </c>
      <c r="B706" s="29">
        <v>1</v>
      </c>
      <c r="C706" s="29">
        <v>5</v>
      </c>
      <c r="D706" s="30">
        <v>500</v>
      </c>
      <c r="E706" s="31">
        <v>119</v>
      </c>
      <c r="F706" s="32">
        <f t="shared" si="31"/>
        <v>309.5</v>
      </c>
      <c r="G706" s="2">
        <f t="shared" si="32"/>
        <v>192001.16228271727</v>
      </c>
      <c r="H706" s="26"/>
      <c r="I706" s="27">
        <f t="shared" si="33"/>
      </c>
    </row>
    <row r="707" spans="1:9" ht="15">
      <c r="A707" s="28" t="s">
        <v>133</v>
      </c>
      <c r="B707" s="29">
        <v>1</v>
      </c>
      <c r="C707" s="29">
        <v>5</v>
      </c>
      <c r="D707" s="30">
        <v>350</v>
      </c>
      <c r="E707" s="31">
        <v>100</v>
      </c>
      <c r="F707" s="32">
        <f aca="true" t="shared" si="34" ref="F707:F731">(D707+E707)/2</f>
        <v>225</v>
      </c>
      <c r="G707" s="2">
        <f aca="true" t="shared" si="35" ref="G707:G731">IF(C707=1,1581.92*(F707^0.6798),IF(C707=2,2991.14*(F707^0.6798),IF(C707=3,3113.49*(F707^0.6798),IF(C707=4,3279.19*(F707^0.6798),IF(C707=5,IF(B707=1,3891.82*(F707^0.6798),IF(B707=2,4076.24*(F707^0.6798),0)),0)))))</f>
        <v>154584.66935709538</v>
      </c>
      <c r="H707" s="26"/>
      <c r="I707" s="27">
        <f t="shared" si="33"/>
      </c>
    </row>
    <row r="708" spans="1:9" ht="15">
      <c r="A708" s="28" t="s">
        <v>133</v>
      </c>
      <c r="B708" s="29">
        <v>1</v>
      </c>
      <c r="C708" s="29">
        <v>5</v>
      </c>
      <c r="D708" s="30">
        <v>125</v>
      </c>
      <c r="E708" s="31">
        <v>53</v>
      </c>
      <c r="F708" s="32">
        <f t="shared" si="34"/>
        <v>89</v>
      </c>
      <c r="G708" s="2">
        <f t="shared" si="35"/>
        <v>82290.19132983999</v>
      </c>
      <c r="H708" s="26"/>
      <c r="I708" s="27">
        <f t="shared" si="33"/>
      </c>
    </row>
    <row r="709" spans="1:9" ht="15">
      <c r="A709" s="28" t="s">
        <v>133</v>
      </c>
      <c r="B709" s="29">
        <v>1</v>
      </c>
      <c r="C709" s="29">
        <v>5</v>
      </c>
      <c r="D709" s="30">
        <v>120</v>
      </c>
      <c r="E709" s="31">
        <v>46</v>
      </c>
      <c r="F709" s="32">
        <f t="shared" si="34"/>
        <v>83</v>
      </c>
      <c r="G709" s="2">
        <f t="shared" si="35"/>
        <v>78476.93498122798</v>
      </c>
      <c r="H709" s="26"/>
      <c r="I709" s="27">
        <f t="shared" si="33"/>
      </c>
    </row>
    <row r="710" spans="1:9" ht="15">
      <c r="A710" s="28" t="s">
        <v>133</v>
      </c>
      <c r="B710" s="29">
        <v>1</v>
      </c>
      <c r="C710" s="29">
        <v>5</v>
      </c>
      <c r="D710" s="30">
        <v>100</v>
      </c>
      <c r="E710" s="31">
        <v>21</v>
      </c>
      <c r="F710" s="32">
        <f t="shared" si="34"/>
        <v>60.5</v>
      </c>
      <c r="G710" s="2">
        <f t="shared" si="35"/>
        <v>63298.00892606898</v>
      </c>
      <c r="H710" s="26"/>
      <c r="I710" s="27">
        <f t="shared" si="33"/>
      </c>
    </row>
    <row r="711" spans="1:9" ht="15">
      <c r="A711" s="28" t="s">
        <v>133</v>
      </c>
      <c r="B711" s="29">
        <v>1</v>
      </c>
      <c r="C711" s="29">
        <v>5</v>
      </c>
      <c r="D711" s="30">
        <v>23000</v>
      </c>
      <c r="E711" s="31">
        <v>11960</v>
      </c>
      <c r="F711" s="32">
        <f t="shared" si="34"/>
        <v>17480</v>
      </c>
      <c r="G711" s="2">
        <f t="shared" si="35"/>
        <v>2980110.780495996</v>
      </c>
      <c r="H711" s="26"/>
      <c r="I711" s="27">
        <f t="shared" si="33"/>
      </c>
    </row>
    <row r="712" spans="1:9" ht="15">
      <c r="A712" s="28" t="s">
        <v>133</v>
      </c>
      <c r="B712" s="29">
        <v>2</v>
      </c>
      <c r="C712" s="29">
        <v>5</v>
      </c>
      <c r="D712" s="30">
        <v>4650</v>
      </c>
      <c r="E712" s="31">
        <v>4951</v>
      </c>
      <c r="F712" s="32">
        <f t="shared" si="34"/>
        <v>4800.5</v>
      </c>
      <c r="G712" s="2">
        <f t="shared" si="35"/>
        <v>1296576.9344746666</v>
      </c>
      <c r="H712" s="26"/>
      <c r="I712" s="27">
        <f t="shared" si="33"/>
      </c>
    </row>
    <row r="713" spans="1:9" ht="15">
      <c r="A713" s="28" t="s">
        <v>133</v>
      </c>
      <c r="B713" s="29">
        <v>1</v>
      </c>
      <c r="C713" s="29">
        <v>5</v>
      </c>
      <c r="D713" s="30">
        <v>2500</v>
      </c>
      <c r="E713" s="31">
        <v>4206</v>
      </c>
      <c r="F713" s="32">
        <f t="shared" si="34"/>
        <v>3353</v>
      </c>
      <c r="G713" s="2">
        <f t="shared" si="35"/>
        <v>969934.6518359028</v>
      </c>
      <c r="H713" s="26"/>
      <c r="I713" s="27">
        <f t="shared" si="33"/>
      </c>
    </row>
    <row r="714" spans="1:9" ht="15">
      <c r="A714" s="28" t="s">
        <v>133</v>
      </c>
      <c r="B714" s="29">
        <v>1</v>
      </c>
      <c r="C714" s="29">
        <v>5</v>
      </c>
      <c r="D714" s="30">
        <v>270</v>
      </c>
      <c r="E714" s="31">
        <v>151</v>
      </c>
      <c r="F714" s="32">
        <f t="shared" si="34"/>
        <v>210.5</v>
      </c>
      <c r="G714" s="2">
        <f t="shared" si="35"/>
        <v>147740.4859813323</v>
      </c>
      <c r="H714" s="26"/>
      <c r="I714" s="27">
        <f t="shared" si="33"/>
      </c>
    </row>
    <row r="715" spans="1:9" ht="15">
      <c r="A715" s="28" t="s">
        <v>133</v>
      </c>
      <c r="B715" s="29">
        <v>1</v>
      </c>
      <c r="C715" s="29">
        <v>5</v>
      </c>
      <c r="D715" s="30">
        <v>100</v>
      </c>
      <c r="E715" s="31">
        <v>86</v>
      </c>
      <c r="F715" s="32">
        <f t="shared" si="34"/>
        <v>93</v>
      </c>
      <c r="G715" s="2">
        <f t="shared" si="35"/>
        <v>84786.6456610631</v>
      </c>
      <c r="H715" s="26"/>
      <c r="I715" s="27">
        <f t="shared" si="33"/>
      </c>
    </row>
    <row r="716" spans="1:9" ht="15">
      <c r="A716" s="28" t="s">
        <v>133</v>
      </c>
      <c r="B716" s="29">
        <v>1</v>
      </c>
      <c r="C716" s="29">
        <v>5</v>
      </c>
      <c r="D716" s="30">
        <v>300</v>
      </c>
      <c r="E716" s="31">
        <v>153</v>
      </c>
      <c r="F716" s="32">
        <f t="shared" si="34"/>
        <v>226.5</v>
      </c>
      <c r="G716" s="2">
        <f t="shared" si="35"/>
        <v>155284.50151395344</v>
      </c>
      <c r="H716" s="26"/>
      <c r="I716" s="27">
        <f t="shared" si="33"/>
      </c>
    </row>
    <row r="717" spans="1:9" ht="15.75" thickBot="1">
      <c r="A717" s="33" t="s">
        <v>133</v>
      </c>
      <c r="B717" s="34">
        <v>1</v>
      </c>
      <c r="C717" s="34">
        <v>1</v>
      </c>
      <c r="D717" s="35">
        <v>25</v>
      </c>
      <c r="E717" s="36">
        <v>25</v>
      </c>
      <c r="F717" s="37">
        <f t="shared" si="34"/>
        <v>25</v>
      </c>
      <c r="G717" s="38">
        <f t="shared" si="35"/>
        <v>14109.256691337609</v>
      </c>
      <c r="H717" s="39">
        <f>SUM(G705:G717)</f>
        <v>7570573.955308228</v>
      </c>
      <c r="I717" s="27">
        <f t="shared" si="33"/>
        <v>7570947.605308228</v>
      </c>
    </row>
    <row r="718" spans="1:9" ht="15.75" thickBot="1">
      <c r="A718" s="20" t="s">
        <v>134</v>
      </c>
      <c r="B718" s="21">
        <v>2</v>
      </c>
      <c r="C718" s="21">
        <v>4</v>
      </c>
      <c r="D718" s="22">
        <v>70000</v>
      </c>
      <c r="E718" s="23">
        <v>63000</v>
      </c>
      <c r="F718" s="24">
        <f t="shared" si="34"/>
        <v>66500</v>
      </c>
      <c r="G718" s="25">
        <f t="shared" si="35"/>
        <v>6227600.3645394305</v>
      </c>
      <c r="H718" s="39">
        <f>G718</f>
        <v>6227600.3645394305</v>
      </c>
      <c r="I718" s="27">
        <f t="shared" si="33"/>
        <v>6227974.014539431</v>
      </c>
    </row>
    <row r="719" spans="1:9" ht="15">
      <c r="A719" s="20" t="s">
        <v>24</v>
      </c>
      <c r="B719" s="21">
        <v>2</v>
      </c>
      <c r="C719" s="21">
        <v>2</v>
      </c>
      <c r="D719" s="22">
        <v>3200</v>
      </c>
      <c r="E719" s="23">
        <v>1650</v>
      </c>
      <c r="F719" s="24">
        <f t="shared" si="34"/>
        <v>2425</v>
      </c>
      <c r="G719" s="25">
        <f t="shared" si="35"/>
        <v>598086.2023042509</v>
      </c>
      <c r="H719" s="26"/>
      <c r="I719" s="27">
        <f t="shared" si="33"/>
      </c>
    </row>
    <row r="720" spans="1:9" ht="15.75" thickBot="1">
      <c r="A720" s="33" t="s">
        <v>24</v>
      </c>
      <c r="B720" s="34">
        <v>2</v>
      </c>
      <c r="C720" s="34">
        <v>1</v>
      </c>
      <c r="D720" s="35">
        <v>400</v>
      </c>
      <c r="E720" s="36">
        <v>456</v>
      </c>
      <c r="F720" s="37">
        <f>(D720+E720)/2</f>
        <v>428</v>
      </c>
      <c r="G720" s="38">
        <f t="shared" si="35"/>
        <v>97283.68010443031</v>
      </c>
      <c r="H720" s="39">
        <f>SUM(G719:G720)</f>
        <v>695369.8824086812</v>
      </c>
      <c r="I720" s="27">
        <f aca="true" t="shared" si="36" ref="I720:I731">IF(H720=0,"",H720+373.65)</f>
        <v>695743.5324086812</v>
      </c>
    </row>
    <row r="721" spans="1:9" ht="15.75" thickBot="1">
      <c r="A721" s="40" t="s">
        <v>135</v>
      </c>
      <c r="B721" s="41">
        <v>2</v>
      </c>
      <c r="C721" s="41">
        <v>5</v>
      </c>
      <c r="D721" s="42">
        <v>148000</v>
      </c>
      <c r="E721" s="43">
        <v>80422</v>
      </c>
      <c r="F721" s="14">
        <f t="shared" si="34"/>
        <v>114211</v>
      </c>
      <c r="G721" s="15">
        <f t="shared" si="35"/>
        <v>11181230.486904</v>
      </c>
      <c r="H721" s="39">
        <f>G721</f>
        <v>11181230.486904</v>
      </c>
      <c r="I721" s="27">
        <f t="shared" si="36"/>
        <v>11181604.136904001</v>
      </c>
    </row>
    <row r="722" spans="1:9" ht="15.75" thickBot="1">
      <c r="A722" s="33" t="s">
        <v>136</v>
      </c>
      <c r="B722" s="34">
        <v>2</v>
      </c>
      <c r="C722" s="34">
        <v>5</v>
      </c>
      <c r="D722" s="35">
        <v>135000</v>
      </c>
      <c r="E722" s="36">
        <v>104000</v>
      </c>
      <c r="F722" s="14">
        <f t="shared" si="34"/>
        <v>119500</v>
      </c>
      <c r="G722" s="15">
        <f t="shared" si="35"/>
        <v>11530667.485606924</v>
      </c>
      <c r="H722" s="39">
        <f>G722</f>
        <v>11530667.485606924</v>
      </c>
      <c r="I722" s="27">
        <f t="shared" si="36"/>
        <v>11531041.135606924</v>
      </c>
    </row>
    <row r="723" spans="1:9" ht="15">
      <c r="A723" s="44" t="s">
        <v>154</v>
      </c>
      <c r="B723" s="45">
        <v>2</v>
      </c>
      <c r="C723" s="45">
        <v>4</v>
      </c>
      <c r="D723" s="45">
        <v>4950</v>
      </c>
      <c r="E723" s="45">
        <v>3349</v>
      </c>
      <c r="F723" s="24">
        <f t="shared" si="34"/>
        <v>4149.5</v>
      </c>
      <c r="G723" s="25">
        <f>IF(C723=1,1581.92*(F723^0.6798),IF(C723=2,2991.14*(F723^0.6798),IF(C723=3,3113.49*(F723^0.6798),IF(C723=4,3279.19*(F723^0.6798),IF(C723=5,IF(B723=1,3891.82*(F723^0.6798),IF(B723=2,4076.24*(F723^0.6798),0)),0)))))</f>
        <v>944669.9586637348</v>
      </c>
      <c r="H723" s="26"/>
      <c r="I723" s="27">
        <f t="shared" si="36"/>
      </c>
    </row>
    <row r="724" spans="1:9" ht="15">
      <c r="A724" s="46" t="s">
        <v>154</v>
      </c>
      <c r="B724" s="8">
        <v>1</v>
      </c>
      <c r="C724" s="8">
        <v>4</v>
      </c>
      <c r="D724" s="8">
        <v>4000</v>
      </c>
      <c r="E724" s="8">
        <v>2912</v>
      </c>
      <c r="F724" s="32">
        <f t="shared" si="34"/>
        <v>3456</v>
      </c>
      <c r="G724" s="2">
        <f t="shared" si="35"/>
        <v>834236.1498713446</v>
      </c>
      <c r="H724" s="26"/>
      <c r="I724" s="27">
        <f t="shared" si="36"/>
      </c>
    </row>
    <row r="725" spans="1:9" ht="15">
      <c r="A725" s="46" t="s">
        <v>154</v>
      </c>
      <c r="B725" s="8">
        <v>1</v>
      </c>
      <c r="C725" s="8">
        <v>3</v>
      </c>
      <c r="D725" s="8">
        <v>400</v>
      </c>
      <c r="E725" s="8">
        <v>743</v>
      </c>
      <c r="F725" s="32">
        <f t="shared" si="34"/>
        <v>571.5</v>
      </c>
      <c r="G725" s="2">
        <f t="shared" si="35"/>
        <v>233059.66161196213</v>
      </c>
      <c r="H725" s="26"/>
      <c r="I725" s="27">
        <f t="shared" si="36"/>
      </c>
    </row>
    <row r="726" spans="1:9" ht="15">
      <c r="A726" s="46" t="s">
        <v>154</v>
      </c>
      <c r="B726" s="8">
        <v>1</v>
      </c>
      <c r="C726" s="8">
        <v>3</v>
      </c>
      <c r="D726" s="8">
        <v>360</v>
      </c>
      <c r="E726" s="8">
        <v>218</v>
      </c>
      <c r="F726" s="32">
        <f t="shared" si="34"/>
        <v>289</v>
      </c>
      <c r="G726" s="2">
        <f t="shared" si="35"/>
        <v>146610.75447670193</v>
      </c>
      <c r="H726" s="26"/>
      <c r="I726" s="27">
        <f t="shared" si="36"/>
      </c>
    </row>
    <row r="727" spans="1:9" ht="15">
      <c r="A727" s="46" t="s">
        <v>154</v>
      </c>
      <c r="B727" s="8">
        <v>1</v>
      </c>
      <c r="C727" s="8">
        <v>5</v>
      </c>
      <c r="D727" s="8">
        <v>2450</v>
      </c>
      <c r="E727" s="8">
        <v>1167</v>
      </c>
      <c r="F727" s="32">
        <f t="shared" si="34"/>
        <v>1808.5</v>
      </c>
      <c r="G727" s="2">
        <f t="shared" si="35"/>
        <v>637496.5969338325</v>
      </c>
      <c r="H727" s="26"/>
      <c r="I727" s="27">
        <f t="shared" si="36"/>
      </c>
    </row>
    <row r="728" spans="1:9" ht="15">
      <c r="A728" s="46" t="s">
        <v>154</v>
      </c>
      <c r="B728" s="8">
        <v>1</v>
      </c>
      <c r="C728" s="8">
        <v>5</v>
      </c>
      <c r="D728" s="8">
        <v>4200</v>
      </c>
      <c r="E728" s="8">
        <v>2063</v>
      </c>
      <c r="F728" s="32">
        <f t="shared" si="34"/>
        <v>3131.5</v>
      </c>
      <c r="G728" s="2">
        <f t="shared" si="35"/>
        <v>925902.4600649988</v>
      </c>
      <c r="H728" s="26"/>
      <c r="I728" s="27">
        <f t="shared" si="36"/>
      </c>
    </row>
    <row r="729" spans="1:9" ht="15">
      <c r="A729" s="46" t="s">
        <v>154</v>
      </c>
      <c r="B729" s="8">
        <v>1</v>
      </c>
      <c r="C729" s="8">
        <v>5</v>
      </c>
      <c r="D729" s="8">
        <v>5500</v>
      </c>
      <c r="E729" s="8">
        <v>3349</v>
      </c>
      <c r="F729" s="32">
        <f t="shared" si="34"/>
        <v>4424.5</v>
      </c>
      <c r="G729" s="2">
        <f t="shared" si="35"/>
        <v>1171146.5094508503</v>
      </c>
      <c r="H729" s="26"/>
      <c r="I729" s="27">
        <f t="shared" si="36"/>
      </c>
    </row>
    <row r="730" spans="1:9" ht="15">
      <c r="A730" s="46" t="s">
        <v>154</v>
      </c>
      <c r="B730" s="8">
        <v>1</v>
      </c>
      <c r="C730" s="8">
        <v>5</v>
      </c>
      <c r="D730" s="8">
        <v>11517</v>
      </c>
      <c r="E730" s="8">
        <v>7481</v>
      </c>
      <c r="F730" s="32">
        <f t="shared" si="34"/>
        <v>9499</v>
      </c>
      <c r="G730" s="2">
        <f t="shared" si="35"/>
        <v>1968693.8001727222</v>
      </c>
      <c r="H730" s="26"/>
      <c r="I730" s="27">
        <f t="shared" si="36"/>
      </c>
    </row>
    <row r="731" spans="1:9" ht="15.75" thickBot="1">
      <c r="A731" s="46" t="s">
        <v>154</v>
      </c>
      <c r="B731" s="8">
        <v>1</v>
      </c>
      <c r="C731" s="8">
        <v>5</v>
      </c>
      <c r="D731" s="8">
        <v>6700</v>
      </c>
      <c r="E731" s="8">
        <v>9256</v>
      </c>
      <c r="F731" s="32">
        <f t="shared" si="34"/>
        <v>7978</v>
      </c>
      <c r="G731" s="2">
        <f t="shared" si="35"/>
        <v>1748478.5486688777</v>
      </c>
      <c r="H731" s="47">
        <f>SUM(G723:G731)</f>
        <v>8610294.439915024</v>
      </c>
      <c r="I731" s="48">
        <f t="shared" si="36"/>
        <v>8610668.089915024</v>
      </c>
    </row>
    <row r="732" spans="1:9" ht="15.75" thickBot="1">
      <c r="A732" s="12" t="s">
        <v>186</v>
      </c>
      <c r="B732" s="13">
        <v>2</v>
      </c>
      <c r="C732" s="13">
        <v>5</v>
      </c>
      <c r="D732" s="13">
        <v>30000</v>
      </c>
      <c r="E732" s="13">
        <v>15400</v>
      </c>
      <c r="F732" s="14">
        <f>(D732+E732)/2</f>
        <v>22700</v>
      </c>
      <c r="G732" s="15">
        <f>IF(C732=1,1581.92*(F732^0.6798),IF(C732=2,2991.14*(F732^0.6798),IF(C732=3,3113.49*(F732^0.6798),IF(C732=4,3279.19*(F732^0.6798),IF(C732=5,IF(B732=1,3891.82*(F732^0.6798),IF(B732=2,4076.24*(F732^0.6798),0)),0)))))</f>
        <v>3728087.7335335827</v>
      </c>
      <c r="H732" s="49">
        <f>G732</f>
        <v>3728087.7335335827</v>
      </c>
      <c r="I732" s="50">
        <f>IF(H732=0,"",H732+373.65)</f>
        <v>3728461.3835335826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Rikke Leerberg Jørgensen (KFST)</dc:creator>
  <cp:keywords/>
  <dc:description/>
  <cp:lastModifiedBy>maj-ks</cp:lastModifiedBy>
  <dcterms:created xsi:type="dcterms:W3CDTF">2012-06-06T07:56:13Z</dcterms:created>
  <dcterms:modified xsi:type="dcterms:W3CDTF">2013-02-15T12:33:16Z</dcterms:modified>
  <cp:category/>
  <cp:version/>
  <cp:contentType/>
  <cp:contentStatus/>
</cp:coreProperties>
</file>