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 activeTab="1"/>
  </bookViews>
  <sheets>
    <sheet name="Potentialer og krav" sheetId="1" r:id="rId1"/>
    <sheet name="Netvolumenmål" sheetId="2" r:id="rId2"/>
    <sheet name="Costdrivere" sheetId="3" r:id="rId3"/>
  </sheets>
  <calcPr calcId="145621"/>
  <customWorkbookViews>
    <customWorkbookView name="Eske Benn Thomsen - Privat visning" guid="{FBBE7246-40DD-42AB-86B1-0191774D1FB8}" mergeInterval="0" personalView="1" maximized="1" windowWidth="1680" windowHeight="835" activeSheetId="5"/>
    <customWorkbookView name="Lasse Trøjborg Krogh - Privat visning" guid="{63D1720F-4071-49FA-85F9-136B4284D4AA}" mergeInterval="0" personalView="1" maximized="1" windowWidth="1680" windowHeight="835" activeSheetId="1"/>
    <customWorkbookView name="Peter Larsen (KFST) - Privat visning" guid="{91CAE626-C22B-43EE-8559-3D995B6A9B34}" mergeInterval="0" personalView="1" maximized="1" windowWidth="1680" windowHeight="860" activeSheetId="1"/>
    <customWorkbookView name="Kirstine Sewohl (KFST) - Privat visning" guid="{937D496E-72A5-40F1-952C-5E35A20ED697}" mergeInterval="0" personalView="1" maximized="1" windowWidth="1920" windowHeight="981" activeSheetId="3"/>
    <customWorkbookView name="Astrid Else Grønbæk (KFST) - Privat visning" guid="{68BED3F3-B66D-4BDF-B289-CEB7B90BD70C}" mergeInterval="0" personalView="1" maximized="1" windowWidth="1600" windowHeight="981" activeSheetId="1"/>
    <customWorkbookView name="Rikke Leerberg Jørgensen (KFST) - Privat visning" guid="{66AAE60A-A1F0-42D3-9B00-B3E131221C26}" mergeInterval="0" personalView="1" maximized="1" windowWidth="1680" windowHeight="860" activeSheetId="1"/>
    <customWorkbookView name="Eske Benn Thomsen (KFST) - Privat visning" guid="{4DF14E47-3879-4E88-BE38-529244598D27}" mergeInterval="0" personalView="1" maximized="1" windowWidth="1680" windowHeight="827" activeSheetId="1"/>
    <customWorkbookView name="Lasse Trøjborg Krogh (KFST) - Privat visning" guid="{BB5CC8CF-3004-46A6-928F-22EA17328835}" mergeInterval="0" personalView="1" maximized="1" windowWidth="1280" windowHeight="834" activeSheetId="2"/>
    <customWorkbookView name="Rikke Leerberg Jørgensen - Privat visning" guid="{FEEC711D-7441-45C2-BE37-0D81F72CC105}" mergeInterval="0" personalView="1" maximized="1" windowWidth="1680" windowHeight="835" activeSheetId="5"/>
  </customWorkbookViews>
</workbook>
</file>

<file path=xl/calcChain.xml><?xml version="1.0" encoding="utf-8"?>
<calcChain xmlns="http://schemas.openxmlformats.org/spreadsheetml/2006/main">
  <c r="G60" i="1" l="1"/>
  <c r="D60" i="1"/>
  <c r="I124" i="1" l="1"/>
  <c r="I110" i="1"/>
  <c r="I108" i="1"/>
  <c r="I95" i="1"/>
  <c r="I80" i="1"/>
  <c r="I64" i="1"/>
  <c r="I38" i="1"/>
  <c r="I12" i="1"/>
  <c r="I11" i="1"/>
  <c r="I72" i="1"/>
  <c r="M5" i="1" l="1"/>
  <c r="N5" i="1" s="1"/>
  <c r="M6" i="1"/>
  <c r="N6" i="1" s="1"/>
  <c r="M8" i="1"/>
  <c r="N8" i="1" s="1"/>
  <c r="M9" i="1"/>
  <c r="N9" i="1" s="1"/>
  <c r="M11" i="1"/>
  <c r="N11" i="1" s="1"/>
  <c r="M12" i="1"/>
  <c r="N12" i="1" s="1"/>
  <c r="M16" i="1"/>
  <c r="N16" i="1" s="1"/>
  <c r="M17" i="1"/>
  <c r="N17" i="1" s="1"/>
  <c r="M19" i="1"/>
  <c r="N19" i="1" s="1"/>
  <c r="M21" i="1"/>
  <c r="N21" i="1" s="1"/>
  <c r="M23" i="1"/>
  <c r="N23" i="1" s="1"/>
  <c r="M26" i="1"/>
  <c r="N26" i="1" s="1"/>
  <c r="M36" i="1"/>
  <c r="N36" i="1" s="1"/>
  <c r="M38" i="1"/>
  <c r="N38" i="1" s="1"/>
  <c r="M44" i="1"/>
  <c r="N44" i="1" s="1"/>
  <c r="M45" i="1"/>
  <c r="N45" i="1" s="1"/>
  <c r="M48" i="1"/>
  <c r="N48" i="1" s="1"/>
  <c r="M58" i="1"/>
  <c r="N58" i="1" s="1"/>
  <c r="M60" i="1"/>
  <c r="N60" i="1" s="1"/>
  <c r="M63" i="1"/>
  <c r="N63" i="1" s="1"/>
  <c r="M64" i="1"/>
  <c r="N64" i="1" s="1"/>
  <c r="M66" i="1"/>
  <c r="N66" i="1" s="1"/>
  <c r="M70" i="1"/>
  <c r="N70" i="1" s="1"/>
  <c r="M71" i="1"/>
  <c r="N71" i="1" s="1"/>
  <c r="M73" i="1"/>
  <c r="N73" i="1" s="1"/>
  <c r="M74" i="1"/>
  <c r="N74" i="1" s="1"/>
  <c r="M77" i="1"/>
  <c r="N77" i="1" s="1"/>
  <c r="M78" i="1"/>
  <c r="N78" i="1" s="1"/>
  <c r="M79" i="1"/>
  <c r="N79" i="1" s="1"/>
  <c r="M80" i="1"/>
  <c r="N80" i="1" s="1"/>
  <c r="M81" i="1"/>
  <c r="N81" i="1" s="1"/>
  <c r="M87" i="1"/>
  <c r="N87" i="1" s="1"/>
  <c r="M89" i="1"/>
  <c r="N89" i="1" s="1"/>
  <c r="M90" i="1"/>
  <c r="N90" i="1" s="1"/>
  <c r="M92" i="1"/>
  <c r="N92" i="1" s="1"/>
  <c r="M95" i="1"/>
  <c r="N95" i="1" s="1"/>
  <c r="M96" i="1"/>
  <c r="N96" i="1" s="1"/>
  <c r="M98" i="1"/>
  <c r="N98" i="1" s="1"/>
  <c r="M101" i="1"/>
  <c r="N101" i="1" s="1"/>
  <c r="M104" i="1"/>
  <c r="N104" i="1" s="1"/>
  <c r="M106" i="1"/>
  <c r="N106" i="1" s="1"/>
  <c r="M107" i="1"/>
  <c r="N107" i="1" s="1"/>
  <c r="M108" i="1"/>
  <c r="N108" i="1" s="1"/>
  <c r="M110" i="1"/>
  <c r="N110" i="1" s="1"/>
  <c r="M120" i="1"/>
  <c r="N120" i="1" s="1"/>
  <c r="M121" i="1"/>
  <c r="N121" i="1" s="1"/>
  <c r="M124" i="1"/>
  <c r="N124" i="1" s="1"/>
  <c r="M126" i="1"/>
  <c r="N126" i="1" s="1"/>
  <c r="G22" i="1" l="1"/>
  <c r="G69" i="1" l="1"/>
  <c r="F69" i="1"/>
  <c r="G28" i="1" l="1"/>
  <c r="D48" i="1"/>
  <c r="G51" i="1" l="1"/>
  <c r="F51" i="1"/>
  <c r="G20" i="1" l="1"/>
  <c r="D44" i="1" l="1"/>
  <c r="O107" i="1" l="1"/>
  <c r="P107" i="1" l="1"/>
  <c r="G37" i="1"/>
  <c r="J59" i="1" l="1"/>
  <c r="F60" i="3" l="1"/>
  <c r="D52" i="3" l="1"/>
  <c r="G52" i="1" l="1"/>
  <c r="G50" i="1"/>
  <c r="K48" i="1" l="1"/>
  <c r="L48" i="1"/>
  <c r="O92" i="1"/>
  <c r="P92" i="1" s="1"/>
  <c r="T49" i="2"/>
  <c r="B49" i="3"/>
  <c r="C49" i="3"/>
  <c r="D49" i="3"/>
  <c r="E49" i="3"/>
  <c r="F49" i="3"/>
  <c r="G49" i="3"/>
  <c r="H49" i="3"/>
  <c r="D49" i="2" l="1"/>
  <c r="F49" i="2"/>
  <c r="B49" i="2"/>
  <c r="G49" i="2"/>
  <c r="E49" i="2"/>
  <c r="C49" i="2"/>
  <c r="I49" i="2"/>
  <c r="X49" i="2" l="1"/>
  <c r="AE49" i="2" s="1"/>
  <c r="W49" i="2"/>
  <c r="AD49" i="2" s="1"/>
  <c r="AA49" i="2"/>
  <c r="AH49" i="2" s="1"/>
  <c r="Y49" i="2"/>
  <c r="AF49" i="2" s="1"/>
  <c r="V49" i="2"/>
  <c r="AC49" i="2" s="1"/>
  <c r="Z49" i="2"/>
  <c r="AG49" i="2" s="1"/>
  <c r="J49" i="2"/>
  <c r="L49" i="2" l="1"/>
  <c r="M49" i="2"/>
  <c r="O49" i="2" l="1"/>
  <c r="R49" i="2" s="1"/>
  <c r="P49" i="2"/>
  <c r="G94" i="1"/>
  <c r="I122" i="1" l="1"/>
  <c r="G122" i="1"/>
  <c r="G121" i="1" l="1"/>
  <c r="G85" i="1" l="1"/>
  <c r="O77" i="1"/>
  <c r="P77" i="1" l="1"/>
  <c r="G39" i="1"/>
  <c r="G90" i="1" l="1"/>
  <c r="O89" i="1" l="1"/>
  <c r="P89" i="1" l="1"/>
  <c r="L11" i="1"/>
  <c r="L12" i="1"/>
  <c r="L38" i="1"/>
  <c r="L64" i="1"/>
  <c r="L80" i="1"/>
  <c r="L95" i="1"/>
  <c r="L108" i="1"/>
  <c r="L124" i="1"/>
  <c r="O87" i="1"/>
  <c r="P87" i="1" l="1"/>
  <c r="G35" i="1" l="1"/>
  <c r="G23" i="1" l="1"/>
  <c r="H23" i="1" s="1"/>
  <c r="G24" i="1"/>
  <c r="H24" i="1" s="1"/>
  <c r="G25" i="1"/>
  <c r="H25" i="1" s="1"/>
  <c r="G26" i="1"/>
  <c r="H26" i="1" s="1"/>
  <c r="G27" i="1"/>
  <c r="H27" i="1" s="1"/>
  <c r="H28" i="1"/>
  <c r="G29" i="1"/>
  <c r="H29" i="1" s="1"/>
  <c r="G30" i="1"/>
  <c r="H30" i="1" s="1"/>
  <c r="G31" i="1"/>
  <c r="H31" i="1" s="1"/>
  <c r="O66" i="1" l="1"/>
  <c r="P66" i="1" l="1"/>
  <c r="J3" i="1" l="1"/>
  <c r="H3" i="1"/>
  <c r="O3" i="1" s="1"/>
  <c r="P3" i="1" l="1"/>
  <c r="B67" i="3"/>
  <c r="C67" i="3"/>
  <c r="D67" i="3"/>
  <c r="E67" i="3"/>
  <c r="F67" i="3"/>
  <c r="G67" i="3"/>
  <c r="H67" i="3"/>
  <c r="T67" i="2"/>
  <c r="G67" i="2" l="1"/>
  <c r="E67" i="2"/>
  <c r="C67" i="2"/>
  <c r="I67" i="2"/>
  <c r="F67" i="2"/>
  <c r="D67" i="2"/>
  <c r="B67" i="2"/>
  <c r="O23" i="1"/>
  <c r="P23" i="1" s="1"/>
  <c r="O45" i="1"/>
  <c r="P45" i="1" s="1"/>
  <c r="O8" i="1"/>
  <c r="P8" i="1" s="1"/>
  <c r="AA67" i="2" l="1"/>
  <c r="X67" i="2"/>
  <c r="AE67" i="2" s="1"/>
  <c r="Z67" i="2"/>
  <c r="AG67" i="2" s="1"/>
  <c r="V67" i="2"/>
  <c r="AC67" i="2" s="1"/>
  <c r="W67" i="2"/>
  <c r="AD67" i="2" s="1"/>
  <c r="Y67" i="2"/>
  <c r="AF67" i="2" s="1"/>
  <c r="J67" i="2"/>
  <c r="K67" i="2" s="1"/>
  <c r="AJ67" i="2" l="1"/>
  <c r="AK67" i="2" s="1"/>
  <c r="L66" i="1" s="1"/>
  <c r="AH67" i="2"/>
  <c r="L67" i="2"/>
  <c r="M67" i="2"/>
  <c r="O67" i="2" l="1"/>
  <c r="R67" i="2" s="1"/>
  <c r="P67" i="2"/>
  <c r="N67" i="2"/>
  <c r="Q67" i="2" s="1"/>
  <c r="G2" i="1" l="1"/>
  <c r="G4" i="1"/>
  <c r="G5" i="1"/>
  <c r="H5" i="1" s="1"/>
  <c r="G6" i="1"/>
  <c r="H6" i="1" s="1"/>
  <c r="G7" i="1"/>
  <c r="H7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H19" i="1"/>
  <c r="O19" i="1" s="1"/>
  <c r="H20" i="1"/>
  <c r="G21" i="1"/>
  <c r="H21" i="1" s="1"/>
  <c r="H22" i="1"/>
  <c r="G32" i="1"/>
  <c r="G33" i="1"/>
  <c r="H33" i="1" s="1"/>
  <c r="G34" i="1"/>
  <c r="H34" i="1" s="1"/>
  <c r="H35" i="1"/>
  <c r="G36" i="1"/>
  <c r="H36" i="1" s="1"/>
  <c r="H37" i="1"/>
  <c r="G38" i="1"/>
  <c r="H38" i="1" s="1"/>
  <c r="H39" i="1"/>
  <c r="G40" i="1"/>
  <c r="H40" i="1" s="1"/>
  <c r="G41" i="1"/>
  <c r="H41" i="1" s="1"/>
  <c r="G42" i="1"/>
  <c r="H42" i="1" s="1"/>
  <c r="G43" i="1"/>
  <c r="H43" i="1" s="1"/>
  <c r="G44" i="1"/>
  <c r="G45" i="1"/>
  <c r="H45" i="1" s="1"/>
  <c r="G46" i="1"/>
  <c r="H46" i="1" s="1"/>
  <c r="G47" i="1"/>
  <c r="H47" i="1" s="1"/>
  <c r="G48" i="1"/>
  <c r="H48" i="1" s="1"/>
  <c r="G49" i="1"/>
  <c r="H49" i="1" s="1"/>
  <c r="H50" i="1"/>
  <c r="H51" i="1"/>
  <c r="H52" i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1" i="1"/>
  <c r="H61" i="1" s="1"/>
  <c r="G62" i="1"/>
  <c r="H62" i="1" s="1"/>
  <c r="G63" i="1"/>
  <c r="H63" i="1" s="1"/>
  <c r="G64" i="1"/>
  <c r="H64" i="1" s="1"/>
  <c r="H65" i="1"/>
  <c r="H66" i="1"/>
  <c r="G67" i="1"/>
  <c r="H67" i="1" s="1"/>
  <c r="G68" i="1"/>
  <c r="H68" i="1" s="1"/>
  <c r="H69" i="1"/>
  <c r="G70" i="1"/>
  <c r="H70" i="1" s="1"/>
  <c r="G71" i="1"/>
  <c r="H71" i="1" s="1"/>
  <c r="H72" i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H85" i="1"/>
  <c r="G86" i="1"/>
  <c r="H86" i="1" s="1"/>
  <c r="G87" i="1"/>
  <c r="H87" i="1" s="1"/>
  <c r="G88" i="1"/>
  <c r="H88" i="1" s="1"/>
  <c r="G89" i="1"/>
  <c r="H89" i="1" s="1"/>
  <c r="H90" i="1"/>
  <c r="G91" i="1"/>
  <c r="H91" i="1" s="1"/>
  <c r="G92" i="1"/>
  <c r="H92" i="1" s="1"/>
  <c r="G93" i="1"/>
  <c r="H93" i="1" s="1"/>
  <c r="H94" i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H113" i="1"/>
  <c r="G114" i="1"/>
  <c r="H114" i="1" s="1"/>
  <c r="G115" i="1"/>
  <c r="H115" i="1" s="1"/>
  <c r="G116" i="1"/>
  <c r="H116" i="1" s="1"/>
  <c r="H117" i="1"/>
  <c r="G118" i="1"/>
  <c r="H118" i="1" s="1"/>
  <c r="G119" i="1"/>
  <c r="H119" i="1" s="1"/>
  <c r="G120" i="1"/>
  <c r="H120" i="1" s="1"/>
  <c r="H121" i="1"/>
  <c r="O121" i="1" s="1"/>
  <c r="H122" i="1"/>
  <c r="G123" i="1"/>
  <c r="H123" i="1" s="1"/>
  <c r="G124" i="1"/>
  <c r="H124" i="1" s="1"/>
  <c r="G125" i="1"/>
  <c r="H125" i="1" s="1"/>
  <c r="G126" i="1"/>
  <c r="H126" i="1" s="1"/>
  <c r="J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H60" i="1" l="1"/>
  <c r="O60" i="1" s="1"/>
  <c r="P60" i="1" s="1"/>
  <c r="H2" i="1"/>
  <c r="O2" i="1" s="1"/>
  <c r="P2" i="1" s="1"/>
  <c r="P121" i="1"/>
  <c r="H44" i="1"/>
  <c r="O44" i="1" s="1"/>
  <c r="P44" i="1" s="1"/>
  <c r="H105" i="1"/>
  <c r="O105" i="1" s="1"/>
  <c r="P105" i="1" s="1"/>
  <c r="H32" i="1"/>
  <c r="O32" i="1" s="1"/>
  <c r="P32" i="1" s="1"/>
  <c r="H8" i="1"/>
  <c r="H4" i="1"/>
  <c r="O4" i="1" s="1"/>
  <c r="P4" i="1" s="1"/>
  <c r="O126" i="1"/>
  <c r="P126" i="1" s="1"/>
  <c r="O125" i="1"/>
  <c r="P125" i="1" s="1"/>
  <c r="P124" i="1"/>
  <c r="O120" i="1"/>
  <c r="P120" i="1" s="1"/>
  <c r="O119" i="1"/>
  <c r="P119" i="1" s="1"/>
  <c r="O117" i="1"/>
  <c r="P117" i="1" s="1"/>
  <c r="O115" i="1"/>
  <c r="P115" i="1" s="1"/>
  <c r="O113" i="1"/>
  <c r="P113" i="1" s="1"/>
  <c r="P110" i="1"/>
  <c r="P104" i="1"/>
  <c r="O102" i="1"/>
  <c r="P102" i="1" s="1"/>
  <c r="O100" i="1"/>
  <c r="P100" i="1" s="1"/>
  <c r="O97" i="1"/>
  <c r="P97" i="1" s="1"/>
  <c r="P95" i="1"/>
  <c r="O94" i="1"/>
  <c r="P94" i="1" s="1"/>
  <c r="O91" i="1"/>
  <c r="P91" i="1" s="1"/>
  <c r="O86" i="1"/>
  <c r="P86" i="1" s="1"/>
  <c r="O85" i="1"/>
  <c r="P85" i="1" s="1"/>
  <c r="O84" i="1"/>
  <c r="P84" i="1" s="1"/>
  <c r="O82" i="1"/>
  <c r="P82" i="1" s="1"/>
  <c r="O81" i="1"/>
  <c r="P81" i="1" s="1"/>
  <c r="O79" i="1"/>
  <c r="P79" i="1" s="1"/>
  <c r="O78" i="1"/>
  <c r="P78" i="1" s="1"/>
  <c r="O76" i="1"/>
  <c r="P76" i="1" s="1"/>
  <c r="O73" i="1"/>
  <c r="P73" i="1" s="1"/>
  <c r="O72" i="1"/>
  <c r="P72" i="1" s="1"/>
  <c r="O70" i="1"/>
  <c r="P70" i="1" s="1"/>
  <c r="O68" i="1"/>
  <c r="P68" i="1" s="1"/>
  <c r="O65" i="1"/>
  <c r="P65" i="1" s="1"/>
  <c r="P64" i="1"/>
  <c r="O62" i="1"/>
  <c r="P62" i="1" s="1"/>
  <c r="O61" i="1"/>
  <c r="P61" i="1" s="1"/>
  <c r="O58" i="1"/>
  <c r="P58" i="1" s="1"/>
  <c r="O56" i="1"/>
  <c r="P56" i="1" s="1"/>
  <c r="O55" i="1"/>
  <c r="P55" i="1" s="1"/>
  <c r="O53" i="1"/>
  <c r="P53" i="1" s="1"/>
  <c r="O50" i="1"/>
  <c r="P50" i="1" s="1"/>
  <c r="O48" i="1"/>
  <c r="P48" i="1" s="1"/>
  <c r="O47" i="1"/>
  <c r="P47" i="1" s="1"/>
  <c r="O41" i="1"/>
  <c r="P41" i="1" s="1"/>
  <c r="O40" i="1"/>
  <c r="P40" i="1" s="1"/>
  <c r="P38" i="1"/>
  <c r="O36" i="1"/>
  <c r="P36" i="1" s="1"/>
  <c r="O34" i="1"/>
  <c r="P34" i="1" s="1"/>
  <c r="O31" i="1"/>
  <c r="P31" i="1" s="1"/>
  <c r="O30" i="1"/>
  <c r="P30" i="1" s="1"/>
  <c r="O29" i="1"/>
  <c r="P29" i="1" s="1"/>
  <c r="O27" i="1"/>
  <c r="P27" i="1" s="1"/>
  <c r="O24" i="1"/>
  <c r="P24" i="1" s="1"/>
  <c r="O21" i="1"/>
  <c r="P21" i="1" s="1"/>
  <c r="P19" i="1"/>
  <c r="O17" i="1"/>
  <c r="P17" i="1" s="1"/>
  <c r="O16" i="1"/>
  <c r="P16" i="1" s="1"/>
  <c r="O14" i="1"/>
  <c r="P14" i="1" s="1"/>
  <c r="O13" i="1"/>
  <c r="P13" i="1" s="1"/>
  <c r="O10" i="1"/>
  <c r="P10" i="1" s="1"/>
  <c r="O9" i="1"/>
  <c r="P9" i="1" s="1"/>
  <c r="O7" i="1"/>
  <c r="P7" i="1" s="1"/>
  <c r="O5" i="1"/>
  <c r="P5" i="1" s="1"/>
  <c r="O123" i="1"/>
  <c r="P123" i="1" s="1"/>
  <c r="O122" i="1"/>
  <c r="P122" i="1" s="1"/>
  <c r="O118" i="1"/>
  <c r="P118" i="1" s="1"/>
  <c r="O116" i="1"/>
  <c r="P116" i="1" s="1"/>
  <c r="O114" i="1"/>
  <c r="P114" i="1" s="1"/>
  <c r="O112" i="1"/>
  <c r="P112" i="1" s="1"/>
  <c r="O111" i="1"/>
  <c r="P111" i="1" s="1"/>
  <c r="O109" i="1"/>
  <c r="P109" i="1" s="1"/>
  <c r="P108" i="1"/>
  <c r="O106" i="1"/>
  <c r="P106" i="1" s="1"/>
  <c r="O103" i="1"/>
  <c r="P103" i="1" s="1"/>
  <c r="O101" i="1"/>
  <c r="P101" i="1" s="1"/>
  <c r="O99" i="1"/>
  <c r="P99" i="1" s="1"/>
  <c r="O98" i="1"/>
  <c r="P98" i="1" s="1"/>
  <c r="O96" i="1"/>
  <c r="P96" i="1" s="1"/>
  <c r="O93" i="1"/>
  <c r="P93" i="1" s="1"/>
  <c r="O90" i="1"/>
  <c r="P90" i="1" s="1"/>
  <c r="O88" i="1"/>
  <c r="P88" i="1" s="1"/>
  <c r="O83" i="1"/>
  <c r="P83" i="1" s="1"/>
  <c r="P80" i="1"/>
  <c r="O75" i="1"/>
  <c r="P75" i="1" s="1"/>
  <c r="O74" i="1"/>
  <c r="P74" i="1" s="1"/>
  <c r="O71" i="1"/>
  <c r="P71" i="1" s="1"/>
  <c r="O69" i="1"/>
  <c r="P69" i="1" s="1"/>
  <c r="O67" i="1"/>
  <c r="P67" i="1" s="1"/>
  <c r="O63" i="1"/>
  <c r="P63" i="1" s="1"/>
  <c r="O59" i="1"/>
  <c r="P59" i="1" s="1"/>
  <c r="O57" i="1"/>
  <c r="P57" i="1" s="1"/>
  <c r="O54" i="1"/>
  <c r="P54" i="1" s="1"/>
  <c r="O52" i="1"/>
  <c r="P52" i="1" s="1"/>
  <c r="O51" i="1"/>
  <c r="P51" i="1" s="1"/>
  <c r="O49" i="1"/>
  <c r="P49" i="1" s="1"/>
  <c r="O46" i="1"/>
  <c r="P46" i="1" s="1"/>
  <c r="O43" i="1"/>
  <c r="P43" i="1" s="1"/>
  <c r="O42" i="1"/>
  <c r="P42" i="1" s="1"/>
  <c r="O39" i="1"/>
  <c r="P39" i="1" s="1"/>
  <c r="O37" i="1"/>
  <c r="P37" i="1" s="1"/>
  <c r="O35" i="1"/>
  <c r="P35" i="1" s="1"/>
  <c r="O33" i="1"/>
  <c r="P33" i="1" s="1"/>
  <c r="O28" i="1"/>
  <c r="P28" i="1" s="1"/>
  <c r="O26" i="1"/>
  <c r="P26" i="1" s="1"/>
  <c r="O25" i="1"/>
  <c r="P25" i="1" s="1"/>
  <c r="O22" i="1"/>
  <c r="P22" i="1" s="1"/>
  <c r="O20" i="1"/>
  <c r="P20" i="1" s="1"/>
  <c r="O18" i="1"/>
  <c r="P18" i="1" s="1"/>
  <c r="O15" i="1"/>
  <c r="P15" i="1" s="1"/>
  <c r="P12" i="1"/>
  <c r="P11" i="1"/>
  <c r="O6" i="1"/>
  <c r="P6" i="1" s="1"/>
  <c r="K49" i="2" l="1"/>
  <c r="N49" i="2"/>
  <c r="Q49" i="2" s="1"/>
  <c r="K11" i="1"/>
  <c r="K12" i="1"/>
  <c r="K38" i="1"/>
  <c r="K64" i="1"/>
  <c r="K66" i="1"/>
  <c r="K80" i="1"/>
  <c r="K95" i="1"/>
  <c r="K108" i="1"/>
  <c r="K124" i="1"/>
  <c r="Q80" i="1"/>
  <c r="R80" i="1" s="1"/>
  <c r="S80" i="1" s="1"/>
  <c r="Q108" i="1"/>
  <c r="R108" i="1" s="1"/>
  <c r="S108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Q12" i="1" l="1"/>
  <c r="R12" i="1" s="1"/>
  <c r="S12" i="1" s="1"/>
  <c r="Q124" i="1"/>
  <c r="R124" i="1" s="1"/>
  <c r="S124" i="1" s="1"/>
  <c r="Q95" i="1"/>
  <c r="R95" i="1" s="1"/>
  <c r="S95" i="1" s="1"/>
  <c r="Q66" i="1"/>
  <c r="R66" i="1" s="1"/>
  <c r="S66" i="1" s="1"/>
  <c r="Q64" i="1"/>
  <c r="R64" i="1" s="1"/>
  <c r="S64" i="1" s="1"/>
  <c r="Q48" i="1"/>
  <c r="R48" i="1" s="1"/>
  <c r="S48" i="1" s="1"/>
  <c r="Q38" i="1"/>
  <c r="R38" i="1" s="1"/>
  <c r="S38" i="1" s="1"/>
  <c r="Q11" i="1"/>
  <c r="R11" i="1" s="1"/>
  <c r="S11" i="1" s="1"/>
  <c r="D29" i="3" l="1"/>
  <c r="E26" i="3"/>
  <c r="E26" i="2" l="1"/>
  <c r="T113" i="2" l="1"/>
  <c r="T115" i="2"/>
  <c r="T116" i="2"/>
  <c r="T117" i="2"/>
  <c r="T118" i="2"/>
  <c r="T119" i="2"/>
  <c r="T120" i="2"/>
  <c r="T121" i="2"/>
  <c r="T122" i="2"/>
  <c r="T123" i="2"/>
  <c r="T124" i="2"/>
  <c r="T126" i="2"/>
  <c r="T127" i="2"/>
  <c r="T114" i="2"/>
  <c r="B118" i="3"/>
  <c r="C118" i="3"/>
  <c r="D118" i="3"/>
  <c r="E118" i="3"/>
  <c r="F118" i="3"/>
  <c r="G118" i="3"/>
  <c r="H118" i="3"/>
  <c r="B119" i="3"/>
  <c r="C119" i="3"/>
  <c r="D119" i="3"/>
  <c r="E119" i="3"/>
  <c r="F119" i="3"/>
  <c r="G119" i="3"/>
  <c r="H119" i="3"/>
  <c r="B120" i="3"/>
  <c r="C120" i="3"/>
  <c r="D120" i="3"/>
  <c r="E120" i="3"/>
  <c r="F120" i="3"/>
  <c r="G120" i="3"/>
  <c r="H120" i="3"/>
  <c r="B121" i="3"/>
  <c r="C121" i="3"/>
  <c r="D121" i="3"/>
  <c r="E121" i="3"/>
  <c r="F121" i="3"/>
  <c r="G121" i="3"/>
  <c r="H121" i="3"/>
  <c r="B122" i="3"/>
  <c r="C122" i="3"/>
  <c r="D122" i="3"/>
  <c r="E122" i="3"/>
  <c r="F122" i="3"/>
  <c r="G122" i="3"/>
  <c r="H122" i="3"/>
  <c r="B123" i="3"/>
  <c r="C123" i="3"/>
  <c r="D123" i="3"/>
  <c r="E123" i="3"/>
  <c r="F123" i="3"/>
  <c r="G123" i="3"/>
  <c r="H123" i="3"/>
  <c r="B124" i="3"/>
  <c r="C124" i="3"/>
  <c r="D124" i="3"/>
  <c r="E124" i="3"/>
  <c r="F124" i="3"/>
  <c r="G124" i="3"/>
  <c r="H124" i="3"/>
  <c r="B126" i="3"/>
  <c r="C126" i="3"/>
  <c r="D126" i="3"/>
  <c r="E126" i="3"/>
  <c r="F126" i="3"/>
  <c r="G126" i="3"/>
  <c r="H126" i="3"/>
  <c r="B127" i="3"/>
  <c r="C127" i="3"/>
  <c r="D127" i="3"/>
  <c r="E127" i="3"/>
  <c r="F127" i="3"/>
  <c r="G127" i="3"/>
  <c r="C127" i="2" l="1"/>
  <c r="C126" i="2"/>
  <c r="G124" i="2"/>
  <c r="E124" i="2"/>
  <c r="C124" i="2"/>
  <c r="G123" i="2"/>
  <c r="E123" i="2"/>
  <c r="C123" i="2"/>
  <c r="G122" i="2"/>
  <c r="E122" i="2"/>
  <c r="G127" i="2"/>
  <c r="E127" i="2"/>
  <c r="G126" i="2"/>
  <c r="E126" i="2"/>
  <c r="C122" i="2"/>
  <c r="I121" i="2"/>
  <c r="F121" i="2"/>
  <c r="D121" i="2"/>
  <c r="B121" i="2"/>
  <c r="I120" i="2"/>
  <c r="F120" i="2"/>
  <c r="D120" i="2"/>
  <c r="B120" i="2"/>
  <c r="G119" i="2"/>
  <c r="E119" i="2"/>
  <c r="C119" i="2"/>
  <c r="I118" i="2"/>
  <c r="F118" i="2"/>
  <c r="D118" i="2"/>
  <c r="B118" i="2"/>
  <c r="I127" i="2"/>
  <c r="F127" i="2"/>
  <c r="D127" i="2"/>
  <c r="B127" i="2"/>
  <c r="F126" i="2"/>
  <c r="D126" i="2"/>
  <c r="B126" i="2"/>
  <c r="I124" i="2"/>
  <c r="F124" i="2"/>
  <c r="D124" i="2"/>
  <c r="B124" i="2"/>
  <c r="I123" i="2"/>
  <c r="F123" i="2"/>
  <c r="D123" i="2"/>
  <c r="B123" i="2"/>
  <c r="I122" i="2"/>
  <c r="F122" i="2"/>
  <c r="D122" i="2"/>
  <c r="B122" i="2"/>
  <c r="G121" i="2"/>
  <c r="E121" i="2"/>
  <c r="C121" i="2"/>
  <c r="G120" i="2"/>
  <c r="E120" i="2"/>
  <c r="C120" i="2"/>
  <c r="I119" i="2"/>
  <c r="F119" i="2"/>
  <c r="D119" i="2"/>
  <c r="B119" i="2"/>
  <c r="G118" i="2"/>
  <c r="E118" i="2"/>
  <c r="C118" i="2"/>
  <c r="X124" i="2" l="1"/>
  <c r="AE124" i="2" s="1"/>
  <c r="Z126" i="2"/>
  <c r="AG126" i="2" s="1"/>
  <c r="X127" i="2"/>
  <c r="AE127" i="2" s="1"/>
  <c r="Y118" i="2"/>
  <c r="Z119" i="2"/>
  <c r="AG119" i="2" s="1"/>
  <c r="AA120" i="2"/>
  <c r="W121" i="2"/>
  <c r="AD121" i="2" s="1"/>
  <c r="X122" i="2"/>
  <c r="AE122" i="2" s="1"/>
  <c r="Z123" i="2"/>
  <c r="AG123" i="2" s="1"/>
  <c r="AA126" i="2"/>
  <c r="W123" i="2"/>
  <c r="AD123" i="2" s="1"/>
  <c r="AA124" i="2"/>
  <c r="W120" i="2"/>
  <c r="AD120" i="2" s="1"/>
  <c r="AA121" i="2"/>
  <c r="Z127" i="2"/>
  <c r="AG127" i="2" s="1"/>
  <c r="V118" i="2"/>
  <c r="AC118" i="2" s="1"/>
  <c r="X120" i="2"/>
  <c r="AE120" i="2" s="1"/>
  <c r="Y123" i="2"/>
  <c r="AF123" i="2" s="1"/>
  <c r="W126" i="2"/>
  <c r="AD126" i="2" s="1"/>
  <c r="W127" i="2"/>
  <c r="AD127" i="2" s="1"/>
  <c r="AA118" i="2"/>
  <c r="Y121" i="2"/>
  <c r="AF121" i="2" s="1"/>
  <c r="Z122" i="2"/>
  <c r="AG122" i="2" s="1"/>
  <c r="V120" i="2"/>
  <c r="AC120" i="2" s="1"/>
  <c r="Z121" i="2"/>
  <c r="AG121" i="2" s="1"/>
  <c r="V119" i="2"/>
  <c r="AC119" i="2" s="1"/>
  <c r="V123" i="2"/>
  <c r="AC123" i="2" s="1"/>
  <c r="Z124" i="2"/>
  <c r="AG124" i="2" s="1"/>
  <c r="W119" i="2"/>
  <c r="AD119" i="2" s="1"/>
  <c r="W118" i="2"/>
  <c r="AD118" i="2" s="1"/>
  <c r="X119" i="2"/>
  <c r="AE119" i="2" s="1"/>
  <c r="Y120" i="2"/>
  <c r="AF120" i="2" s="1"/>
  <c r="V122" i="2"/>
  <c r="AC122" i="2" s="1"/>
  <c r="X123" i="2"/>
  <c r="AE123" i="2" s="1"/>
  <c r="V126" i="2"/>
  <c r="AC126" i="2" s="1"/>
  <c r="X118" i="2"/>
  <c r="AE118" i="2" s="1"/>
  <c r="Y119" i="2"/>
  <c r="AF119" i="2" s="1"/>
  <c r="Z120" i="2"/>
  <c r="AG120" i="2" s="1"/>
  <c r="V121" i="2"/>
  <c r="AC121" i="2" s="1"/>
  <c r="W122" i="2"/>
  <c r="AD122" i="2" s="1"/>
  <c r="Y127" i="2"/>
  <c r="AF127" i="2" s="1"/>
  <c r="AA123" i="2"/>
  <c r="W124" i="2"/>
  <c r="AD124" i="2" s="1"/>
  <c r="V124" i="2"/>
  <c r="AC124" i="2" s="1"/>
  <c r="X126" i="2"/>
  <c r="AE126" i="2" s="1"/>
  <c r="V127" i="2"/>
  <c r="AC127" i="2" s="1"/>
  <c r="Z118" i="2"/>
  <c r="AG118" i="2" s="1"/>
  <c r="AA119" i="2"/>
  <c r="X121" i="2"/>
  <c r="AE121" i="2" s="1"/>
  <c r="Y126" i="2"/>
  <c r="AF126" i="2" s="1"/>
  <c r="AA127" i="2"/>
  <c r="Y122" i="2"/>
  <c r="AF122" i="2" s="1"/>
  <c r="AA122" i="2"/>
  <c r="Y124" i="2"/>
  <c r="AF124" i="2" s="1"/>
  <c r="J126" i="2"/>
  <c r="M126" i="2" s="1"/>
  <c r="J127" i="2"/>
  <c r="M127" i="2" s="1"/>
  <c r="O127" i="2" s="1"/>
  <c r="R127" i="2" s="1"/>
  <c r="J122" i="2"/>
  <c r="M122" i="2" s="1"/>
  <c r="J124" i="2"/>
  <c r="M124" i="2" s="1"/>
  <c r="J121" i="2"/>
  <c r="M121" i="2" s="1"/>
  <c r="J123" i="2"/>
  <c r="M123" i="2" s="1"/>
  <c r="J119" i="2"/>
  <c r="M119" i="2" s="1"/>
  <c r="J120" i="2"/>
  <c r="M120" i="2" s="1"/>
  <c r="J118" i="2"/>
  <c r="M118" i="2" s="1"/>
  <c r="AF118" i="2"/>
  <c r="I126" i="2"/>
  <c r="L124" i="2" l="1"/>
  <c r="K127" i="2"/>
  <c r="K126" i="2"/>
  <c r="L123" i="2"/>
  <c r="N123" i="2"/>
  <c r="Q123" i="2" s="1"/>
  <c r="P123" i="2"/>
  <c r="N126" i="2"/>
  <c r="Q126" i="2" s="1"/>
  <c r="P126" i="2"/>
  <c r="N119" i="2"/>
  <c r="Q119" i="2" s="1"/>
  <c r="P119" i="2"/>
  <c r="N120" i="2"/>
  <c r="Q120" i="2" s="1"/>
  <c r="P120" i="2"/>
  <c r="N127" i="2"/>
  <c r="Q127" i="2" s="1"/>
  <c r="P127" i="2"/>
  <c r="N121" i="2"/>
  <c r="Q121" i="2" s="1"/>
  <c r="P121" i="2"/>
  <c r="N124" i="2"/>
  <c r="Q124" i="2" s="1"/>
  <c r="P124" i="2"/>
  <c r="N118" i="2"/>
  <c r="Q118" i="2" s="1"/>
  <c r="P118" i="2"/>
  <c r="O124" i="2"/>
  <c r="R124" i="2" s="1"/>
  <c r="N122" i="2"/>
  <c r="Q122" i="2" s="1"/>
  <c r="P122" i="2"/>
  <c r="L122" i="2"/>
  <c r="K124" i="2"/>
  <c r="K122" i="2"/>
  <c r="O122" i="2"/>
  <c r="R122" i="2" s="1"/>
  <c r="O121" i="2"/>
  <c r="R121" i="2" s="1"/>
  <c r="O118" i="2"/>
  <c r="R118" i="2" s="1"/>
  <c r="L126" i="2"/>
  <c r="O126" i="2"/>
  <c r="R126" i="2" s="1"/>
  <c r="O120" i="2"/>
  <c r="R120" i="2" s="1"/>
  <c r="O123" i="2"/>
  <c r="R123" i="2" s="1"/>
  <c r="O119" i="2"/>
  <c r="R119" i="2" s="1"/>
  <c r="K120" i="2"/>
  <c r="K119" i="2"/>
  <c r="L121" i="2"/>
  <c r="L118" i="2"/>
  <c r="K123" i="2"/>
  <c r="K121" i="2"/>
  <c r="L119" i="2"/>
  <c r="K118" i="2"/>
  <c r="L120" i="2"/>
  <c r="AH126" i="2"/>
  <c r="AJ126" i="2"/>
  <c r="K125" i="1" s="1"/>
  <c r="AH118" i="2"/>
  <c r="AJ118" i="2"/>
  <c r="K117" i="1" s="1"/>
  <c r="AH122" i="2"/>
  <c r="AJ122" i="2"/>
  <c r="K121" i="1" s="1"/>
  <c r="AH121" i="2"/>
  <c r="AJ121" i="2"/>
  <c r="K120" i="1" s="1"/>
  <c r="AH120" i="2"/>
  <c r="AJ120" i="2"/>
  <c r="K119" i="1" s="1"/>
  <c r="AH124" i="2"/>
  <c r="AJ124" i="2"/>
  <c r="K123" i="1" s="1"/>
  <c r="AH123" i="2"/>
  <c r="AJ123" i="2"/>
  <c r="K122" i="1" s="1"/>
  <c r="AH127" i="2"/>
  <c r="AJ127" i="2"/>
  <c r="K126" i="1" s="1"/>
  <c r="AH119" i="2"/>
  <c r="AJ119" i="2"/>
  <c r="K118" i="1" s="1"/>
  <c r="AK119" i="2" l="1"/>
  <c r="AK127" i="2"/>
  <c r="L126" i="1" s="1"/>
  <c r="AK123" i="2"/>
  <c r="AK124" i="2"/>
  <c r="AK120" i="2"/>
  <c r="AK121" i="2"/>
  <c r="L120" i="1" s="1"/>
  <c r="AK122" i="2"/>
  <c r="L121" i="1" s="1"/>
  <c r="AK118" i="2"/>
  <c r="AK126" i="2"/>
  <c r="L117" i="1" l="1"/>
  <c r="M117" i="1" s="1"/>
  <c r="N117" i="1" s="1"/>
  <c r="L125" i="1"/>
  <c r="M125" i="1" s="1"/>
  <c r="N125" i="1" s="1"/>
  <c r="L122" i="1"/>
  <c r="M122" i="1" s="1"/>
  <c r="N122" i="1" s="1"/>
  <c r="L119" i="1"/>
  <c r="M119" i="1" s="1"/>
  <c r="N119" i="1" s="1"/>
  <c r="L123" i="1"/>
  <c r="M123" i="1" s="1"/>
  <c r="N123" i="1" s="1"/>
  <c r="L118" i="1"/>
  <c r="M118" i="1" s="1"/>
  <c r="N118" i="1" s="1"/>
  <c r="Q126" i="1"/>
  <c r="R126" i="1" s="1"/>
  <c r="S126" i="1" s="1"/>
  <c r="Q121" i="1"/>
  <c r="R121" i="1" s="1"/>
  <c r="S121" i="1" s="1"/>
  <c r="Q120" i="1"/>
  <c r="R120" i="1" s="1"/>
  <c r="S120" i="1" s="1"/>
  <c r="F27" i="3"/>
  <c r="D27" i="3"/>
  <c r="D6" i="3"/>
  <c r="E23" i="3"/>
  <c r="F3" i="3"/>
  <c r="G51" i="3"/>
  <c r="D51" i="3"/>
  <c r="F4" i="3"/>
  <c r="F5" i="3"/>
  <c r="F6" i="3"/>
  <c r="F7" i="3"/>
  <c r="F8" i="3"/>
  <c r="F9" i="3"/>
  <c r="F10" i="3"/>
  <c r="F11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40" i="3"/>
  <c r="F41" i="3"/>
  <c r="F42" i="3"/>
  <c r="F43" i="3"/>
  <c r="F44" i="3"/>
  <c r="F45" i="3"/>
  <c r="F46" i="3"/>
  <c r="F52" i="3"/>
  <c r="F47" i="3"/>
  <c r="F48" i="3"/>
  <c r="F50" i="3"/>
  <c r="F54" i="3"/>
  <c r="F55" i="3"/>
  <c r="F56" i="3"/>
  <c r="F57" i="3"/>
  <c r="F58" i="3"/>
  <c r="F59" i="3"/>
  <c r="F60" i="2"/>
  <c r="F61" i="3"/>
  <c r="F62" i="3"/>
  <c r="F63" i="3"/>
  <c r="F64" i="3"/>
  <c r="F66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10" i="3"/>
  <c r="F111" i="3"/>
  <c r="F112" i="3"/>
  <c r="F113" i="3"/>
  <c r="F53" i="3"/>
  <c r="F114" i="3"/>
  <c r="F115" i="3"/>
  <c r="F116" i="3"/>
  <c r="F117" i="3"/>
  <c r="F51" i="3"/>
  <c r="H11" i="3"/>
  <c r="B106" i="3"/>
  <c r="C106" i="3"/>
  <c r="D106" i="3"/>
  <c r="E106" i="3"/>
  <c r="G106" i="3"/>
  <c r="H106" i="3"/>
  <c r="B107" i="3"/>
  <c r="C107" i="3"/>
  <c r="D107" i="3"/>
  <c r="E107" i="3"/>
  <c r="G107" i="3"/>
  <c r="H107" i="3"/>
  <c r="B108" i="3"/>
  <c r="C108" i="3"/>
  <c r="D108" i="3"/>
  <c r="E108" i="3"/>
  <c r="G108" i="3"/>
  <c r="H108" i="3"/>
  <c r="B110" i="3"/>
  <c r="C110" i="3"/>
  <c r="D110" i="3"/>
  <c r="E110" i="3"/>
  <c r="G110" i="3"/>
  <c r="H110" i="3"/>
  <c r="B111" i="3"/>
  <c r="C111" i="3"/>
  <c r="D111" i="3"/>
  <c r="E111" i="3"/>
  <c r="G111" i="3"/>
  <c r="B112" i="3"/>
  <c r="C112" i="3"/>
  <c r="D112" i="3"/>
  <c r="E112" i="3"/>
  <c r="G112" i="3"/>
  <c r="H112" i="3"/>
  <c r="B113" i="3"/>
  <c r="C113" i="3"/>
  <c r="D113" i="3"/>
  <c r="E113" i="3"/>
  <c r="G113" i="3"/>
  <c r="H113" i="3"/>
  <c r="B53" i="3"/>
  <c r="C53" i="3"/>
  <c r="D53" i="3"/>
  <c r="E53" i="3"/>
  <c r="G53" i="3"/>
  <c r="H53" i="3"/>
  <c r="B114" i="3"/>
  <c r="C114" i="3"/>
  <c r="D114" i="3"/>
  <c r="E114" i="3"/>
  <c r="G114" i="3"/>
  <c r="H114" i="3"/>
  <c r="B115" i="3"/>
  <c r="C115" i="3"/>
  <c r="D115" i="3"/>
  <c r="E115" i="3"/>
  <c r="G115" i="3"/>
  <c r="H115" i="3"/>
  <c r="B116" i="3"/>
  <c r="C116" i="3"/>
  <c r="D116" i="3"/>
  <c r="E116" i="3"/>
  <c r="G116" i="3"/>
  <c r="H116" i="3"/>
  <c r="B117" i="3"/>
  <c r="C117" i="3"/>
  <c r="D117" i="3"/>
  <c r="E117" i="3"/>
  <c r="G117" i="3"/>
  <c r="H117" i="3"/>
  <c r="B3" i="3"/>
  <c r="C3" i="3"/>
  <c r="D3" i="3"/>
  <c r="E3" i="3"/>
  <c r="G3" i="3"/>
  <c r="B4" i="3"/>
  <c r="C4" i="3"/>
  <c r="D4" i="3"/>
  <c r="E4" i="3"/>
  <c r="G4" i="3"/>
  <c r="B5" i="3"/>
  <c r="C5" i="3"/>
  <c r="D5" i="3"/>
  <c r="E5" i="3"/>
  <c r="G5" i="3"/>
  <c r="B6" i="3"/>
  <c r="C6" i="3"/>
  <c r="E6" i="3"/>
  <c r="G6" i="3"/>
  <c r="B7" i="3"/>
  <c r="C7" i="3"/>
  <c r="D7" i="3"/>
  <c r="E7" i="3"/>
  <c r="G7" i="3"/>
  <c r="B8" i="3"/>
  <c r="C8" i="3"/>
  <c r="D8" i="3"/>
  <c r="E8" i="3"/>
  <c r="G8" i="3"/>
  <c r="B9" i="3"/>
  <c r="C9" i="3"/>
  <c r="D9" i="3"/>
  <c r="E9" i="3"/>
  <c r="G9" i="3"/>
  <c r="B10" i="3"/>
  <c r="C10" i="3"/>
  <c r="D10" i="3"/>
  <c r="E10" i="3"/>
  <c r="G10" i="3"/>
  <c r="B11" i="3"/>
  <c r="C11" i="3"/>
  <c r="D11" i="3"/>
  <c r="E11" i="3"/>
  <c r="G11" i="3"/>
  <c r="B14" i="3"/>
  <c r="C14" i="3"/>
  <c r="D14" i="3"/>
  <c r="E14" i="3"/>
  <c r="G14" i="3"/>
  <c r="B15" i="3"/>
  <c r="C15" i="3"/>
  <c r="D15" i="3"/>
  <c r="E15" i="3"/>
  <c r="G15" i="3"/>
  <c r="B16" i="3"/>
  <c r="C16" i="3"/>
  <c r="D16" i="3"/>
  <c r="E16" i="3"/>
  <c r="G16" i="3"/>
  <c r="B17" i="3"/>
  <c r="C17" i="3"/>
  <c r="D17" i="3"/>
  <c r="E17" i="3"/>
  <c r="G17" i="3"/>
  <c r="B18" i="3"/>
  <c r="C18" i="3"/>
  <c r="D18" i="3"/>
  <c r="E18" i="3"/>
  <c r="G18" i="3"/>
  <c r="B19" i="3"/>
  <c r="C19" i="3"/>
  <c r="D19" i="3"/>
  <c r="E19" i="3"/>
  <c r="G19" i="3"/>
  <c r="B20" i="3"/>
  <c r="C20" i="3"/>
  <c r="D20" i="3"/>
  <c r="E20" i="3"/>
  <c r="G20" i="3"/>
  <c r="B21" i="3"/>
  <c r="C21" i="3"/>
  <c r="D21" i="3"/>
  <c r="E21" i="3"/>
  <c r="G21" i="3"/>
  <c r="B22" i="3"/>
  <c r="C22" i="3"/>
  <c r="D22" i="3"/>
  <c r="E22" i="3"/>
  <c r="G22" i="3"/>
  <c r="B23" i="3"/>
  <c r="C23" i="3"/>
  <c r="D23" i="3"/>
  <c r="G23" i="3"/>
  <c r="B24" i="3"/>
  <c r="C24" i="3"/>
  <c r="D24" i="3"/>
  <c r="E24" i="3"/>
  <c r="G24" i="3"/>
  <c r="B25" i="3"/>
  <c r="C25" i="3"/>
  <c r="D25" i="3"/>
  <c r="E25" i="3"/>
  <c r="G25" i="3"/>
  <c r="B26" i="3"/>
  <c r="C26" i="3"/>
  <c r="D26" i="3"/>
  <c r="G26" i="3"/>
  <c r="B27" i="3"/>
  <c r="C27" i="3"/>
  <c r="E27" i="3"/>
  <c r="G27" i="3"/>
  <c r="B28" i="3"/>
  <c r="C28" i="3"/>
  <c r="D28" i="3"/>
  <c r="E28" i="3"/>
  <c r="G28" i="3"/>
  <c r="B29" i="3"/>
  <c r="C29" i="3"/>
  <c r="D29" i="2"/>
  <c r="E29" i="3"/>
  <c r="G29" i="3"/>
  <c r="B30" i="3"/>
  <c r="C30" i="3"/>
  <c r="D30" i="3"/>
  <c r="E30" i="3"/>
  <c r="G30" i="3"/>
  <c r="B31" i="3"/>
  <c r="C31" i="3"/>
  <c r="D31" i="3"/>
  <c r="E31" i="3"/>
  <c r="G31" i="3"/>
  <c r="B32" i="3"/>
  <c r="C32" i="3"/>
  <c r="D32" i="3"/>
  <c r="E32" i="3"/>
  <c r="G32" i="3"/>
  <c r="B33" i="3"/>
  <c r="C33" i="3"/>
  <c r="D33" i="3"/>
  <c r="E33" i="3"/>
  <c r="G33" i="3"/>
  <c r="B34" i="3"/>
  <c r="C34" i="3"/>
  <c r="D34" i="3"/>
  <c r="E34" i="3"/>
  <c r="G34" i="3"/>
  <c r="B35" i="3"/>
  <c r="C35" i="3"/>
  <c r="D35" i="3"/>
  <c r="E35" i="3"/>
  <c r="G35" i="3"/>
  <c r="B36" i="3"/>
  <c r="C36" i="3"/>
  <c r="D36" i="3"/>
  <c r="E36" i="3"/>
  <c r="G36" i="3"/>
  <c r="B37" i="3"/>
  <c r="C37" i="3"/>
  <c r="D37" i="3"/>
  <c r="E37" i="3"/>
  <c r="G37" i="3"/>
  <c r="B38" i="3"/>
  <c r="C38" i="3"/>
  <c r="D38" i="3"/>
  <c r="E38" i="3"/>
  <c r="G38" i="3"/>
  <c r="B40" i="3"/>
  <c r="C40" i="3"/>
  <c r="D40" i="3"/>
  <c r="E40" i="3"/>
  <c r="G40" i="3"/>
  <c r="B41" i="3"/>
  <c r="C41" i="3"/>
  <c r="D41" i="3"/>
  <c r="E41" i="3"/>
  <c r="G41" i="3"/>
  <c r="B42" i="3"/>
  <c r="C42" i="3"/>
  <c r="D42" i="3"/>
  <c r="E42" i="3"/>
  <c r="G42" i="3"/>
  <c r="B43" i="3"/>
  <c r="C43" i="3"/>
  <c r="D43" i="3"/>
  <c r="E43" i="3"/>
  <c r="G43" i="3"/>
  <c r="B44" i="3"/>
  <c r="C44" i="3"/>
  <c r="D44" i="3"/>
  <c r="E44" i="3"/>
  <c r="G44" i="3"/>
  <c r="B45" i="3"/>
  <c r="C45" i="3"/>
  <c r="D45" i="3"/>
  <c r="E45" i="3"/>
  <c r="G45" i="3"/>
  <c r="B46" i="3"/>
  <c r="C46" i="3"/>
  <c r="D46" i="3"/>
  <c r="E46" i="3"/>
  <c r="G46" i="3"/>
  <c r="B52" i="3"/>
  <c r="C52" i="3"/>
  <c r="D52" i="2"/>
  <c r="E52" i="3"/>
  <c r="G52" i="3"/>
  <c r="B47" i="3"/>
  <c r="C47" i="3"/>
  <c r="D47" i="3"/>
  <c r="E47" i="3"/>
  <c r="G47" i="3"/>
  <c r="B48" i="3"/>
  <c r="C48" i="3"/>
  <c r="D48" i="3"/>
  <c r="E48" i="3"/>
  <c r="G48" i="3"/>
  <c r="B50" i="3"/>
  <c r="C50" i="3"/>
  <c r="D50" i="3"/>
  <c r="E50" i="3"/>
  <c r="G50" i="3"/>
  <c r="B54" i="3"/>
  <c r="C54" i="3"/>
  <c r="D54" i="3"/>
  <c r="E54" i="3"/>
  <c r="G54" i="3"/>
  <c r="B55" i="3"/>
  <c r="C55" i="3"/>
  <c r="D55" i="3"/>
  <c r="E55" i="3"/>
  <c r="G55" i="3"/>
  <c r="B56" i="3"/>
  <c r="C56" i="3"/>
  <c r="D56" i="3"/>
  <c r="E56" i="3"/>
  <c r="G56" i="3"/>
  <c r="B57" i="3"/>
  <c r="C57" i="3"/>
  <c r="D57" i="3"/>
  <c r="E57" i="3"/>
  <c r="G57" i="3"/>
  <c r="B58" i="3"/>
  <c r="C58" i="3"/>
  <c r="D58" i="3"/>
  <c r="E58" i="3"/>
  <c r="G58" i="3"/>
  <c r="B59" i="3"/>
  <c r="C59" i="3"/>
  <c r="D59" i="3"/>
  <c r="E59" i="3"/>
  <c r="G59" i="3"/>
  <c r="B60" i="3"/>
  <c r="C60" i="3"/>
  <c r="D60" i="3"/>
  <c r="E60" i="3"/>
  <c r="G60" i="3"/>
  <c r="B61" i="3"/>
  <c r="C61" i="3"/>
  <c r="D61" i="3"/>
  <c r="E61" i="3"/>
  <c r="G61" i="3"/>
  <c r="B62" i="3"/>
  <c r="C62" i="3"/>
  <c r="D62" i="3"/>
  <c r="E62" i="3"/>
  <c r="G62" i="3"/>
  <c r="B63" i="3"/>
  <c r="C63" i="3"/>
  <c r="D63" i="3"/>
  <c r="E63" i="3"/>
  <c r="G63" i="3"/>
  <c r="B64" i="3"/>
  <c r="C64" i="3"/>
  <c r="D64" i="3"/>
  <c r="E64" i="3"/>
  <c r="G64" i="3"/>
  <c r="B66" i="3"/>
  <c r="C66" i="3"/>
  <c r="D66" i="3"/>
  <c r="E66" i="3"/>
  <c r="G66" i="3"/>
  <c r="B68" i="3"/>
  <c r="C68" i="3"/>
  <c r="D68" i="3"/>
  <c r="E68" i="3"/>
  <c r="G68" i="3"/>
  <c r="B69" i="3"/>
  <c r="C69" i="3"/>
  <c r="D69" i="3"/>
  <c r="E69" i="3"/>
  <c r="G69" i="3"/>
  <c r="B70" i="3"/>
  <c r="C70" i="3"/>
  <c r="D70" i="3"/>
  <c r="E70" i="3"/>
  <c r="G70" i="3"/>
  <c r="B71" i="3"/>
  <c r="C71" i="3"/>
  <c r="D71" i="3"/>
  <c r="E71" i="3"/>
  <c r="G71" i="3"/>
  <c r="B72" i="3"/>
  <c r="C72" i="3"/>
  <c r="D72" i="3"/>
  <c r="E72" i="3"/>
  <c r="G72" i="3"/>
  <c r="B73" i="3"/>
  <c r="C73" i="3"/>
  <c r="D73" i="3"/>
  <c r="E73" i="3"/>
  <c r="G73" i="3"/>
  <c r="B74" i="3"/>
  <c r="C74" i="3"/>
  <c r="D74" i="3"/>
  <c r="E74" i="3"/>
  <c r="G74" i="3"/>
  <c r="B75" i="3"/>
  <c r="C75" i="3"/>
  <c r="D75" i="3"/>
  <c r="E75" i="3"/>
  <c r="G75" i="3"/>
  <c r="B76" i="3"/>
  <c r="C76" i="3"/>
  <c r="D76" i="3"/>
  <c r="E76" i="3"/>
  <c r="G76" i="3"/>
  <c r="B77" i="3"/>
  <c r="C77" i="3"/>
  <c r="D77" i="3"/>
  <c r="E77" i="3"/>
  <c r="G77" i="3"/>
  <c r="B78" i="3"/>
  <c r="C78" i="3"/>
  <c r="D78" i="3"/>
  <c r="E78" i="3"/>
  <c r="G78" i="3"/>
  <c r="B79" i="3"/>
  <c r="C79" i="3"/>
  <c r="D79" i="3"/>
  <c r="E79" i="3"/>
  <c r="G79" i="3"/>
  <c r="B80" i="3"/>
  <c r="C80" i="3"/>
  <c r="D80" i="3"/>
  <c r="E80" i="3"/>
  <c r="G80" i="3"/>
  <c r="B82" i="3"/>
  <c r="C82" i="3"/>
  <c r="D82" i="3"/>
  <c r="E82" i="3"/>
  <c r="G82" i="3"/>
  <c r="B83" i="3"/>
  <c r="C83" i="3"/>
  <c r="D83" i="3"/>
  <c r="E83" i="3"/>
  <c r="G83" i="3"/>
  <c r="B84" i="3"/>
  <c r="C84" i="3"/>
  <c r="D84" i="3"/>
  <c r="E84" i="3"/>
  <c r="G84" i="3"/>
  <c r="B85" i="3"/>
  <c r="C85" i="3"/>
  <c r="D85" i="3"/>
  <c r="E85" i="3"/>
  <c r="G85" i="3"/>
  <c r="B86" i="3"/>
  <c r="C86" i="3"/>
  <c r="D86" i="3"/>
  <c r="E86" i="3"/>
  <c r="G86" i="3"/>
  <c r="B87" i="3"/>
  <c r="C87" i="3"/>
  <c r="D87" i="3"/>
  <c r="E87" i="3"/>
  <c r="G87" i="3"/>
  <c r="B88" i="3"/>
  <c r="C88" i="3"/>
  <c r="D88" i="3"/>
  <c r="E88" i="3"/>
  <c r="G88" i="3"/>
  <c r="B89" i="3"/>
  <c r="C89" i="3"/>
  <c r="D89" i="3"/>
  <c r="E89" i="3"/>
  <c r="G89" i="3"/>
  <c r="B90" i="3"/>
  <c r="C90" i="3"/>
  <c r="D90" i="3"/>
  <c r="E90" i="3"/>
  <c r="G90" i="3"/>
  <c r="B91" i="3"/>
  <c r="C91" i="3"/>
  <c r="D91" i="3"/>
  <c r="E91" i="3"/>
  <c r="G91" i="3"/>
  <c r="B92" i="3"/>
  <c r="C92" i="3"/>
  <c r="D92" i="3"/>
  <c r="E92" i="3"/>
  <c r="G92" i="3"/>
  <c r="B93" i="3"/>
  <c r="C93" i="3"/>
  <c r="D93" i="3"/>
  <c r="E93" i="3"/>
  <c r="G93" i="3"/>
  <c r="B94" i="3"/>
  <c r="C94" i="3"/>
  <c r="D94" i="3"/>
  <c r="E94" i="3"/>
  <c r="G94" i="3"/>
  <c r="B95" i="3"/>
  <c r="C95" i="3"/>
  <c r="D95" i="3"/>
  <c r="E95" i="3"/>
  <c r="G95" i="3"/>
  <c r="B97" i="3"/>
  <c r="C97" i="3"/>
  <c r="D97" i="3"/>
  <c r="E97" i="3"/>
  <c r="G97" i="3"/>
  <c r="B98" i="3"/>
  <c r="C98" i="3"/>
  <c r="D98" i="3"/>
  <c r="E98" i="3"/>
  <c r="G98" i="3"/>
  <c r="B99" i="3"/>
  <c r="C99" i="3"/>
  <c r="D99" i="3"/>
  <c r="E99" i="3"/>
  <c r="G99" i="3"/>
  <c r="B100" i="3"/>
  <c r="C100" i="3"/>
  <c r="D100" i="3"/>
  <c r="E100" i="3"/>
  <c r="G100" i="3"/>
  <c r="B101" i="3"/>
  <c r="C101" i="3"/>
  <c r="D101" i="3"/>
  <c r="E101" i="3"/>
  <c r="G101" i="3"/>
  <c r="B102" i="3"/>
  <c r="C102" i="3"/>
  <c r="D102" i="3"/>
  <c r="E102" i="3"/>
  <c r="G102" i="3"/>
  <c r="B103" i="3"/>
  <c r="C103" i="3"/>
  <c r="D103" i="3"/>
  <c r="E103" i="3"/>
  <c r="G103" i="3"/>
  <c r="B104" i="3"/>
  <c r="C104" i="3"/>
  <c r="D104" i="3"/>
  <c r="E104" i="3"/>
  <c r="G104" i="3"/>
  <c r="B105" i="3"/>
  <c r="C105" i="3"/>
  <c r="D105" i="3"/>
  <c r="E105" i="3"/>
  <c r="G105" i="3"/>
  <c r="H51" i="3"/>
  <c r="E51" i="3"/>
  <c r="C51" i="3"/>
  <c r="C51" i="2" l="1"/>
  <c r="E62" i="2"/>
  <c r="C62" i="2"/>
  <c r="G61" i="2"/>
  <c r="D61" i="2"/>
  <c r="B61" i="2"/>
  <c r="G60" i="2"/>
  <c r="D60" i="2"/>
  <c r="B60" i="2"/>
  <c r="E59" i="2"/>
  <c r="C59" i="2"/>
  <c r="E58" i="2"/>
  <c r="C58" i="2"/>
  <c r="G57" i="2"/>
  <c r="D57" i="2"/>
  <c r="B57" i="2"/>
  <c r="G56" i="2"/>
  <c r="D56" i="2"/>
  <c r="B56" i="2"/>
  <c r="E55" i="2"/>
  <c r="C55" i="2"/>
  <c r="G54" i="2"/>
  <c r="D54" i="2"/>
  <c r="B54" i="2"/>
  <c r="E50" i="2"/>
  <c r="C50" i="2"/>
  <c r="E48" i="2"/>
  <c r="C48" i="2"/>
  <c r="G47" i="2"/>
  <c r="D47" i="2"/>
  <c r="B47" i="2"/>
  <c r="G52" i="2"/>
  <c r="B52" i="2"/>
  <c r="G46" i="2"/>
  <c r="D46" i="2"/>
  <c r="B46" i="2"/>
  <c r="E45" i="2"/>
  <c r="C45" i="2"/>
  <c r="G44" i="2"/>
  <c r="D44" i="2"/>
  <c r="B44" i="2"/>
  <c r="G43" i="2"/>
  <c r="D43" i="2"/>
  <c r="B43" i="2"/>
  <c r="E42" i="2"/>
  <c r="C42" i="2"/>
  <c r="E41" i="2"/>
  <c r="C41" i="2"/>
  <c r="G40" i="2"/>
  <c r="D40" i="2"/>
  <c r="B40" i="2"/>
  <c r="E38" i="2"/>
  <c r="C38" i="2"/>
  <c r="G37" i="2"/>
  <c r="D37" i="2"/>
  <c r="B37" i="2"/>
  <c r="E36" i="2"/>
  <c r="C36" i="2"/>
  <c r="G35" i="2"/>
  <c r="D35" i="2"/>
  <c r="B35" i="2"/>
  <c r="E34" i="2"/>
  <c r="C34" i="2"/>
  <c r="G33" i="2"/>
  <c r="D33" i="2"/>
  <c r="B33" i="2"/>
  <c r="G32" i="2"/>
  <c r="D32" i="2"/>
  <c r="B32" i="2"/>
  <c r="G31" i="2"/>
  <c r="D31" i="2"/>
  <c r="B31" i="2"/>
  <c r="E30" i="2"/>
  <c r="C30" i="2"/>
  <c r="G29" i="2"/>
  <c r="B29" i="2"/>
  <c r="E28" i="2"/>
  <c r="C28" i="2"/>
  <c r="G27" i="2"/>
  <c r="C27" i="2"/>
  <c r="D26" i="2"/>
  <c r="B26" i="2"/>
  <c r="E25" i="2"/>
  <c r="C25" i="2"/>
  <c r="E24" i="2"/>
  <c r="C24" i="2"/>
  <c r="G23" i="2"/>
  <c r="C23" i="2"/>
  <c r="G22" i="2"/>
  <c r="D22" i="2"/>
  <c r="B22" i="2"/>
  <c r="E21" i="2"/>
  <c r="C21" i="2"/>
  <c r="G20" i="2"/>
  <c r="D20" i="2"/>
  <c r="B20" i="2"/>
  <c r="E19" i="2"/>
  <c r="C19" i="2"/>
  <c r="E18" i="2"/>
  <c r="C18" i="2"/>
  <c r="E17" i="2"/>
  <c r="C17" i="2"/>
  <c r="G16" i="2"/>
  <c r="D16" i="2"/>
  <c r="B16" i="2"/>
  <c r="G15" i="2"/>
  <c r="D15" i="2"/>
  <c r="B15" i="2"/>
  <c r="E14" i="2"/>
  <c r="C14" i="2"/>
  <c r="E11" i="2"/>
  <c r="C11" i="2"/>
  <c r="E10" i="2"/>
  <c r="C10" i="2"/>
  <c r="G9" i="2"/>
  <c r="D9" i="2"/>
  <c r="B9" i="2"/>
  <c r="E8" i="2"/>
  <c r="C8" i="2"/>
  <c r="G7" i="2"/>
  <c r="D7" i="2"/>
  <c r="B7" i="2"/>
  <c r="E6" i="2"/>
  <c r="B6" i="2"/>
  <c r="G5" i="2"/>
  <c r="D5" i="2"/>
  <c r="B5" i="2"/>
  <c r="E4" i="2"/>
  <c r="C4" i="2"/>
  <c r="E3" i="2"/>
  <c r="C3" i="2"/>
  <c r="I116" i="2"/>
  <c r="E116" i="2"/>
  <c r="C116" i="2"/>
  <c r="I11" i="2"/>
  <c r="F116" i="2"/>
  <c r="F62" i="2"/>
  <c r="F59" i="2"/>
  <c r="F58" i="2"/>
  <c r="F55" i="2"/>
  <c r="F50" i="2"/>
  <c r="F48" i="2"/>
  <c r="F44" i="2"/>
  <c r="F43" i="2"/>
  <c r="F40" i="2"/>
  <c r="F37" i="2"/>
  <c r="F35" i="2"/>
  <c r="F33" i="2"/>
  <c r="F32" i="2"/>
  <c r="F31" i="2"/>
  <c r="F30" i="2"/>
  <c r="F28" i="2"/>
  <c r="F26" i="2"/>
  <c r="F23" i="2"/>
  <c r="F21" i="2"/>
  <c r="F19" i="2"/>
  <c r="F18" i="2"/>
  <c r="F17" i="2"/>
  <c r="F14" i="2"/>
  <c r="F11" i="2"/>
  <c r="F10" i="2"/>
  <c r="F8" i="2"/>
  <c r="F6" i="2"/>
  <c r="F5" i="2"/>
  <c r="G51" i="2"/>
  <c r="E23" i="2"/>
  <c r="D27" i="2"/>
  <c r="I51" i="2"/>
  <c r="E51" i="2"/>
  <c r="G62" i="2"/>
  <c r="D62" i="2"/>
  <c r="B62" i="2"/>
  <c r="E61" i="2"/>
  <c r="C61" i="2"/>
  <c r="E60" i="2"/>
  <c r="C60" i="2"/>
  <c r="G59" i="2"/>
  <c r="D59" i="2"/>
  <c r="B59" i="2"/>
  <c r="G58" i="2"/>
  <c r="D58" i="2"/>
  <c r="B58" i="2"/>
  <c r="E57" i="2"/>
  <c r="C57" i="2"/>
  <c r="E56" i="2"/>
  <c r="C56" i="2"/>
  <c r="G55" i="2"/>
  <c r="D55" i="2"/>
  <c r="B55" i="2"/>
  <c r="E54" i="2"/>
  <c r="C54" i="2"/>
  <c r="G50" i="2"/>
  <c r="D50" i="2"/>
  <c r="B50" i="2"/>
  <c r="G48" i="2"/>
  <c r="D48" i="2"/>
  <c r="B48" i="2"/>
  <c r="E47" i="2"/>
  <c r="C47" i="2"/>
  <c r="E52" i="2"/>
  <c r="C52" i="2"/>
  <c r="E46" i="2"/>
  <c r="C46" i="2"/>
  <c r="G45" i="2"/>
  <c r="D45" i="2"/>
  <c r="B45" i="2"/>
  <c r="E44" i="2"/>
  <c r="C44" i="2"/>
  <c r="E43" i="2"/>
  <c r="C43" i="2"/>
  <c r="G42" i="2"/>
  <c r="D42" i="2"/>
  <c r="B42" i="2"/>
  <c r="G41" i="2"/>
  <c r="D41" i="2"/>
  <c r="B41" i="2"/>
  <c r="E40" i="2"/>
  <c r="C40" i="2"/>
  <c r="G38" i="2"/>
  <c r="D38" i="2"/>
  <c r="B38" i="2"/>
  <c r="E37" i="2"/>
  <c r="C37" i="2"/>
  <c r="G36" i="2"/>
  <c r="D36" i="2"/>
  <c r="B36" i="2"/>
  <c r="E35" i="2"/>
  <c r="C35" i="2"/>
  <c r="G34" i="2"/>
  <c r="D34" i="2"/>
  <c r="B34" i="2"/>
  <c r="E33" i="2"/>
  <c r="C33" i="2"/>
  <c r="E32" i="2"/>
  <c r="C32" i="2"/>
  <c r="E31" i="2"/>
  <c r="C31" i="2"/>
  <c r="G30" i="2"/>
  <c r="D30" i="2"/>
  <c r="B30" i="2"/>
  <c r="E29" i="2"/>
  <c r="C29" i="2"/>
  <c r="G28" i="2"/>
  <c r="D28" i="2"/>
  <c r="B28" i="2"/>
  <c r="E27" i="2"/>
  <c r="B27" i="2"/>
  <c r="G26" i="2"/>
  <c r="C26" i="2"/>
  <c r="G25" i="2"/>
  <c r="D25" i="2"/>
  <c r="B25" i="2"/>
  <c r="G24" i="2"/>
  <c r="D24" i="2"/>
  <c r="B24" i="2"/>
  <c r="D23" i="2"/>
  <c r="B23" i="2"/>
  <c r="E22" i="2"/>
  <c r="C22" i="2"/>
  <c r="G21" i="2"/>
  <c r="D21" i="2"/>
  <c r="B21" i="2"/>
  <c r="E20" i="2"/>
  <c r="C20" i="2"/>
  <c r="G19" i="2"/>
  <c r="D19" i="2"/>
  <c r="B19" i="2"/>
  <c r="G18" i="2"/>
  <c r="D18" i="2"/>
  <c r="B18" i="2"/>
  <c r="G17" i="2"/>
  <c r="D17" i="2"/>
  <c r="B17" i="2"/>
  <c r="E16" i="2"/>
  <c r="C16" i="2"/>
  <c r="E15" i="2"/>
  <c r="C15" i="2"/>
  <c r="G14" i="2"/>
  <c r="D14" i="2"/>
  <c r="B14" i="2"/>
  <c r="G11" i="2"/>
  <c r="D11" i="2"/>
  <c r="B11" i="2"/>
  <c r="G10" i="2"/>
  <c r="D10" i="2"/>
  <c r="B10" i="2"/>
  <c r="E9" i="2"/>
  <c r="C9" i="2"/>
  <c r="G8" i="2"/>
  <c r="D8" i="2"/>
  <c r="B8" i="2"/>
  <c r="E7" i="2"/>
  <c r="C7" i="2"/>
  <c r="G6" i="2"/>
  <c r="C6" i="2"/>
  <c r="E5" i="2"/>
  <c r="C5" i="2"/>
  <c r="G4" i="2"/>
  <c r="D4" i="2"/>
  <c r="B4" i="2"/>
  <c r="G3" i="2"/>
  <c r="D3" i="2"/>
  <c r="B3" i="2"/>
  <c r="G116" i="2"/>
  <c r="D116" i="2"/>
  <c r="B116" i="2"/>
  <c r="F51" i="2"/>
  <c r="F113" i="2"/>
  <c r="F112" i="2"/>
  <c r="F111" i="2"/>
  <c r="F107" i="2"/>
  <c r="F104" i="2"/>
  <c r="F102" i="2"/>
  <c r="F100" i="2"/>
  <c r="F99" i="2"/>
  <c r="F97" i="2"/>
  <c r="F95" i="2"/>
  <c r="F92" i="2"/>
  <c r="F91" i="2"/>
  <c r="F89" i="2"/>
  <c r="F84" i="2"/>
  <c r="F80" i="2"/>
  <c r="F79" i="2"/>
  <c r="F78" i="2"/>
  <c r="F76" i="2"/>
  <c r="F75" i="2"/>
  <c r="F70" i="2"/>
  <c r="F61" i="2"/>
  <c r="F57" i="2"/>
  <c r="F56" i="2"/>
  <c r="F54" i="2"/>
  <c r="F47" i="2"/>
  <c r="F52" i="2"/>
  <c r="F46" i="2"/>
  <c r="F45" i="2"/>
  <c r="F42" i="2"/>
  <c r="F41" i="2"/>
  <c r="F38" i="2"/>
  <c r="F36" i="2"/>
  <c r="F34" i="2"/>
  <c r="F29" i="2"/>
  <c r="F25" i="2"/>
  <c r="F24" i="2"/>
  <c r="F22" i="2"/>
  <c r="F20" i="2"/>
  <c r="F16" i="2"/>
  <c r="F15" i="2"/>
  <c r="F9" i="2"/>
  <c r="F7" i="2"/>
  <c r="F4" i="2"/>
  <c r="D51" i="2"/>
  <c r="F3" i="2"/>
  <c r="D6" i="2"/>
  <c r="F27" i="2"/>
  <c r="Q123" i="1"/>
  <c r="R123" i="1" s="1"/>
  <c r="S123" i="1" s="1"/>
  <c r="Q122" i="1"/>
  <c r="R122" i="1" s="1"/>
  <c r="S122" i="1" s="1"/>
  <c r="Q125" i="1"/>
  <c r="R125" i="1" s="1"/>
  <c r="S125" i="1" s="1"/>
  <c r="Q118" i="1"/>
  <c r="R118" i="1" s="1"/>
  <c r="S118" i="1" s="1"/>
  <c r="Q119" i="1"/>
  <c r="R119" i="1" s="1"/>
  <c r="S119" i="1" s="1"/>
  <c r="Q117" i="1"/>
  <c r="R117" i="1" s="1"/>
  <c r="S117" i="1" s="1"/>
  <c r="F74" i="2"/>
  <c r="F73" i="2"/>
  <c r="F71" i="2"/>
  <c r="I115" i="2"/>
  <c r="I117" i="2"/>
  <c r="E115" i="2"/>
  <c r="E117" i="2"/>
  <c r="C115" i="2"/>
  <c r="C117" i="2"/>
  <c r="G115" i="2"/>
  <c r="G117" i="2"/>
  <c r="D115" i="2"/>
  <c r="D117" i="2"/>
  <c r="B115" i="2"/>
  <c r="B117" i="2"/>
  <c r="F115" i="2"/>
  <c r="F117" i="2"/>
  <c r="F68" i="2"/>
  <c r="F66" i="2"/>
  <c r="F64" i="2"/>
  <c r="G75" i="2"/>
  <c r="D75" i="2"/>
  <c r="B75" i="2"/>
  <c r="G74" i="2"/>
  <c r="D74" i="2"/>
  <c r="B74" i="2"/>
  <c r="G73" i="2"/>
  <c r="D73" i="2"/>
  <c r="B73" i="2"/>
  <c r="E72" i="2"/>
  <c r="C72" i="2"/>
  <c r="G71" i="2"/>
  <c r="D71" i="2"/>
  <c r="B71" i="2"/>
  <c r="G70" i="2"/>
  <c r="D70" i="2"/>
  <c r="B70" i="2"/>
  <c r="E69" i="2"/>
  <c r="C69" i="2"/>
  <c r="G68" i="2"/>
  <c r="D68" i="2"/>
  <c r="G64" i="2"/>
  <c r="D64" i="2"/>
  <c r="B104" i="2"/>
  <c r="E103" i="2"/>
  <c r="C103" i="2"/>
  <c r="G102" i="2"/>
  <c r="D102" i="2"/>
  <c r="B102" i="2"/>
  <c r="E101" i="2"/>
  <c r="D100" i="2"/>
  <c r="B100" i="2"/>
  <c r="G99" i="2"/>
  <c r="D99" i="2"/>
  <c r="C98" i="2"/>
  <c r="G97" i="2"/>
  <c r="D95" i="2"/>
  <c r="B95" i="2"/>
  <c r="E94" i="2"/>
  <c r="C94" i="2"/>
  <c r="G92" i="2"/>
  <c r="D92" i="2"/>
  <c r="B92" i="2"/>
  <c r="G91" i="2"/>
  <c r="D91" i="2"/>
  <c r="B91" i="2"/>
  <c r="E90" i="2"/>
  <c r="C90" i="2"/>
  <c r="G89" i="2"/>
  <c r="D89" i="2"/>
  <c r="B89" i="2"/>
  <c r="E88" i="2"/>
  <c r="C88" i="2"/>
  <c r="E87" i="2"/>
  <c r="C87" i="2"/>
  <c r="E86" i="2"/>
  <c r="C86" i="2"/>
  <c r="E85" i="2"/>
  <c r="C85" i="2"/>
  <c r="G84" i="2"/>
  <c r="D84" i="2"/>
  <c r="B84" i="2"/>
  <c r="E83" i="2"/>
  <c r="C83" i="2"/>
  <c r="E82" i="2"/>
  <c r="C82" i="2"/>
  <c r="G80" i="2"/>
  <c r="D80" i="2"/>
  <c r="B80" i="2"/>
  <c r="G79" i="2"/>
  <c r="D79" i="2"/>
  <c r="B79" i="2"/>
  <c r="G78" i="2"/>
  <c r="D78" i="2"/>
  <c r="B78" i="2"/>
  <c r="E77" i="2"/>
  <c r="C77" i="2"/>
  <c r="G76" i="2"/>
  <c r="D76" i="2"/>
  <c r="B76" i="2"/>
  <c r="E104" i="2"/>
  <c r="C104" i="2"/>
  <c r="G103" i="2"/>
  <c r="D103" i="2"/>
  <c r="B103" i="2"/>
  <c r="E102" i="2"/>
  <c r="C102" i="2"/>
  <c r="G101" i="2"/>
  <c r="D101" i="2"/>
  <c r="B101" i="2"/>
  <c r="E100" i="2"/>
  <c r="C100" i="2"/>
  <c r="E99" i="2"/>
  <c r="C99" i="2"/>
  <c r="G98" i="2"/>
  <c r="D98" i="2"/>
  <c r="B98" i="2"/>
  <c r="E97" i="2"/>
  <c r="C97" i="2"/>
  <c r="E95" i="2"/>
  <c r="C95" i="2"/>
  <c r="G104" i="2"/>
  <c r="D104" i="2"/>
  <c r="C101" i="2"/>
  <c r="G100" i="2"/>
  <c r="B99" i="2"/>
  <c r="E98" i="2"/>
  <c r="D97" i="2"/>
  <c r="B97" i="2"/>
  <c r="G95" i="2"/>
  <c r="G94" i="2"/>
  <c r="D94" i="2"/>
  <c r="B94" i="2"/>
  <c r="G93" i="2"/>
  <c r="D93" i="2"/>
  <c r="B93" i="2"/>
  <c r="E92" i="2"/>
  <c r="C92" i="2"/>
  <c r="E91" i="2"/>
  <c r="C91" i="2"/>
  <c r="G90" i="2"/>
  <c r="D90" i="2"/>
  <c r="B90" i="2"/>
  <c r="E89" i="2"/>
  <c r="C89" i="2"/>
  <c r="G88" i="2"/>
  <c r="D88" i="2"/>
  <c r="B88" i="2"/>
  <c r="G87" i="2"/>
  <c r="D87" i="2"/>
  <c r="B87" i="2"/>
  <c r="G86" i="2"/>
  <c r="D86" i="2"/>
  <c r="B86" i="2"/>
  <c r="G85" i="2"/>
  <c r="D85" i="2"/>
  <c r="B85" i="2"/>
  <c r="E84" i="2"/>
  <c r="C84" i="2"/>
  <c r="G83" i="2"/>
  <c r="D83" i="2"/>
  <c r="B83" i="2"/>
  <c r="G82" i="2"/>
  <c r="D82" i="2"/>
  <c r="B82" i="2"/>
  <c r="E80" i="2"/>
  <c r="C80" i="2"/>
  <c r="E79" i="2"/>
  <c r="C79" i="2"/>
  <c r="E78" i="2"/>
  <c r="C78" i="2"/>
  <c r="G77" i="2"/>
  <c r="D77" i="2"/>
  <c r="B77" i="2"/>
  <c r="E76" i="2"/>
  <c r="C76" i="2"/>
  <c r="E75" i="2"/>
  <c r="C75" i="2"/>
  <c r="E74" i="2"/>
  <c r="C74" i="2"/>
  <c r="E73" i="2"/>
  <c r="C73" i="2"/>
  <c r="G72" i="2"/>
  <c r="D72" i="2"/>
  <c r="B72" i="2"/>
  <c r="E71" i="2"/>
  <c r="C71" i="2"/>
  <c r="E70" i="2"/>
  <c r="C70" i="2"/>
  <c r="G69" i="2"/>
  <c r="D69" i="2"/>
  <c r="B69" i="2"/>
  <c r="E68" i="2"/>
  <c r="C68" i="2"/>
  <c r="E66" i="2"/>
  <c r="C66" i="2"/>
  <c r="E64" i="2"/>
  <c r="C64" i="2"/>
  <c r="G63" i="2"/>
  <c r="D63" i="2"/>
  <c r="B63" i="2"/>
  <c r="I114" i="2"/>
  <c r="E114" i="2"/>
  <c r="C114" i="2"/>
  <c r="I113" i="2"/>
  <c r="E113" i="2"/>
  <c r="C113" i="2"/>
  <c r="I112" i="2"/>
  <c r="E93" i="2"/>
  <c r="C93" i="2"/>
  <c r="B68" i="2"/>
  <c r="G66" i="2"/>
  <c r="D66" i="2"/>
  <c r="B66" i="2"/>
  <c r="B64" i="2"/>
  <c r="E63" i="2"/>
  <c r="C63" i="2"/>
  <c r="G114" i="2"/>
  <c r="D114" i="2"/>
  <c r="B114" i="2"/>
  <c r="G113" i="2"/>
  <c r="D113" i="2"/>
  <c r="B113" i="2"/>
  <c r="G112" i="2"/>
  <c r="D112" i="2"/>
  <c r="E112" i="2"/>
  <c r="C112" i="2"/>
  <c r="I53" i="2"/>
  <c r="E53" i="2"/>
  <c r="C53" i="2"/>
  <c r="I111" i="2"/>
  <c r="E111" i="2"/>
  <c r="C111" i="2"/>
  <c r="I110" i="2"/>
  <c r="E110" i="2"/>
  <c r="C110" i="2"/>
  <c r="I108" i="2"/>
  <c r="E108" i="2"/>
  <c r="C108" i="2"/>
  <c r="I107" i="2"/>
  <c r="E107" i="2"/>
  <c r="C107" i="2"/>
  <c r="I106" i="2"/>
  <c r="E106" i="2"/>
  <c r="C106" i="2"/>
  <c r="E105" i="2"/>
  <c r="C105" i="2"/>
  <c r="F114" i="2"/>
  <c r="F53" i="2"/>
  <c r="F110" i="2"/>
  <c r="F108" i="2"/>
  <c r="F106" i="2"/>
  <c r="F105" i="2"/>
  <c r="F103" i="2"/>
  <c r="F101" i="2"/>
  <c r="F98" i="2"/>
  <c r="F94" i="2"/>
  <c r="F93" i="2"/>
  <c r="F90" i="2"/>
  <c r="F88" i="2"/>
  <c r="F87" i="2"/>
  <c r="F86" i="2"/>
  <c r="F85" i="2"/>
  <c r="F83" i="2"/>
  <c r="F82" i="2"/>
  <c r="F77" i="2"/>
  <c r="F72" i="2"/>
  <c r="F69" i="2"/>
  <c r="F63" i="2"/>
  <c r="B112" i="2"/>
  <c r="G53" i="2"/>
  <c r="D53" i="2"/>
  <c r="B53" i="2"/>
  <c r="G111" i="2"/>
  <c r="D111" i="2"/>
  <c r="B111" i="2"/>
  <c r="G110" i="2"/>
  <c r="D110" i="2"/>
  <c r="B110" i="2"/>
  <c r="G108" i="2"/>
  <c r="D108" i="2"/>
  <c r="B108" i="2"/>
  <c r="G107" i="2"/>
  <c r="D107" i="2"/>
  <c r="B107" i="2"/>
  <c r="G106" i="2"/>
  <c r="D106" i="2"/>
  <c r="B106" i="2"/>
  <c r="G105" i="2"/>
  <c r="D105" i="2"/>
  <c r="B105" i="2"/>
  <c r="B51" i="3"/>
  <c r="H3" i="3"/>
  <c r="H4" i="3"/>
  <c r="H5" i="3"/>
  <c r="H6" i="3"/>
  <c r="H7" i="3"/>
  <c r="H8" i="3"/>
  <c r="H9" i="3"/>
  <c r="H10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5" i="3"/>
  <c r="H46" i="3"/>
  <c r="H52" i="3"/>
  <c r="H47" i="3"/>
  <c r="H48" i="3"/>
  <c r="H50" i="3"/>
  <c r="H54" i="3"/>
  <c r="H55" i="3"/>
  <c r="H56" i="3"/>
  <c r="H57" i="3"/>
  <c r="H58" i="3"/>
  <c r="H59" i="3"/>
  <c r="H60" i="3"/>
  <c r="H61" i="3"/>
  <c r="H62" i="3"/>
  <c r="H63" i="3"/>
  <c r="H64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7" i="3"/>
  <c r="H98" i="3"/>
  <c r="H99" i="3"/>
  <c r="H101" i="3"/>
  <c r="H102" i="3"/>
  <c r="H103" i="3"/>
  <c r="H104" i="3"/>
  <c r="T3" i="2"/>
  <c r="T4" i="2"/>
  <c r="T5" i="2"/>
  <c r="T6" i="2"/>
  <c r="T7" i="2"/>
  <c r="T8" i="2"/>
  <c r="T9" i="2"/>
  <c r="T10" i="2"/>
  <c r="T11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40" i="2"/>
  <c r="T41" i="2"/>
  <c r="T42" i="2"/>
  <c r="T43" i="2"/>
  <c r="T44" i="2"/>
  <c r="T45" i="2"/>
  <c r="T46" i="2"/>
  <c r="T47" i="2"/>
  <c r="T48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6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10" i="2"/>
  <c r="T111" i="2"/>
  <c r="T112" i="2"/>
  <c r="W76" i="2" l="1"/>
  <c r="AD76" i="2" s="1"/>
  <c r="W84" i="2"/>
  <c r="AD84" i="2" s="1"/>
  <c r="V87" i="2"/>
  <c r="AC87" i="2" s="1"/>
  <c r="W79" i="2"/>
  <c r="AD79" i="2" s="1"/>
  <c r="V82" i="2"/>
  <c r="AC82" i="2" s="1"/>
  <c r="W89" i="2"/>
  <c r="AD89" i="2" s="1"/>
  <c r="Z61" i="2"/>
  <c r="AG61" i="2" s="1"/>
  <c r="AA50" i="2"/>
  <c r="AH50" i="2" s="1"/>
  <c r="Z60" i="2"/>
  <c r="AG60" i="2" s="1"/>
  <c r="V117" i="2"/>
  <c r="AC117" i="2" s="1"/>
  <c r="V58" i="2"/>
  <c r="AC58" i="2" s="1"/>
  <c r="V93" i="2"/>
  <c r="AC93" i="2" s="1"/>
  <c r="V103" i="2"/>
  <c r="AC103" i="2" s="1"/>
  <c r="AA59" i="2"/>
  <c r="AJ59" i="2" s="1"/>
  <c r="K58" i="1" s="1"/>
  <c r="AA44" i="2"/>
  <c r="AH44" i="2" s="1"/>
  <c r="Z115" i="2"/>
  <c r="AG115" i="2" s="1"/>
  <c r="Z52" i="2"/>
  <c r="AG52" i="2" s="1"/>
  <c r="W15" i="2"/>
  <c r="V48" i="2"/>
  <c r="AC48" i="2" s="1"/>
  <c r="AA33" i="2"/>
  <c r="AH33" i="2" s="1"/>
  <c r="Y42" i="2"/>
  <c r="AF42" i="2" s="1"/>
  <c r="AA80" i="2"/>
  <c r="V75" i="2"/>
  <c r="AC75" i="2" s="1"/>
  <c r="Z9" i="2"/>
  <c r="AG9" i="2" s="1"/>
  <c r="W7" i="2"/>
  <c r="AD7" i="2" s="1"/>
  <c r="X10" i="2"/>
  <c r="AE10" i="2" s="1"/>
  <c r="X17" i="2"/>
  <c r="AE17" i="2" s="1"/>
  <c r="AA30" i="2"/>
  <c r="AJ30" i="2" s="1"/>
  <c r="K29" i="1" s="1"/>
  <c r="W32" i="2"/>
  <c r="AD32" i="2" s="1"/>
  <c r="X34" i="2"/>
  <c r="AE34" i="2" s="1"/>
  <c r="Y37" i="2"/>
  <c r="AF37" i="2" s="1"/>
  <c r="X41" i="2"/>
  <c r="AE41" i="2" s="1"/>
  <c r="W43" i="2"/>
  <c r="AD43" i="2" s="1"/>
  <c r="W46" i="2"/>
  <c r="AD46" i="2" s="1"/>
  <c r="W54" i="2"/>
  <c r="AD54" i="2" s="1"/>
  <c r="V6" i="2"/>
  <c r="AC6" i="2" s="1"/>
  <c r="X25" i="2"/>
  <c r="AE25" i="2" s="1"/>
  <c r="W19" i="2"/>
  <c r="X35" i="2"/>
  <c r="AE35" i="2" s="1"/>
  <c r="Y38" i="2"/>
  <c r="AF38" i="2" s="1"/>
  <c r="AA78" i="2"/>
  <c r="AA92" i="2"/>
  <c r="X64" i="2"/>
  <c r="AE64" i="2" s="1"/>
  <c r="X71" i="2"/>
  <c r="AE71" i="2" s="1"/>
  <c r="AA8" i="2"/>
  <c r="W29" i="2"/>
  <c r="AD29" i="2" s="1"/>
  <c r="Y31" i="2"/>
  <c r="AF31" i="2" s="1"/>
  <c r="V36" i="2"/>
  <c r="AC36" i="2" s="1"/>
  <c r="W40" i="2"/>
  <c r="AD40" i="2" s="1"/>
  <c r="X45" i="2"/>
  <c r="AE45" i="2" s="1"/>
  <c r="AA55" i="2"/>
  <c r="AJ55" i="2" s="1"/>
  <c r="K54" i="1" s="1"/>
  <c r="W60" i="2"/>
  <c r="AD60" i="2" s="1"/>
  <c r="X62" i="2"/>
  <c r="AE62" i="2" s="1"/>
  <c r="Z56" i="2"/>
  <c r="AG56" i="2" s="1"/>
  <c r="AA24" i="2"/>
  <c r="AH24" i="2" s="1"/>
  <c r="V28" i="2"/>
  <c r="AC28" i="2" s="1"/>
  <c r="X52" i="2"/>
  <c r="AE52" i="2" s="1"/>
  <c r="X106" i="2"/>
  <c r="AE106" i="2" s="1"/>
  <c r="AA107" i="2"/>
  <c r="X110" i="2"/>
  <c r="AE110" i="2" s="1"/>
  <c r="X53" i="2"/>
  <c r="AE53" i="2" s="1"/>
  <c r="Z69" i="2"/>
  <c r="AG69" i="2" s="1"/>
  <c r="Z85" i="2"/>
  <c r="AG85" i="2" s="1"/>
  <c r="Z101" i="2"/>
  <c r="AG101" i="2" s="1"/>
  <c r="Y108" i="2"/>
  <c r="AF108" i="2" s="1"/>
  <c r="W112" i="2"/>
  <c r="X113" i="2"/>
  <c r="AE113" i="2" s="1"/>
  <c r="V114" i="2"/>
  <c r="AC114" i="2" s="1"/>
  <c r="Y63" i="2"/>
  <c r="AF63" i="2" s="1"/>
  <c r="V66" i="2"/>
  <c r="AC66" i="2" s="1"/>
  <c r="V68" i="2"/>
  <c r="AC68" i="2" s="1"/>
  <c r="W70" i="2"/>
  <c r="AD70" i="2" s="1"/>
  <c r="V72" i="2"/>
  <c r="AC72" i="2" s="1"/>
  <c r="Y73" i="2"/>
  <c r="AF73" i="2" s="1"/>
  <c r="W74" i="2"/>
  <c r="AD74" i="2" s="1"/>
  <c r="X77" i="2"/>
  <c r="AE77" i="2" s="1"/>
  <c r="AA83" i="2"/>
  <c r="V86" i="2"/>
  <c r="AC86" i="2" s="1"/>
  <c r="AA88" i="2"/>
  <c r="V90" i="2"/>
  <c r="AC90" i="2" s="1"/>
  <c r="Y91" i="2"/>
  <c r="AF91" i="2" s="1"/>
  <c r="AA94" i="2"/>
  <c r="AA95" i="2"/>
  <c r="AH95" i="2" s="1"/>
  <c r="X97" i="2"/>
  <c r="AE97" i="2" s="1"/>
  <c r="V98" i="2"/>
  <c r="AC98" i="2" s="1"/>
  <c r="Y99" i="2"/>
  <c r="AF99" i="2" s="1"/>
  <c r="W100" i="2"/>
  <c r="AD100" i="2" s="1"/>
  <c r="W104" i="2"/>
  <c r="AD104" i="2" s="1"/>
  <c r="Z27" i="2"/>
  <c r="AG27" i="2" s="1"/>
  <c r="Z4" i="2"/>
  <c r="AG4" i="2" s="1"/>
  <c r="Z16" i="2"/>
  <c r="Z47" i="2"/>
  <c r="AG47" i="2" s="1"/>
  <c r="Z102" i="2"/>
  <c r="AG102" i="2" s="1"/>
  <c r="V3" i="2"/>
  <c r="AC3" i="2" s="1"/>
  <c r="V11" i="2"/>
  <c r="AC11" i="2" s="1"/>
  <c r="V18" i="2"/>
  <c r="AC18" i="2" s="1"/>
  <c r="W20" i="2"/>
  <c r="AD20" i="2" s="1"/>
  <c r="AA21" i="2"/>
  <c r="AH21" i="2" s="1"/>
  <c r="X23" i="2"/>
  <c r="AE23" i="2" s="1"/>
  <c r="W116" i="2"/>
  <c r="AD116" i="2" s="1"/>
  <c r="X5" i="2"/>
  <c r="AE5" i="2" s="1"/>
  <c r="W14" i="2"/>
  <c r="AD14" i="2" s="1"/>
  <c r="Y68" i="2"/>
  <c r="AF68" i="2" s="1"/>
  <c r="Y83" i="2"/>
  <c r="AF83" i="2" s="1"/>
  <c r="Y88" i="2"/>
  <c r="AF88" i="2" s="1"/>
  <c r="X91" i="2"/>
  <c r="AE91" i="2" s="1"/>
  <c r="V108" i="2"/>
  <c r="AC108" i="2" s="1"/>
  <c r="W106" i="2"/>
  <c r="AD106" i="2" s="1"/>
  <c r="X114" i="2"/>
  <c r="AE114" i="2" s="1"/>
  <c r="X66" i="2"/>
  <c r="AE66" i="2" s="1"/>
  <c r="X72" i="2"/>
  <c r="AE72" i="2" s="1"/>
  <c r="Y74" i="2"/>
  <c r="AF74" i="2" s="1"/>
  <c r="X90" i="2"/>
  <c r="AE90" i="2" s="1"/>
  <c r="Y100" i="2"/>
  <c r="AF100" i="2" s="1"/>
  <c r="Y77" i="2"/>
  <c r="AF77" i="2" s="1"/>
  <c r="V84" i="2"/>
  <c r="AC84" i="2" s="1"/>
  <c r="W86" i="2"/>
  <c r="AD86" i="2" s="1"/>
  <c r="Z87" i="2"/>
  <c r="AG87" i="2" s="1"/>
  <c r="Z93" i="2"/>
  <c r="AG93" i="2" s="1"/>
  <c r="Y106" i="2"/>
  <c r="AF106" i="2" s="1"/>
  <c r="X112" i="2"/>
  <c r="V64" i="2"/>
  <c r="AC64" i="2" s="1"/>
  <c r="AA72" i="2"/>
  <c r="W75" i="2"/>
  <c r="AD75" i="2" s="1"/>
  <c r="W78" i="2"/>
  <c r="AD78" i="2" s="1"/>
  <c r="Y84" i="2"/>
  <c r="AF84" i="2" s="1"/>
  <c r="AA86" i="2"/>
  <c r="V88" i="2"/>
  <c r="AC88" i="2" s="1"/>
  <c r="AA90" i="2"/>
  <c r="W92" i="2"/>
  <c r="AD92" i="2" s="1"/>
  <c r="X93" i="2"/>
  <c r="AE93" i="2" s="1"/>
  <c r="V94" i="2"/>
  <c r="AC94" i="2" s="1"/>
  <c r="V99" i="2"/>
  <c r="AC99" i="2" s="1"/>
  <c r="AA104" i="2"/>
  <c r="Y95" i="2"/>
  <c r="AF95" i="2" s="1"/>
  <c r="W97" i="2"/>
  <c r="AD97" i="2" s="1"/>
  <c r="AA98" i="2"/>
  <c r="V101" i="2"/>
  <c r="AC101" i="2" s="1"/>
  <c r="W102" i="2"/>
  <c r="AD102" i="2" s="1"/>
  <c r="X103" i="2"/>
  <c r="AE103" i="2" s="1"/>
  <c r="Z110" i="2"/>
  <c r="AG110" i="2" s="1"/>
  <c r="W107" i="2"/>
  <c r="AD107" i="2" s="1"/>
  <c r="AA63" i="2"/>
  <c r="Y66" i="2"/>
  <c r="AF66" i="2" s="1"/>
  <c r="X85" i="2"/>
  <c r="AE85" i="2" s="1"/>
  <c r="W101" i="2"/>
  <c r="AD101" i="2" s="1"/>
  <c r="AA101" i="2"/>
  <c r="W77" i="2"/>
  <c r="AD77" i="2" s="1"/>
  <c r="W85" i="2"/>
  <c r="AD85" i="2" s="1"/>
  <c r="AA106" i="2"/>
  <c r="AA110" i="2"/>
  <c r="AA53" i="2"/>
  <c r="Z72" i="2"/>
  <c r="AG72" i="2" s="1"/>
  <c r="Z86" i="2"/>
  <c r="AG86" i="2" s="1"/>
  <c r="Z90" i="2"/>
  <c r="AG90" i="2" s="1"/>
  <c r="Z114" i="2"/>
  <c r="AG114" i="2" s="1"/>
  <c r="Y107" i="2"/>
  <c r="AF107" i="2" s="1"/>
  <c r="W110" i="2"/>
  <c r="AD110" i="2" s="1"/>
  <c r="W53" i="2"/>
  <c r="AD53" i="2" s="1"/>
  <c r="Y112" i="2"/>
  <c r="AA113" i="2"/>
  <c r="V69" i="2"/>
  <c r="AC69" i="2" s="1"/>
  <c r="Y70" i="2"/>
  <c r="AF70" i="2" s="1"/>
  <c r="AA77" i="2"/>
  <c r="AA85" i="2"/>
  <c r="X86" i="2"/>
  <c r="AE86" i="2" s="1"/>
  <c r="Y98" i="2"/>
  <c r="AF98" i="2" s="1"/>
  <c r="X104" i="2"/>
  <c r="AE104" i="2" s="1"/>
  <c r="W95" i="2"/>
  <c r="AD95" i="2" s="1"/>
  <c r="X98" i="2"/>
  <c r="AE98" i="2" s="1"/>
  <c r="Y104" i="2"/>
  <c r="AF104" i="2" s="1"/>
  <c r="V76" i="2"/>
  <c r="AC76" i="2" s="1"/>
  <c r="V79" i="2"/>
  <c r="AC79" i="2" s="1"/>
  <c r="Y85" i="2"/>
  <c r="V89" i="2"/>
  <c r="AC89" i="2" s="1"/>
  <c r="W90" i="2"/>
  <c r="AD90" i="2" s="1"/>
  <c r="V107" i="2"/>
  <c r="AC107" i="2" s="1"/>
  <c r="X108" i="2"/>
  <c r="AE108" i="2" s="1"/>
  <c r="V112" i="2"/>
  <c r="Z77" i="2"/>
  <c r="AG77" i="2" s="1"/>
  <c r="Z82" i="2"/>
  <c r="AG82" i="2" s="1"/>
  <c r="Z98" i="2"/>
  <c r="Z106" i="2"/>
  <c r="AG106" i="2" s="1"/>
  <c r="Z53" i="2"/>
  <c r="AG53" i="2" s="1"/>
  <c r="Y110" i="2"/>
  <c r="AF110" i="2" s="1"/>
  <c r="Y53" i="2"/>
  <c r="AF53" i="2" s="1"/>
  <c r="AA114" i="2"/>
  <c r="AA66" i="2"/>
  <c r="W93" i="2"/>
  <c r="AD93" i="2" s="1"/>
  <c r="W113" i="2"/>
  <c r="V63" i="2"/>
  <c r="AC63" i="2" s="1"/>
  <c r="W64" i="2"/>
  <c r="AD64" i="2" s="1"/>
  <c r="X69" i="2"/>
  <c r="AE69" i="2" s="1"/>
  <c r="W71" i="2"/>
  <c r="AD71" i="2" s="1"/>
  <c r="Y76" i="2"/>
  <c r="AF76" i="2" s="1"/>
  <c r="Y79" i="2"/>
  <c r="AF79" i="2" s="1"/>
  <c r="W80" i="2"/>
  <c r="AD80" i="2" s="1"/>
  <c r="X82" i="2"/>
  <c r="AE82" i="2" s="1"/>
  <c r="V83" i="2"/>
  <c r="AC83" i="2" s="1"/>
  <c r="X87" i="2"/>
  <c r="AE87" i="2" s="1"/>
  <c r="Y89" i="2"/>
  <c r="AF89" i="2" s="1"/>
  <c r="V106" i="2"/>
  <c r="AC106" i="2" s="1"/>
  <c r="X107" i="2"/>
  <c r="AE107" i="2" s="1"/>
  <c r="AA108" i="2"/>
  <c r="V110" i="2"/>
  <c r="AC110" i="2" s="1"/>
  <c r="V53" i="2"/>
  <c r="AC53" i="2" s="1"/>
  <c r="Z63" i="2"/>
  <c r="AG63" i="2" s="1"/>
  <c r="Z83" i="2"/>
  <c r="AG83" i="2" s="1"/>
  <c r="Z88" i="2"/>
  <c r="AG88" i="2" s="1"/>
  <c r="Z94" i="2"/>
  <c r="AG94" i="2" s="1"/>
  <c r="Z103" i="2"/>
  <c r="AG103" i="2" s="1"/>
  <c r="Z108" i="2"/>
  <c r="AG108" i="2" s="1"/>
  <c r="W108" i="2"/>
  <c r="AD108" i="2" s="1"/>
  <c r="AA76" i="2"/>
  <c r="X78" i="2"/>
  <c r="AE78" i="2" s="1"/>
  <c r="AA79" i="2"/>
  <c r="X80" i="2"/>
  <c r="AE80" i="2" s="1"/>
  <c r="Y82" i="2"/>
  <c r="AF82" i="2" s="1"/>
  <c r="W83" i="2"/>
  <c r="AD83" i="2" s="1"/>
  <c r="AA84" i="2"/>
  <c r="Y87" i="2"/>
  <c r="AF87" i="2" s="1"/>
  <c r="W88" i="2"/>
  <c r="AD88" i="2" s="1"/>
  <c r="AA89" i="2"/>
  <c r="V91" i="2"/>
  <c r="AC91" i="2" s="1"/>
  <c r="X92" i="2"/>
  <c r="AE92" i="2" s="1"/>
  <c r="Y114" i="2"/>
  <c r="AF114" i="2" s="1"/>
  <c r="Y94" i="2"/>
  <c r="AF94" i="2" s="1"/>
  <c r="W98" i="2"/>
  <c r="AD98" i="2" s="1"/>
  <c r="X68" i="2"/>
  <c r="AE68" i="2" s="1"/>
  <c r="V70" i="2"/>
  <c r="AC70" i="2" s="1"/>
  <c r="V73" i="2"/>
  <c r="AC73" i="2" s="1"/>
  <c r="AA117" i="2"/>
  <c r="Y117" i="2"/>
  <c r="AF117" i="2" s="1"/>
  <c r="Z22" i="2"/>
  <c r="AG22" i="2" s="1"/>
  <c r="Z57" i="2"/>
  <c r="AG57" i="2" s="1"/>
  <c r="Z75" i="2"/>
  <c r="AG75" i="2" s="1"/>
  <c r="Z78" i="2"/>
  <c r="AG78" i="2" s="1"/>
  <c r="Z91" i="2"/>
  <c r="AG91" i="2" s="1"/>
  <c r="Z97" i="2"/>
  <c r="AG97" i="2" s="1"/>
  <c r="X27" i="2"/>
  <c r="AE27" i="2" s="1"/>
  <c r="Z10" i="2"/>
  <c r="AG10" i="2" s="1"/>
  <c r="Z17" i="2"/>
  <c r="AG17" i="2" s="1"/>
  <c r="Z23" i="2"/>
  <c r="AG23" i="2" s="1"/>
  <c r="Z28" i="2"/>
  <c r="AG28" i="2" s="1"/>
  <c r="Z32" i="2"/>
  <c r="AG32" i="2" s="1"/>
  <c r="Z40" i="2"/>
  <c r="AG40" i="2" s="1"/>
  <c r="Z43" i="2"/>
  <c r="AG43" i="2" s="1"/>
  <c r="Z62" i="2"/>
  <c r="AG62" i="2" s="1"/>
  <c r="Y3" i="2"/>
  <c r="AF3" i="2" s="1"/>
  <c r="W4" i="2"/>
  <c r="AD4" i="2" s="1"/>
  <c r="AA7" i="2"/>
  <c r="AJ7" i="2" s="1"/>
  <c r="K6" i="1" s="1"/>
  <c r="X9" i="2"/>
  <c r="AE9" i="2" s="1"/>
  <c r="Y11" i="2"/>
  <c r="AF11" i="2" s="1"/>
  <c r="AA15" i="2"/>
  <c r="X16" i="2"/>
  <c r="AE16" i="2" s="1"/>
  <c r="Y18" i="2"/>
  <c r="AF18" i="2" s="1"/>
  <c r="AA20" i="2"/>
  <c r="X22" i="2"/>
  <c r="AE22" i="2" s="1"/>
  <c r="V26" i="2"/>
  <c r="AC26" i="2" s="1"/>
  <c r="Y26" i="2"/>
  <c r="AF26" i="2" s="1"/>
  <c r="Y28" i="2"/>
  <c r="AF28" i="2" s="1"/>
  <c r="W30" i="2"/>
  <c r="AD30" i="2" s="1"/>
  <c r="V31" i="2"/>
  <c r="AC31" i="2" s="1"/>
  <c r="V37" i="2"/>
  <c r="AC37" i="2" s="1"/>
  <c r="AA47" i="2"/>
  <c r="AJ47" i="2" s="1"/>
  <c r="K46" i="1" s="1"/>
  <c r="V54" i="2"/>
  <c r="AC54" i="2" s="1"/>
  <c r="Y55" i="2"/>
  <c r="AF55" i="2" s="1"/>
  <c r="AA57" i="2"/>
  <c r="AH57" i="2" s="1"/>
  <c r="V60" i="2"/>
  <c r="AC60" i="2" s="1"/>
  <c r="W62" i="2"/>
  <c r="AD62" i="2" s="1"/>
  <c r="AA91" i="2"/>
  <c r="V95" i="2"/>
  <c r="AC95" i="2" s="1"/>
  <c r="X99" i="2"/>
  <c r="AE99" i="2" s="1"/>
  <c r="V100" i="2"/>
  <c r="AC100" i="2" s="1"/>
  <c r="V102" i="2"/>
  <c r="AC102" i="2" s="1"/>
  <c r="W103" i="2"/>
  <c r="AD103" i="2" s="1"/>
  <c r="AA64" i="2"/>
  <c r="AA68" i="2"/>
  <c r="X70" i="2"/>
  <c r="AE70" i="2" s="1"/>
  <c r="AA71" i="2"/>
  <c r="X73" i="2"/>
  <c r="AE73" i="2" s="1"/>
  <c r="V74" i="2"/>
  <c r="AC74" i="2" s="1"/>
  <c r="X75" i="2"/>
  <c r="AE75" i="2" s="1"/>
  <c r="Z68" i="2"/>
  <c r="AG68" i="2" s="1"/>
  <c r="V115" i="2"/>
  <c r="AC115" i="2" s="1"/>
  <c r="AA115" i="2"/>
  <c r="Y115" i="2"/>
  <c r="AF115" i="2" s="1"/>
  <c r="Z71" i="2"/>
  <c r="AG71" i="2" s="1"/>
  <c r="X6" i="2"/>
  <c r="AE6" i="2" s="1"/>
  <c r="Z34" i="2"/>
  <c r="AG34" i="2" s="1"/>
  <c r="Z41" i="2"/>
  <c r="AG41" i="2" s="1"/>
  <c r="Z45" i="2"/>
  <c r="AG45" i="2" s="1"/>
  <c r="Z99" i="2"/>
  <c r="AG99" i="2" s="1"/>
  <c r="Z107" i="2"/>
  <c r="AG107" i="2" s="1"/>
  <c r="Z112" i="2"/>
  <c r="V116" i="2"/>
  <c r="AC116" i="2" s="1"/>
  <c r="X3" i="2"/>
  <c r="AE3" i="2" s="1"/>
  <c r="V4" i="2"/>
  <c r="W5" i="2"/>
  <c r="AD5" i="2" s="1"/>
  <c r="Y7" i="2"/>
  <c r="AF7" i="2" s="1"/>
  <c r="W9" i="2"/>
  <c r="AD9" i="2" s="1"/>
  <c r="AA10" i="2"/>
  <c r="X11" i="2"/>
  <c r="AE11" i="2" s="1"/>
  <c r="V14" i="2"/>
  <c r="AC14" i="2" s="1"/>
  <c r="Y15" i="2"/>
  <c r="AF15" i="2" s="1"/>
  <c r="W16" i="2"/>
  <c r="AD16" i="2" s="1"/>
  <c r="AA17" i="2"/>
  <c r="AJ17" i="2" s="1"/>
  <c r="K16" i="1" s="1"/>
  <c r="X18" i="2"/>
  <c r="AE18" i="2" s="1"/>
  <c r="V19" i="2"/>
  <c r="AC19" i="2" s="1"/>
  <c r="Y20" i="2"/>
  <c r="AF20" i="2" s="1"/>
  <c r="W22" i="2"/>
  <c r="AD22" i="2" s="1"/>
  <c r="AA25" i="2"/>
  <c r="AJ25" i="2" s="1"/>
  <c r="K24" i="1" s="1"/>
  <c r="X28" i="2"/>
  <c r="AE28" i="2" s="1"/>
  <c r="Y29" i="2"/>
  <c r="AF29" i="2" s="1"/>
  <c r="Y32" i="2"/>
  <c r="AF32" i="2" s="1"/>
  <c r="W33" i="2"/>
  <c r="AD33" i="2" s="1"/>
  <c r="AA34" i="2"/>
  <c r="X36" i="2"/>
  <c r="AE36" i="2" s="1"/>
  <c r="V38" i="2"/>
  <c r="AC38" i="2" s="1"/>
  <c r="Y40" i="2"/>
  <c r="AF40" i="2" s="1"/>
  <c r="AA41" i="2"/>
  <c r="AJ41" i="2" s="1"/>
  <c r="K40" i="1" s="1"/>
  <c r="V42" i="2"/>
  <c r="AC42" i="2" s="1"/>
  <c r="Y43" i="2"/>
  <c r="AF43" i="2" s="1"/>
  <c r="W44" i="2"/>
  <c r="AD44" i="2" s="1"/>
  <c r="AA45" i="2"/>
  <c r="AJ45" i="2" s="1"/>
  <c r="K44" i="1" s="1"/>
  <c r="Y46" i="2"/>
  <c r="AF46" i="2" s="1"/>
  <c r="W52" i="2"/>
  <c r="AD52" i="2" s="1"/>
  <c r="X48" i="2"/>
  <c r="AE48" i="2" s="1"/>
  <c r="V50" i="2"/>
  <c r="AC50" i="2" s="1"/>
  <c r="Y54" i="2"/>
  <c r="AF54" i="2" s="1"/>
  <c r="W56" i="2"/>
  <c r="AD56" i="2" s="1"/>
  <c r="X58" i="2"/>
  <c r="AE58" i="2" s="1"/>
  <c r="V59" i="2"/>
  <c r="AC59" i="2" s="1"/>
  <c r="Y60" i="2"/>
  <c r="AF60" i="2" s="1"/>
  <c r="W61" i="2"/>
  <c r="AD61" i="2" s="1"/>
  <c r="AA62" i="2"/>
  <c r="Y23" i="2"/>
  <c r="AF23" i="2" s="1"/>
  <c r="Z5" i="2"/>
  <c r="AG5" i="2" s="1"/>
  <c r="Z11" i="2"/>
  <c r="AG11" i="2" s="1"/>
  <c r="Z18" i="2"/>
  <c r="AG18" i="2" s="1"/>
  <c r="Z33" i="2"/>
  <c r="AG33" i="2" s="1"/>
  <c r="Z44" i="2"/>
  <c r="AG44" i="2" s="1"/>
  <c r="Z48" i="2"/>
  <c r="AG48" i="2" s="1"/>
  <c r="Z58" i="2"/>
  <c r="AG58" i="2" s="1"/>
  <c r="Z116" i="2"/>
  <c r="AG116" i="2" s="1"/>
  <c r="Y116" i="2"/>
  <c r="AF116" i="2" s="1"/>
  <c r="Y4" i="2"/>
  <c r="AF4" i="2" s="1"/>
  <c r="AA5" i="2"/>
  <c r="AJ5" i="2" s="1"/>
  <c r="K4" i="1" s="1"/>
  <c r="Y6" i="2"/>
  <c r="AF6" i="2" s="1"/>
  <c r="W8" i="2"/>
  <c r="AD8" i="2" s="1"/>
  <c r="AA9" i="2"/>
  <c r="Y14" i="2"/>
  <c r="AF14" i="2" s="1"/>
  <c r="AA16" i="2"/>
  <c r="Y19" i="2"/>
  <c r="AF19" i="2" s="1"/>
  <c r="W21" i="2"/>
  <c r="AD21" i="2" s="1"/>
  <c r="AA22" i="2"/>
  <c r="W24" i="2"/>
  <c r="AD24" i="2" s="1"/>
  <c r="X26" i="2"/>
  <c r="AE26" i="2" s="1"/>
  <c r="W27" i="2"/>
  <c r="AD27" i="2" s="1"/>
  <c r="Y30" i="2"/>
  <c r="AF30" i="2" s="1"/>
  <c r="X31" i="2"/>
  <c r="AE31" i="2" s="1"/>
  <c r="V32" i="2"/>
  <c r="AC32" i="2" s="1"/>
  <c r="W34" i="2"/>
  <c r="AD34" i="2" s="1"/>
  <c r="AA35" i="2"/>
  <c r="AH35" i="2" s="1"/>
  <c r="X37" i="2"/>
  <c r="AE37" i="2" s="1"/>
  <c r="V40" i="2"/>
  <c r="AC40" i="2" s="1"/>
  <c r="W41" i="2"/>
  <c r="AD41" i="2" s="1"/>
  <c r="V43" i="2"/>
  <c r="AC43" i="2" s="1"/>
  <c r="W45" i="2"/>
  <c r="AD45" i="2" s="1"/>
  <c r="V46" i="2"/>
  <c r="AC46" i="2" s="1"/>
  <c r="W48" i="2"/>
  <c r="AD48" i="2" s="1"/>
  <c r="X54" i="2"/>
  <c r="AE54" i="2" s="1"/>
  <c r="V56" i="2"/>
  <c r="AC56" i="2" s="1"/>
  <c r="W58" i="2"/>
  <c r="AD58" i="2" s="1"/>
  <c r="X60" i="2"/>
  <c r="AE60" i="2" s="1"/>
  <c r="V61" i="2"/>
  <c r="AC61" i="2" s="1"/>
  <c r="Y62" i="2"/>
  <c r="AF62" i="2" s="1"/>
  <c r="AA112" i="2"/>
  <c r="V113" i="2"/>
  <c r="AC113" i="2" s="1"/>
  <c r="W63" i="2"/>
  <c r="AD63" i="2" s="1"/>
  <c r="Y93" i="2"/>
  <c r="AF93" i="2" s="1"/>
  <c r="Y113" i="2"/>
  <c r="W114" i="2"/>
  <c r="AD114" i="2" s="1"/>
  <c r="X63" i="2"/>
  <c r="AE63" i="2" s="1"/>
  <c r="Y64" i="2"/>
  <c r="AF64" i="2" s="1"/>
  <c r="W66" i="2"/>
  <c r="AD66" i="2" s="1"/>
  <c r="W68" i="2"/>
  <c r="AD68" i="2" s="1"/>
  <c r="AA69" i="2"/>
  <c r="Y71" i="2"/>
  <c r="AF71" i="2" s="1"/>
  <c r="W73" i="2"/>
  <c r="Y75" i="2"/>
  <c r="AF75" i="2" s="1"/>
  <c r="V77" i="2"/>
  <c r="AC77" i="2" s="1"/>
  <c r="Y78" i="2"/>
  <c r="AF78" i="2" s="1"/>
  <c r="Y80" i="2"/>
  <c r="AF80" i="2" s="1"/>
  <c r="AA82" i="2"/>
  <c r="X83" i="2"/>
  <c r="AE83" i="2" s="1"/>
  <c r="V85" i="2"/>
  <c r="AC85" i="2" s="1"/>
  <c r="AA87" i="2"/>
  <c r="X88" i="2"/>
  <c r="AE88" i="2" s="1"/>
  <c r="W91" i="2"/>
  <c r="AD91" i="2" s="1"/>
  <c r="Y92" i="2"/>
  <c r="AF92" i="2" s="1"/>
  <c r="AA93" i="2"/>
  <c r="X94" i="2"/>
  <c r="AE94" i="2" s="1"/>
  <c r="V97" i="2"/>
  <c r="AC97" i="2" s="1"/>
  <c r="AA100" i="2"/>
  <c r="AJ100" i="2" s="1"/>
  <c r="K99" i="1" s="1"/>
  <c r="Y97" i="2"/>
  <c r="AF97" i="2" s="1"/>
  <c r="W99" i="2"/>
  <c r="AD99" i="2" s="1"/>
  <c r="X101" i="2"/>
  <c r="AE101" i="2" s="1"/>
  <c r="Y102" i="2"/>
  <c r="AF102" i="2" s="1"/>
  <c r="AA103" i="2"/>
  <c r="X76" i="2"/>
  <c r="AE76" i="2" s="1"/>
  <c r="V78" i="2"/>
  <c r="AC78" i="2" s="1"/>
  <c r="X79" i="2"/>
  <c r="AE79" i="2" s="1"/>
  <c r="V80" i="2"/>
  <c r="AC80" i="2" s="1"/>
  <c r="W82" i="2"/>
  <c r="AD82" i="2" s="1"/>
  <c r="X84" i="2"/>
  <c r="AE84" i="2" s="1"/>
  <c r="Y86" i="2"/>
  <c r="AF86" i="2" s="1"/>
  <c r="W87" i="2"/>
  <c r="AD87" i="2" s="1"/>
  <c r="X89" i="2"/>
  <c r="AE89" i="2" s="1"/>
  <c r="Y90" i="2"/>
  <c r="AF90" i="2" s="1"/>
  <c r="V92" i="2"/>
  <c r="AC92" i="2" s="1"/>
  <c r="X95" i="2"/>
  <c r="AA99" i="2"/>
  <c r="X100" i="2"/>
  <c r="AE100" i="2" s="1"/>
  <c r="X102" i="2"/>
  <c r="AE102" i="2" s="1"/>
  <c r="Y103" i="2"/>
  <c r="AF103" i="2" s="1"/>
  <c r="W69" i="2"/>
  <c r="AD69" i="2" s="1"/>
  <c r="AA70" i="2"/>
  <c r="W72" i="2"/>
  <c r="AD72" i="2" s="1"/>
  <c r="AA73" i="2"/>
  <c r="X74" i="2"/>
  <c r="AE74" i="2" s="1"/>
  <c r="AA75" i="2"/>
  <c r="Z64" i="2"/>
  <c r="AG64" i="2" s="1"/>
  <c r="Z117" i="2"/>
  <c r="AG117" i="2" s="1"/>
  <c r="X117" i="2"/>
  <c r="AE117" i="2" s="1"/>
  <c r="W117" i="2"/>
  <c r="AD117" i="2" s="1"/>
  <c r="Z73" i="2"/>
  <c r="AG73" i="2" s="1"/>
  <c r="Z3" i="2"/>
  <c r="AG3" i="2" s="1"/>
  <c r="Z24" i="2"/>
  <c r="AG24" i="2" s="1"/>
  <c r="Z29" i="2"/>
  <c r="AG29" i="2" s="1"/>
  <c r="Z36" i="2"/>
  <c r="AG36" i="2" s="1"/>
  <c r="Z46" i="2"/>
  <c r="AG46" i="2" s="1"/>
  <c r="Z54" i="2"/>
  <c r="AG54" i="2" s="1"/>
  <c r="Z79" i="2"/>
  <c r="AG79" i="2" s="1"/>
  <c r="Z84" i="2"/>
  <c r="AG84" i="2" s="1"/>
  <c r="Z89" i="2"/>
  <c r="AG89" i="2" s="1"/>
  <c r="Z100" i="2"/>
  <c r="AG100" i="2" s="1"/>
  <c r="Z104" i="2"/>
  <c r="AG104" i="2" s="1"/>
  <c r="Z113" i="2"/>
  <c r="AG113" i="2" s="1"/>
  <c r="X116" i="2"/>
  <c r="AE116" i="2" s="1"/>
  <c r="AA3" i="2"/>
  <c r="X4" i="2"/>
  <c r="AE4" i="2" s="1"/>
  <c r="Y5" i="2"/>
  <c r="AF5" i="2" s="1"/>
  <c r="W6" i="2"/>
  <c r="AD6" i="2" s="1"/>
  <c r="V8" i="2"/>
  <c r="AC8" i="2" s="1"/>
  <c r="Y9" i="2"/>
  <c r="AF9" i="2" s="1"/>
  <c r="AA11" i="2"/>
  <c r="X14" i="2"/>
  <c r="AE14" i="2" s="1"/>
  <c r="Y16" i="2"/>
  <c r="AF16" i="2" s="1"/>
  <c r="AA18" i="2"/>
  <c r="AH18" i="2" s="1"/>
  <c r="X19" i="2"/>
  <c r="AE19" i="2" s="1"/>
  <c r="V21" i="2"/>
  <c r="AC21" i="2" s="1"/>
  <c r="Y22" i="2"/>
  <c r="AF22" i="2" s="1"/>
  <c r="V24" i="2"/>
  <c r="AC24" i="2" s="1"/>
  <c r="W26" i="2"/>
  <c r="AD26" i="2" s="1"/>
  <c r="V27" i="2"/>
  <c r="AC27" i="2" s="1"/>
  <c r="AA28" i="2"/>
  <c r="AJ28" i="2" s="1"/>
  <c r="K27" i="1" s="1"/>
  <c r="V30" i="2"/>
  <c r="AC30" i="2" s="1"/>
  <c r="Y33" i="2"/>
  <c r="AF33" i="2" s="1"/>
  <c r="W35" i="2"/>
  <c r="AD35" i="2" s="1"/>
  <c r="AA36" i="2"/>
  <c r="AJ36" i="2" s="1"/>
  <c r="K35" i="1" s="1"/>
  <c r="X38" i="2"/>
  <c r="AE38" i="2" s="1"/>
  <c r="X42" i="2"/>
  <c r="AE42" i="2" s="1"/>
  <c r="Y44" i="2"/>
  <c r="AF44" i="2" s="1"/>
  <c r="Y52" i="2"/>
  <c r="AF52" i="2" s="1"/>
  <c r="W47" i="2"/>
  <c r="AD47" i="2" s="1"/>
  <c r="AA48" i="2"/>
  <c r="AH48" i="2" s="1"/>
  <c r="X50" i="2"/>
  <c r="AE50" i="2" s="1"/>
  <c r="V55" i="2"/>
  <c r="AC55" i="2" s="1"/>
  <c r="Y56" i="2"/>
  <c r="AF56" i="2" s="1"/>
  <c r="W57" i="2"/>
  <c r="AD57" i="2" s="1"/>
  <c r="AA58" i="2"/>
  <c r="AJ58" i="2" s="1"/>
  <c r="K57" i="1" s="1"/>
  <c r="X59" i="2"/>
  <c r="AE59" i="2" s="1"/>
  <c r="Y61" i="2"/>
  <c r="AF61" i="2" s="1"/>
  <c r="Z6" i="2"/>
  <c r="AG6" i="2" s="1"/>
  <c r="Z14" i="2"/>
  <c r="AG14" i="2" s="1"/>
  <c r="Z19" i="2"/>
  <c r="AG19" i="2" s="1"/>
  <c r="Z30" i="2"/>
  <c r="AG30" i="2" s="1"/>
  <c r="Z35" i="2"/>
  <c r="AG35" i="2" s="1"/>
  <c r="Z50" i="2"/>
  <c r="AG50" i="2" s="1"/>
  <c r="Z59" i="2"/>
  <c r="AG59" i="2" s="1"/>
  <c r="V7" i="2"/>
  <c r="AC7" i="2" s="1"/>
  <c r="Y8" i="2"/>
  <c r="AF8" i="2" s="1"/>
  <c r="W10" i="2"/>
  <c r="AD10" i="2" s="1"/>
  <c r="V15" i="2"/>
  <c r="AC15" i="2" s="1"/>
  <c r="W17" i="2"/>
  <c r="AD17" i="2" s="1"/>
  <c r="V20" i="2"/>
  <c r="AC20" i="2" s="1"/>
  <c r="Y21" i="2"/>
  <c r="AF21" i="2" s="1"/>
  <c r="W23" i="2"/>
  <c r="AD23" i="2" s="1"/>
  <c r="Y24" i="2"/>
  <c r="AF24" i="2" s="1"/>
  <c r="W25" i="2"/>
  <c r="AD25" i="2" s="1"/>
  <c r="AA27" i="2"/>
  <c r="AH27" i="2" s="1"/>
  <c r="V29" i="2"/>
  <c r="AC29" i="2" s="1"/>
  <c r="AA31" i="2"/>
  <c r="AJ31" i="2" s="1"/>
  <c r="K30" i="1" s="1"/>
  <c r="X32" i="2"/>
  <c r="AE32" i="2" s="1"/>
  <c r="V33" i="2"/>
  <c r="AC33" i="2" s="1"/>
  <c r="Y34" i="2"/>
  <c r="AF34" i="2" s="1"/>
  <c r="W36" i="2"/>
  <c r="AD36" i="2" s="1"/>
  <c r="AA37" i="2"/>
  <c r="AH37" i="2" s="1"/>
  <c r="X40" i="2"/>
  <c r="AE40" i="2" s="1"/>
  <c r="Y41" i="2"/>
  <c r="AF41" i="2" s="1"/>
  <c r="X43" i="2"/>
  <c r="AE43" i="2" s="1"/>
  <c r="V44" i="2"/>
  <c r="AC44" i="2" s="1"/>
  <c r="Y45" i="2"/>
  <c r="AF45" i="2" s="1"/>
  <c r="X46" i="2"/>
  <c r="AE46" i="2" s="1"/>
  <c r="V52" i="2"/>
  <c r="AC52" i="2" s="1"/>
  <c r="V47" i="2"/>
  <c r="AC47" i="2" s="1"/>
  <c r="Y48" i="2"/>
  <c r="AF48" i="2" s="1"/>
  <c r="W50" i="2"/>
  <c r="AD50" i="2" s="1"/>
  <c r="AA54" i="2"/>
  <c r="X56" i="2"/>
  <c r="AE56" i="2" s="1"/>
  <c r="V57" i="2"/>
  <c r="AC57" i="2" s="1"/>
  <c r="Y58" i="2"/>
  <c r="AF58" i="2" s="1"/>
  <c r="W59" i="2"/>
  <c r="AD59" i="2" s="1"/>
  <c r="AA60" i="2"/>
  <c r="X61" i="2"/>
  <c r="AE61" i="2" s="1"/>
  <c r="X29" i="2"/>
  <c r="AE29" i="2" s="1"/>
  <c r="W94" i="2"/>
  <c r="AD94" i="2" s="1"/>
  <c r="AA97" i="2"/>
  <c r="Y101" i="2"/>
  <c r="AF101" i="2" s="1"/>
  <c r="AA102" i="2"/>
  <c r="V104" i="2"/>
  <c r="AC104" i="2" s="1"/>
  <c r="Y69" i="2"/>
  <c r="AF69" i="2" s="1"/>
  <c r="V71" i="2"/>
  <c r="AC71" i="2" s="1"/>
  <c r="Y72" i="2"/>
  <c r="AF72" i="2" s="1"/>
  <c r="AA74" i="2"/>
  <c r="Z66" i="2"/>
  <c r="AG66" i="2" s="1"/>
  <c r="X115" i="2"/>
  <c r="AE115" i="2" s="1"/>
  <c r="W115" i="2"/>
  <c r="AD115" i="2" s="1"/>
  <c r="Z74" i="2"/>
  <c r="AG74" i="2" s="1"/>
  <c r="Z7" i="2"/>
  <c r="AG7" i="2" s="1"/>
  <c r="Z15" i="2"/>
  <c r="AG15" i="2" s="1"/>
  <c r="Z20" i="2"/>
  <c r="AG20" i="2" s="1"/>
  <c r="Z25" i="2"/>
  <c r="AG25" i="2" s="1"/>
  <c r="Z38" i="2"/>
  <c r="AG38" i="2" s="1"/>
  <c r="Z42" i="2"/>
  <c r="AG42" i="2" s="1"/>
  <c r="Z70" i="2"/>
  <c r="AG70" i="2" s="1"/>
  <c r="Z76" i="2"/>
  <c r="AG76" i="2" s="1"/>
  <c r="Z80" i="2"/>
  <c r="AG80" i="2" s="1"/>
  <c r="Z92" i="2"/>
  <c r="AG92" i="2" s="1"/>
  <c r="Z95" i="2"/>
  <c r="AG95" i="2" s="1"/>
  <c r="AA116" i="2"/>
  <c r="AA4" i="2"/>
  <c r="AA6" i="2"/>
  <c r="X8" i="2"/>
  <c r="AE8" i="2" s="1"/>
  <c r="V10" i="2"/>
  <c r="AC10" i="2" s="1"/>
  <c r="AA14" i="2"/>
  <c r="V17" i="2"/>
  <c r="AC17" i="2" s="1"/>
  <c r="AA19" i="2"/>
  <c r="AH19" i="2" s="1"/>
  <c r="X21" i="2"/>
  <c r="AE21" i="2" s="1"/>
  <c r="V23" i="2"/>
  <c r="AC23" i="2" s="1"/>
  <c r="X24" i="2"/>
  <c r="AE24" i="2" s="1"/>
  <c r="V25" i="2"/>
  <c r="AC25" i="2" s="1"/>
  <c r="AA26" i="2"/>
  <c r="AJ26" i="2" s="1"/>
  <c r="K25" i="1" s="1"/>
  <c r="Y27" i="2"/>
  <c r="AF27" i="2" s="1"/>
  <c r="X30" i="2"/>
  <c r="AE30" i="2" s="1"/>
  <c r="W31" i="2"/>
  <c r="AD31" i="2" s="1"/>
  <c r="V34" i="2"/>
  <c r="AC34" i="2" s="1"/>
  <c r="Y35" i="2"/>
  <c r="AF35" i="2" s="1"/>
  <c r="W37" i="2"/>
  <c r="AD37" i="2" s="1"/>
  <c r="AA38" i="2"/>
  <c r="AJ38" i="2" s="1"/>
  <c r="K37" i="1" s="1"/>
  <c r="V41" i="2"/>
  <c r="AC41" i="2" s="1"/>
  <c r="AA42" i="2"/>
  <c r="AH42" i="2" s="1"/>
  <c r="V45" i="2"/>
  <c r="AC45" i="2" s="1"/>
  <c r="Y47" i="2"/>
  <c r="AF47" i="2" s="1"/>
  <c r="X55" i="2"/>
  <c r="AE55" i="2" s="1"/>
  <c r="Y57" i="2"/>
  <c r="AF57" i="2" s="1"/>
  <c r="V62" i="2"/>
  <c r="AC62" i="2" s="1"/>
  <c r="Z8" i="2"/>
  <c r="AG8" i="2" s="1"/>
  <c r="Z21" i="2"/>
  <c r="AG21" i="2" s="1"/>
  <c r="Z26" i="2"/>
  <c r="AG26" i="2" s="1"/>
  <c r="Z31" i="2"/>
  <c r="AG31" i="2" s="1"/>
  <c r="Z37" i="2"/>
  <c r="AG37" i="2" s="1"/>
  <c r="Z55" i="2"/>
  <c r="AG55" i="2" s="1"/>
  <c r="W3" i="2"/>
  <c r="AD3" i="2" s="1"/>
  <c r="V5" i="2"/>
  <c r="AC5" i="2" s="1"/>
  <c r="X7" i="2"/>
  <c r="AE7" i="2" s="1"/>
  <c r="V9" i="2"/>
  <c r="AC9" i="2" s="1"/>
  <c r="Y10" i="2"/>
  <c r="AF10" i="2" s="1"/>
  <c r="W11" i="2"/>
  <c r="AD11" i="2" s="1"/>
  <c r="X15" i="2"/>
  <c r="AE15" i="2" s="1"/>
  <c r="V16" i="2"/>
  <c r="AC16" i="2" s="1"/>
  <c r="Y17" i="2"/>
  <c r="AF17" i="2" s="1"/>
  <c r="W18" i="2"/>
  <c r="AD18" i="2" s="1"/>
  <c r="X20" i="2"/>
  <c r="AE20" i="2" s="1"/>
  <c r="V22" i="2"/>
  <c r="AC22" i="2" s="1"/>
  <c r="AA23" i="2"/>
  <c r="Y25" i="2"/>
  <c r="AF25" i="2" s="1"/>
  <c r="W28" i="2"/>
  <c r="AD28" i="2" s="1"/>
  <c r="AA29" i="2"/>
  <c r="AJ29" i="2" s="1"/>
  <c r="K28" i="1" s="1"/>
  <c r="AA32" i="2"/>
  <c r="AJ32" i="2" s="1"/>
  <c r="K31" i="1" s="1"/>
  <c r="X33" i="2"/>
  <c r="AE33" i="2" s="1"/>
  <c r="V35" i="2"/>
  <c r="AC35" i="2" s="1"/>
  <c r="Y36" i="2"/>
  <c r="AF36" i="2" s="1"/>
  <c r="W38" i="2"/>
  <c r="AD38" i="2" s="1"/>
  <c r="AA40" i="2"/>
  <c r="AJ40" i="2" s="1"/>
  <c r="K39" i="1" s="1"/>
  <c r="W42" i="2"/>
  <c r="AD42" i="2" s="1"/>
  <c r="AA43" i="2"/>
  <c r="AH43" i="2" s="1"/>
  <c r="X44" i="2"/>
  <c r="AE44" i="2" s="1"/>
  <c r="AA46" i="2"/>
  <c r="AJ46" i="2" s="1"/>
  <c r="K45" i="1" s="1"/>
  <c r="AA52" i="2"/>
  <c r="AJ52" i="2" s="1"/>
  <c r="K51" i="1" s="1"/>
  <c r="X47" i="2"/>
  <c r="AE47" i="2" s="1"/>
  <c r="Y50" i="2"/>
  <c r="AF50" i="2" s="1"/>
  <c r="W55" i="2"/>
  <c r="AD55" i="2" s="1"/>
  <c r="AA56" i="2"/>
  <c r="AH56" i="2" s="1"/>
  <c r="X57" i="2"/>
  <c r="AE57" i="2" s="1"/>
  <c r="Y59" i="2"/>
  <c r="AF59" i="2" s="1"/>
  <c r="AA61" i="2"/>
  <c r="AJ61" i="2" s="1"/>
  <c r="K60" i="1" s="1"/>
  <c r="J113" i="2"/>
  <c r="M113" i="2" s="1"/>
  <c r="O113" i="2" s="1"/>
  <c r="R113" i="2" s="1"/>
  <c r="AD15" i="2"/>
  <c r="J115" i="2"/>
  <c r="M115" i="2" s="1"/>
  <c r="O115" i="2" s="1"/>
  <c r="R115" i="2" s="1"/>
  <c r="AD19" i="2"/>
  <c r="AC4" i="2"/>
  <c r="AG16" i="2"/>
  <c r="J4" i="2"/>
  <c r="M4" i="2" s="1"/>
  <c r="P4" i="2" s="1"/>
  <c r="J116" i="2"/>
  <c r="M116" i="2" s="1"/>
  <c r="I104" i="2"/>
  <c r="I102" i="2"/>
  <c r="I100" i="2"/>
  <c r="I99" i="2"/>
  <c r="I97" i="2"/>
  <c r="I95" i="2"/>
  <c r="I62" i="2"/>
  <c r="I59" i="2"/>
  <c r="I58" i="2"/>
  <c r="I55" i="2"/>
  <c r="I50" i="2"/>
  <c r="I48" i="2"/>
  <c r="I44" i="2"/>
  <c r="I43" i="2"/>
  <c r="I40" i="2"/>
  <c r="I37" i="2"/>
  <c r="I35" i="2"/>
  <c r="I33" i="2"/>
  <c r="I32" i="2"/>
  <c r="I31" i="2"/>
  <c r="I30" i="2"/>
  <c r="I28" i="2"/>
  <c r="I25" i="2"/>
  <c r="I24" i="2"/>
  <c r="I22" i="2"/>
  <c r="I20" i="2"/>
  <c r="I16" i="2"/>
  <c r="I14" i="2"/>
  <c r="I9" i="2"/>
  <c r="I7" i="2"/>
  <c r="I4" i="2"/>
  <c r="I3" i="2"/>
  <c r="B51" i="2"/>
  <c r="W51" i="2" s="1"/>
  <c r="AD51" i="2" s="1"/>
  <c r="I61" i="2"/>
  <c r="I60" i="2"/>
  <c r="I57" i="2"/>
  <c r="I56" i="2"/>
  <c r="I54" i="2"/>
  <c r="I47" i="2"/>
  <c r="I52" i="2"/>
  <c r="I46" i="2"/>
  <c r="I45" i="2"/>
  <c r="I42" i="2"/>
  <c r="I41" i="2"/>
  <c r="I38" i="2"/>
  <c r="I36" i="2"/>
  <c r="I34" i="2"/>
  <c r="I29" i="2"/>
  <c r="I27" i="2"/>
  <c r="I26" i="2"/>
  <c r="I23" i="2"/>
  <c r="I21" i="2"/>
  <c r="I19" i="2"/>
  <c r="I18" i="2"/>
  <c r="I17" i="2"/>
  <c r="I15" i="2"/>
  <c r="I10" i="2"/>
  <c r="I8" i="2"/>
  <c r="I6" i="2"/>
  <c r="I5" i="2"/>
  <c r="J114" i="2"/>
  <c r="M114" i="2" s="1"/>
  <c r="AG98" i="2"/>
  <c r="I92" i="2"/>
  <c r="I105" i="2"/>
  <c r="J117" i="2"/>
  <c r="M117" i="2" s="1"/>
  <c r="I91" i="2"/>
  <c r="I89" i="2"/>
  <c r="I84" i="2"/>
  <c r="I80" i="2"/>
  <c r="I79" i="2"/>
  <c r="I78" i="2"/>
  <c r="I76" i="2"/>
  <c r="I75" i="2"/>
  <c r="I74" i="2"/>
  <c r="I73" i="2"/>
  <c r="I71" i="2"/>
  <c r="I70" i="2"/>
  <c r="I68" i="2"/>
  <c r="I66" i="2"/>
  <c r="I64" i="2"/>
  <c r="AJ56" i="2"/>
  <c r="K55" i="1" s="1"/>
  <c r="AH61" i="2"/>
  <c r="AD73" i="2"/>
  <c r="AD113" i="2"/>
  <c r="AF113" i="2"/>
  <c r="AE95" i="2"/>
  <c r="AF85" i="2"/>
  <c r="I103" i="2"/>
  <c r="I101" i="2"/>
  <c r="I98" i="2"/>
  <c r="I94" i="2"/>
  <c r="I93" i="2"/>
  <c r="I90" i="2"/>
  <c r="I88" i="2"/>
  <c r="I87" i="2"/>
  <c r="I86" i="2"/>
  <c r="I85" i="2"/>
  <c r="I83" i="2"/>
  <c r="I82" i="2"/>
  <c r="I77" i="2"/>
  <c r="I72" i="2"/>
  <c r="I69" i="2"/>
  <c r="I63" i="2"/>
  <c r="J28" i="2"/>
  <c r="M28" i="2" s="1"/>
  <c r="P28" i="2" s="1"/>
  <c r="J20" i="2"/>
  <c r="M20" i="2" s="1"/>
  <c r="P20" i="2" s="1"/>
  <c r="J16" i="2"/>
  <c r="M16" i="2" s="1"/>
  <c r="P16" i="2" s="1"/>
  <c r="J11" i="2"/>
  <c r="M11" i="2" s="1"/>
  <c r="P11" i="2" s="1"/>
  <c r="J8" i="2"/>
  <c r="M8" i="2" s="1"/>
  <c r="P8" i="2" s="1"/>
  <c r="J112" i="2"/>
  <c r="M112" i="2" s="1"/>
  <c r="P112" i="2" s="1"/>
  <c r="J110" i="2"/>
  <c r="M110" i="2" s="1"/>
  <c r="P110" i="2" s="1"/>
  <c r="J108" i="2"/>
  <c r="M108" i="2" s="1"/>
  <c r="P108" i="2" s="1"/>
  <c r="J107" i="2"/>
  <c r="M107" i="2" s="1"/>
  <c r="P107" i="2" s="1"/>
  <c r="J106" i="2"/>
  <c r="M106" i="2" s="1"/>
  <c r="P106" i="2" s="1"/>
  <c r="J104" i="2"/>
  <c r="M104" i="2" s="1"/>
  <c r="P104" i="2" s="1"/>
  <c r="J103" i="2"/>
  <c r="M103" i="2" s="1"/>
  <c r="J102" i="2"/>
  <c r="M102" i="2" s="1"/>
  <c r="P102" i="2" s="1"/>
  <c r="J101" i="2"/>
  <c r="M101" i="2" s="1"/>
  <c r="J100" i="2"/>
  <c r="M100" i="2" s="1"/>
  <c r="P100" i="2" s="1"/>
  <c r="J99" i="2"/>
  <c r="M99" i="2" s="1"/>
  <c r="P99" i="2" s="1"/>
  <c r="J98" i="2"/>
  <c r="M98" i="2" s="1"/>
  <c r="J97" i="2"/>
  <c r="M97" i="2" s="1"/>
  <c r="P97" i="2" s="1"/>
  <c r="J95" i="2"/>
  <c r="M95" i="2" s="1"/>
  <c r="P95" i="2" s="1"/>
  <c r="J94" i="2"/>
  <c r="M94" i="2" s="1"/>
  <c r="J93" i="2"/>
  <c r="M93" i="2" s="1"/>
  <c r="J92" i="2"/>
  <c r="M92" i="2" s="1"/>
  <c r="J91" i="2"/>
  <c r="M91" i="2" s="1"/>
  <c r="J90" i="2"/>
  <c r="M90" i="2" s="1"/>
  <c r="J89" i="2"/>
  <c r="M89" i="2" s="1"/>
  <c r="J88" i="2"/>
  <c r="M88" i="2" s="1"/>
  <c r="J87" i="2"/>
  <c r="M87" i="2" s="1"/>
  <c r="J86" i="2"/>
  <c r="M86" i="2" s="1"/>
  <c r="J85" i="2"/>
  <c r="M85" i="2" s="1"/>
  <c r="J84" i="2"/>
  <c r="M84" i="2" s="1"/>
  <c r="J83" i="2"/>
  <c r="M83" i="2" s="1"/>
  <c r="J82" i="2"/>
  <c r="M82" i="2" s="1"/>
  <c r="J80" i="2"/>
  <c r="M80" i="2" s="1"/>
  <c r="J79" i="2"/>
  <c r="M79" i="2" s="1"/>
  <c r="J78" i="2"/>
  <c r="M78" i="2" s="1"/>
  <c r="J77" i="2"/>
  <c r="M77" i="2" s="1"/>
  <c r="J76" i="2"/>
  <c r="M76" i="2" s="1"/>
  <c r="J75" i="2"/>
  <c r="M75" i="2" s="1"/>
  <c r="J74" i="2"/>
  <c r="M74" i="2" s="1"/>
  <c r="J73" i="2"/>
  <c r="M73" i="2" s="1"/>
  <c r="J72" i="2"/>
  <c r="M72" i="2" s="1"/>
  <c r="J71" i="2"/>
  <c r="M71" i="2" s="1"/>
  <c r="J70" i="2"/>
  <c r="M70" i="2" s="1"/>
  <c r="J69" i="2"/>
  <c r="M69" i="2" s="1"/>
  <c r="J68" i="2"/>
  <c r="M68" i="2" s="1"/>
  <c r="J66" i="2"/>
  <c r="M66" i="2" s="1"/>
  <c r="J64" i="2"/>
  <c r="M64" i="2" s="1"/>
  <c r="J63" i="2"/>
  <c r="M63" i="2" s="1"/>
  <c r="J62" i="2"/>
  <c r="M62" i="2" s="1"/>
  <c r="P62" i="2" s="1"/>
  <c r="J61" i="2"/>
  <c r="M61" i="2" s="1"/>
  <c r="P61" i="2" s="1"/>
  <c r="J60" i="2"/>
  <c r="M60" i="2" s="1"/>
  <c r="P60" i="2" s="1"/>
  <c r="J59" i="2"/>
  <c r="M59" i="2" s="1"/>
  <c r="P59" i="2" s="1"/>
  <c r="J58" i="2"/>
  <c r="M58" i="2" s="1"/>
  <c r="P58" i="2" s="1"/>
  <c r="J57" i="2"/>
  <c r="M57" i="2" s="1"/>
  <c r="P57" i="2" s="1"/>
  <c r="J56" i="2"/>
  <c r="M56" i="2" s="1"/>
  <c r="P56" i="2" s="1"/>
  <c r="J55" i="2"/>
  <c r="M55" i="2" s="1"/>
  <c r="P55" i="2" s="1"/>
  <c r="J54" i="2"/>
  <c r="M54" i="2" s="1"/>
  <c r="P54" i="2" s="1"/>
  <c r="J53" i="2"/>
  <c r="M53" i="2" s="1"/>
  <c r="P53" i="2" s="1"/>
  <c r="J52" i="2"/>
  <c r="M52" i="2" s="1"/>
  <c r="P52" i="2" s="1"/>
  <c r="J50" i="2"/>
  <c r="M50" i="2" s="1"/>
  <c r="P50" i="2" s="1"/>
  <c r="J48" i="2"/>
  <c r="M48" i="2" s="1"/>
  <c r="P48" i="2" s="1"/>
  <c r="J47" i="2"/>
  <c r="M47" i="2" s="1"/>
  <c r="P47" i="2" s="1"/>
  <c r="J46" i="2"/>
  <c r="M46" i="2" s="1"/>
  <c r="P46" i="2" s="1"/>
  <c r="J45" i="2"/>
  <c r="M45" i="2" s="1"/>
  <c r="P45" i="2" s="1"/>
  <c r="J44" i="2"/>
  <c r="M44" i="2" s="1"/>
  <c r="P44" i="2" s="1"/>
  <c r="J43" i="2"/>
  <c r="M43" i="2" s="1"/>
  <c r="P43" i="2" s="1"/>
  <c r="J42" i="2"/>
  <c r="M42" i="2" s="1"/>
  <c r="P42" i="2" s="1"/>
  <c r="J41" i="2"/>
  <c r="M41" i="2" s="1"/>
  <c r="P41" i="2" s="1"/>
  <c r="J40" i="2"/>
  <c r="M40" i="2" s="1"/>
  <c r="P40" i="2" s="1"/>
  <c r="J38" i="2"/>
  <c r="M38" i="2" s="1"/>
  <c r="P38" i="2" s="1"/>
  <c r="J37" i="2"/>
  <c r="M37" i="2" s="1"/>
  <c r="P37" i="2" s="1"/>
  <c r="J36" i="2"/>
  <c r="M36" i="2" s="1"/>
  <c r="P36" i="2" s="1"/>
  <c r="J35" i="2"/>
  <c r="M35" i="2" s="1"/>
  <c r="P35" i="2" s="1"/>
  <c r="J34" i="2"/>
  <c r="M34" i="2" s="1"/>
  <c r="P34" i="2" s="1"/>
  <c r="J33" i="2"/>
  <c r="M33" i="2" s="1"/>
  <c r="P33" i="2" s="1"/>
  <c r="J32" i="2"/>
  <c r="M32" i="2" s="1"/>
  <c r="P32" i="2" s="1"/>
  <c r="J31" i="2"/>
  <c r="M31" i="2" s="1"/>
  <c r="J30" i="2"/>
  <c r="M30" i="2" s="1"/>
  <c r="P30" i="2" s="1"/>
  <c r="J29" i="2"/>
  <c r="M29" i="2" s="1"/>
  <c r="P29" i="2" s="1"/>
  <c r="J27" i="2"/>
  <c r="M27" i="2" s="1"/>
  <c r="P27" i="2" s="1"/>
  <c r="J26" i="2"/>
  <c r="M26" i="2" s="1"/>
  <c r="P26" i="2" s="1"/>
  <c r="J25" i="2"/>
  <c r="M25" i="2" s="1"/>
  <c r="P25" i="2" s="1"/>
  <c r="J24" i="2"/>
  <c r="M24" i="2" s="1"/>
  <c r="P24" i="2" s="1"/>
  <c r="J23" i="2"/>
  <c r="M23" i="2" s="1"/>
  <c r="P23" i="2" s="1"/>
  <c r="J22" i="2"/>
  <c r="M22" i="2" s="1"/>
  <c r="P22" i="2" s="1"/>
  <c r="J21" i="2"/>
  <c r="M21" i="2" s="1"/>
  <c r="P21" i="2" s="1"/>
  <c r="J19" i="2"/>
  <c r="M19" i="2" s="1"/>
  <c r="P19" i="2" s="1"/>
  <c r="J18" i="2"/>
  <c r="M18" i="2" s="1"/>
  <c r="P18" i="2" s="1"/>
  <c r="J17" i="2"/>
  <c r="M17" i="2" s="1"/>
  <c r="P17" i="2" s="1"/>
  <c r="J15" i="2"/>
  <c r="M15" i="2" s="1"/>
  <c r="P15" i="2" s="1"/>
  <c r="J14" i="2"/>
  <c r="M14" i="2" s="1"/>
  <c r="P14" i="2" s="1"/>
  <c r="J10" i="2"/>
  <c r="M10" i="2" s="1"/>
  <c r="P10" i="2" s="1"/>
  <c r="J9" i="2"/>
  <c r="M9" i="2" s="1"/>
  <c r="P9" i="2" s="1"/>
  <c r="J7" i="2"/>
  <c r="M7" i="2" s="1"/>
  <c r="P7" i="2" s="1"/>
  <c r="J6" i="2"/>
  <c r="M6" i="2" s="1"/>
  <c r="P6" i="2" s="1"/>
  <c r="J5" i="2"/>
  <c r="M5" i="2" s="1"/>
  <c r="P5" i="2" s="1"/>
  <c r="J3" i="2"/>
  <c r="M3" i="2" s="1"/>
  <c r="P3" i="2" s="1"/>
  <c r="AJ44" i="2" l="1"/>
  <c r="K43" i="1" s="1"/>
  <c r="AH58" i="2"/>
  <c r="AH52" i="2"/>
  <c r="AJ19" i="2"/>
  <c r="K18" i="1" s="1"/>
  <c r="AJ35" i="2"/>
  <c r="K34" i="1" s="1"/>
  <c r="AJ57" i="2"/>
  <c r="K56" i="1" s="1"/>
  <c r="AH31" i="2"/>
  <c r="AH25" i="2"/>
  <c r="AJ21" i="2"/>
  <c r="K20" i="1" s="1"/>
  <c r="AJ50" i="2"/>
  <c r="K49" i="1" s="1"/>
  <c r="AH38" i="2"/>
  <c r="AJ48" i="2"/>
  <c r="K47" i="1" s="1"/>
  <c r="AH17" i="2"/>
  <c r="L115" i="2"/>
  <c r="AH5" i="2"/>
  <c r="AH46" i="2"/>
  <c r="AJ27" i="2"/>
  <c r="AK27" i="2" s="1"/>
  <c r="L26" i="1" s="1"/>
  <c r="AH41" i="2"/>
  <c r="AH28" i="2"/>
  <c r="AH32" i="2"/>
  <c r="AJ60" i="2"/>
  <c r="K59" i="1" s="1"/>
  <c r="AH60" i="2"/>
  <c r="AH9" i="2"/>
  <c r="AJ9" i="2"/>
  <c r="K8" i="1" s="1"/>
  <c r="AH62" i="2"/>
  <c r="AJ62" i="2"/>
  <c r="K61" i="1" s="1"/>
  <c r="AJ34" i="2"/>
  <c r="K33" i="1" s="1"/>
  <c r="AH34" i="2"/>
  <c r="AJ14" i="2"/>
  <c r="AK14" i="2" s="1"/>
  <c r="L13" i="1" s="1"/>
  <c r="M13" i="1" s="1"/>
  <c r="N13" i="1" s="1"/>
  <c r="AH14" i="2"/>
  <c r="AH59" i="2"/>
  <c r="AJ37" i="2"/>
  <c r="K36" i="1" s="1"/>
  <c r="L113" i="2"/>
  <c r="AH7" i="2"/>
  <c r="AJ42" i="2"/>
  <c r="K41" i="1" s="1"/>
  <c r="AJ24" i="2"/>
  <c r="K23" i="1" s="1"/>
  <c r="AH26" i="2"/>
  <c r="AH36" i="2"/>
  <c r="AH45" i="2"/>
  <c r="K116" i="2"/>
  <c r="AH54" i="2"/>
  <c r="AJ54" i="2"/>
  <c r="K53" i="1" s="1"/>
  <c r="AH30" i="2"/>
  <c r="AH55" i="2"/>
  <c r="Z51" i="2"/>
  <c r="AG51" i="2" s="1"/>
  <c r="O4" i="2"/>
  <c r="R4" i="2" s="1"/>
  <c r="AJ18" i="2"/>
  <c r="K17" i="1" s="1"/>
  <c r="AA51" i="2"/>
  <c r="AH51" i="2" s="1"/>
  <c r="Y51" i="2"/>
  <c r="AF51" i="2" s="1"/>
  <c r="AH29" i="2"/>
  <c r="AH47" i="2"/>
  <c r="X51" i="2"/>
  <c r="AE51" i="2" s="1"/>
  <c r="V51" i="2"/>
  <c r="AC51" i="2" s="1"/>
  <c r="N69" i="2"/>
  <c r="Q69" i="2" s="1"/>
  <c r="P69" i="2"/>
  <c r="N83" i="2"/>
  <c r="Q83" i="2" s="1"/>
  <c r="P83" i="2"/>
  <c r="N88" i="2"/>
  <c r="Q88" i="2" s="1"/>
  <c r="P88" i="2"/>
  <c r="N98" i="2"/>
  <c r="Q98" i="2" s="1"/>
  <c r="P98" i="2"/>
  <c r="N70" i="2"/>
  <c r="Q70" i="2" s="1"/>
  <c r="P70" i="2"/>
  <c r="N79" i="2"/>
  <c r="Q79" i="2" s="1"/>
  <c r="P79" i="2"/>
  <c r="N84" i="2"/>
  <c r="Q84" i="2" s="1"/>
  <c r="P84" i="2"/>
  <c r="N89" i="2"/>
  <c r="Q89" i="2" s="1"/>
  <c r="P89" i="2"/>
  <c r="N116" i="2"/>
  <c r="Q116" i="2" s="1"/>
  <c r="P116" i="2"/>
  <c r="N4" i="2"/>
  <c r="Q4" i="2" s="1"/>
  <c r="N113" i="2"/>
  <c r="Q113" i="2" s="1"/>
  <c r="P113" i="2"/>
  <c r="N31" i="2"/>
  <c r="Q31" i="2" s="1"/>
  <c r="P31" i="2"/>
  <c r="N64" i="2"/>
  <c r="Q64" i="2" s="1"/>
  <c r="P64" i="2"/>
  <c r="N71" i="2"/>
  <c r="Q71" i="2" s="1"/>
  <c r="P71" i="2"/>
  <c r="N74" i="2"/>
  <c r="Q74" i="2" s="1"/>
  <c r="P74" i="2"/>
  <c r="N77" i="2"/>
  <c r="Q77" i="2" s="1"/>
  <c r="P77" i="2"/>
  <c r="N82" i="2"/>
  <c r="Q82" i="2" s="1"/>
  <c r="P82" i="2"/>
  <c r="N85" i="2"/>
  <c r="Q85" i="2" s="1"/>
  <c r="P85" i="2"/>
  <c r="N87" i="2"/>
  <c r="Q87" i="2" s="1"/>
  <c r="P87" i="2"/>
  <c r="N92" i="2"/>
  <c r="Q92" i="2" s="1"/>
  <c r="P92" i="2"/>
  <c r="N94" i="2"/>
  <c r="Q94" i="2" s="1"/>
  <c r="P94" i="2"/>
  <c r="N103" i="2"/>
  <c r="Q103" i="2" s="1"/>
  <c r="P103" i="2"/>
  <c r="N115" i="2"/>
  <c r="Q115" i="2" s="1"/>
  <c r="P115" i="2"/>
  <c r="N66" i="2"/>
  <c r="Q66" i="2" s="1"/>
  <c r="P66" i="2"/>
  <c r="N73" i="2"/>
  <c r="Q73" i="2" s="1"/>
  <c r="P73" i="2"/>
  <c r="N86" i="2"/>
  <c r="Q86" i="2" s="1"/>
  <c r="P86" i="2"/>
  <c r="N90" i="2"/>
  <c r="Q90" i="2" s="1"/>
  <c r="P90" i="2"/>
  <c r="N93" i="2"/>
  <c r="Q93" i="2" s="1"/>
  <c r="P93" i="2"/>
  <c r="N101" i="2"/>
  <c r="Q101" i="2" s="1"/>
  <c r="P101" i="2"/>
  <c r="N76" i="2"/>
  <c r="Q76" i="2" s="1"/>
  <c r="P76" i="2"/>
  <c r="N91" i="2"/>
  <c r="Q91" i="2" s="1"/>
  <c r="P91" i="2"/>
  <c r="N117" i="2"/>
  <c r="Q117" i="2" s="1"/>
  <c r="P117" i="2"/>
  <c r="N63" i="2"/>
  <c r="Q63" i="2" s="1"/>
  <c r="P63" i="2"/>
  <c r="N68" i="2"/>
  <c r="Q68" i="2" s="1"/>
  <c r="P68" i="2"/>
  <c r="N72" i="2"/>
  <c r="Q72" i="2" s="1"/>
  <c r="P72" i="2"/>
  <c r="N75" i="2"/>
  <c r="Q75" i="2" s="1"/>
  <c r="P75" i="2"/>
  <c r="N78" i="2"/>
  <c r="Q78" i="2" s="1"/>
  <c r="P78" i="2"/>
  <c r="N80" i="2"/>
  <c r="Q80" i="2" s="1"/>
  <c r="P80" i="2"/>
  <c r="N114" i="2"/>
  <c r="Q114" i="2" s="1"/>
  <c r="P114" i="2"/>
  <c r="J51" i="2"/>
  <c r="M51" i="2" s="1"/>
  <c r="P51" i="2" s="1"/>
  <c r="L114" i="2"/>
  <c r="AH100" i="2"/>
  <c r="L116" i="2"/>
  <c r="K115" i="2"/>
  <c r="K113" i="2"/>
  <c r="O116" i="2"/>
  <c r="R116" i="2" s="1"/>
  <c r="AH16" i="2"/>
  <c r="AJ16" i="2"/>
  <c r="AH22" i="2"/>
  <c r="AJ22" i="2"/>
  <c r="AH20" i="2"/>
  <c r="AJ20" i="2"/>
  <c r="AH15" i="2"/>
  <c r="AJ15" i="2"/>
  <c r="AJ33" i="2"/>
  <c r="K32" i="1" s="1"/>
  <c r="AJ43" i="2"/>
  <c r="K42" i="1" s="1"/>
  <c r="AH40" i="2"/>
  <c r="AJ95" i="2"/>
  <c r="K94" i="1" s="1"/>
  <c r="AH23" i="2"/>
  <c r="AJ23" i="2"/>
  <c r="AG112" i="2"/>
  <c r="AF112" i="2"/>
  <c r="AE112" i="2"/>
  <c r="AC112" i="2"/>
  <c r="AH11" i="2"/>
  <c r="AJ11" i="2"/>
  <c r="AH10" i="2"/>
  <c r="AJ10" i="2"/>
  <c r="AH8" i="2"/>
  <c r="AJ8" i="2"/>
  <c r="AH6" i="2"/>
  <c r="AJ6" i="2"/>
  <c r="AD112" i="2"/>
  <c r="AH4" i="2"/>
  <c r="AJ4" i="2"/>
  <c r="AH3" i="2"/>
  <c r="AJ3" i="2"/>
  <c r="AJ116" i="2"/>
  <c r="AH116" i="2"/>
  <c r="AH110" i="2"/>
  <c r="AJ110" i="2"/>
  <c r="O63" i="2"/>
  <c r="R63" i="2" s="1"/>
  <c r="O114" i="2"/>
  <c r="R114" i="2" s="1"/>
  <c r="N7" i="2"/>
  <c r="Q7" i="2" s="1"/>
  <c r="O7" i="2"/>
  <c r="R7" i="2" s="1"/>
  <c r="N22" i="2"/>
  <c r="Q22" i="2" s="1"/>
  <c r="O22" i="2"/>
  <c r="R22" i="2" s="1"/>
  <c r="N24" i="2"/>
  <c r="Q24" i="2" s="1"/>
  <c r="O24" i="2"/>
  <c r="R24" i="2" s="1"/>
  <c r="N36" i="2"/>
  <c r="Q36" i="2" s="1"/>
  <c r="O36" i="2"/>
  <c r="R36" i="2" s="1"/>
  <c r="N42" i="2"/>
  <c r="Q42" i="2" s="1"/>
  <c r="O42" i="2"/>
  <c r="R42" i="2" s="1"/>
  <c r="N45" i="2"/>
  <c r="Q45" i="2" s="1"/>
  <c r="O45" i="2"/>
  <c r="R45" i="2" s="1"/>
  <c r="N50" i="2"/>
  <c r="Q50" i="2" s="1"/>
  <c r="O50" i="2"/>
  <c r="R50" i="2" s="1"/>
  <c r="N55" i="2"/>
  <c r="Q55" i="2" s="1"/>
  <c r="O55" i="2"/>
  <c r="R55" i="2" s="1"/>
  <c r="N58" i="2"/>
  <c r="Q58" i="2" s="1"/>
  <c r="O58" i="2"/>
  <c r="R58" i="2" s="1"/>
  <c r="N3" i="2"/>
  <c r="Q3" i="2" s="1"/>
  <c r="O3" i="2"/>
  <c r="R3" i="2" s="1"/>
  <c r="N5" i="2"/>
  <c r="Q5" i="2" s="1"/>
  <c r="O5" i="2"/>
  <c r="R5" i="2" s="1"/>
  <c r="N6" i="2"/>
  <c r="Q6" i="2" s="1"/>
  <c r="O6" i="2"/>
  <c r="R6" i="2" s="1"/>
  <c r="N9" i="2"/>
  <c r="Q9" i="2" s="1"/>
  <c r="O9" i="2"/>
  <c r="R9" i="2" s="1"/>
  <c r="N14" i="2"/>
  <c r="Q14" i="2" s="1"/>
  <c r="O14" i="2"/>
  <c r="R14" i="2" s="1"/>
  <c r="N17" i="2"/>
  <c r="Q17" i="2" s="1"/>
  <c r="O17" i="2"/>
  <c r="R17" i="2" s="1"/>
  <c r="N18" i="2"/>
  <c r="Q18" i="2" s="1"/>
  <c r="O18" i="2"/>
  <c r="R18" i="2" s="1"/>
  <c r="N21" i="2"/>
  <c r="Q21" i="2" s="1"/>
  <c r="O21" i="2"/>
  <c r="R21" i="2" s="1"/>
  <c r="N23" i="2"/>
  <c r="Q23" i="2" s="1"/>
  <c r="O23" i="2"/>
  <c r="R23" i="2" s="1"/>
  <c r="N26" i="2"/>
  <c r="Q26" i="2" s="1"/>
  <c r="O26" i="2"/>
  <c r="R26" i="2" s="1"/>
  <c r="N27" i="2"/>
  <c r="Q27" i="2" s="1"/>
  <c r="O27" i="2"/>
  <c r="R27" i="2" s="1"/>
  <c r="N30" i="2"/>
  <c r="Q30" i="2" s="1"/>
  <c r="O30" i="2"/>
  <c r="R30" i="2" s="1"/>
  <c r="O31" i="2"/>
  <c r="R31" i="2" s="1"/>
  <c r="N32" i="2"/>
  <c r="Q32" i="2" s="1"/>
  <c r="O32" i="2"/>
  <c r="R32" i="2" s="1"/>
  <c r="N33" i="2"/>
  <c r="Q33" i="2" s="1"/>
  <c r="O33" i="2"/>
  <c r="R33" i="2" s="1"/>
  <c r="N35" i="2"/>
  <c r="Q35" i="2" s="1"/>
  <c r="O35" i="2"/>
  <c r="R35" i="2" s="1"/>
  <c r="N37" i="2"/>
  <c r="Q37" i="2" s="1"/>
  <c r="O37" i="2"/>
  <c r="R37" i="2" s="1"/>
  <c r="N40" i="2"/>
  <c r="Q40" i="2" s="1"/>
  <c r="O40" i="2"/>
  <c r="R40" i="2" s="1"/>
  <c r="N43" i="2"/>
  <c r="Q43" i="2" s="1"/>
  <c r="O43" i="2"/>
  <c r="R43" i="2" s="1"/>
  <c r="N44" i="2"/>
  <c r="Q44" i="2" s="1"/>
  <c r="O44" i="2"/>
  <c r="R44" i="2" s="1"/>
  <c r="N47" i="2"/>
  <c r="Q47" i="2" s="1"/>
  <c r="O47" i="2"/>
  <c r="R47" i="2" s="1"/>
  <c r="N54" i="2"/>
  <c r="Q54" i="2" s="1"/>
  <c r="O54" i="2"/>
  <c r="R54" i="2" s="1"/>
  <c r="N56" i="2"/>
  <c r="Q56" i="2" s="1"/>
  <c r="O56" i="2"/>
  <c r="R56" i="2" s="1"/>
  <c r="N57" i="2"/>
  <c r="Q57" i="2" s="1"/>
  <c r="O57" i="2"/>
  <c r="R57" i="2" s="1"/>
  <c r="N59" i="2"/>
  <c r="Q59" i="2" s="1"/>
  <c r="O59" i="2"/>
  <c r="R59" i="2" s="1"/>
  <c r="N62" i="2"/>
  <c r="Q62" i="2" s="1"/>
  <c r="O62" i="2"/>
  <c r="R62" i="2" s="1"/>
  <c r="N106" i="2"/>
  <c r="Q106" i="2" s="1"/>
  <c r="O106" i="2"/>
  <c r="R106" i="2" s="1"/>
  <c r="N108" i="2"/>
  <c r="Q108" i="2" s="1"/>
  <c r="O108" i="2"/>
  <c r="R108" i="2" s="1"/>
  <c r="N110" i="2"/>
  <c r="Q110" i="2" s="1"/>
  <c r="O110" i="2"/>
  <c r="R110" i="2" s="1"/>
  <c r="N112" i="2"/>
  <c r="Q112" i="2" s="1"/>
  <c r="O112" i="2"/>
  <c r="R112" i="2" s="1"/>
  <c r="N8" i="2"/>
  <c r="Q8" i="2" s="1"/>
  <c r="O8" i="2"/>
  <c r="R8" i="2" s="1"/>
  <c r="N16" i="2"/>
  <c r="Q16" i="2" s="1"/>
  <c r="O16" i="2"/>
  <c r="R16" i="2" s="1"/>
  <c r="N28" i="2"/>
  <c r="Q28" i="2" s="1"/>
  <c r="O28" i="2"/>
  <c r="R28" i="2" s="1"/>
  <c r="N10" i="2"/>
  <c r="Q10" i="2" s="1"/>
  <c r="O10" i="2"/>
  <c r="R10" i="2" s="1"/>
  <c r="N15" i="2"/>
  <c r="Q15" i="2" s="1"/>
  <c r="O15" i="2"/>
  <c r="R15" i="2" s="1"/>
  <c r="N19" i="2"/>
  <c r="Q19" i="2" s="1"/>
  <c r="O19" i="2"/>
  <c r="R19" i="2" s="1"/>
  <c r="N25" i="2"/>
  <c r="Q25" i="2" s="1"/>
  <c r="O25" i="2"/>
  <c r="R25" i="2" s="1"/>
  <c r="N29" i="2"/>
  <c r="Q29" i="2" s="1"/>
  <c r="O29" i="2"/>
  <c r="R29" i="2" s="1"/>
  <c r="N34" i="2"/>
  <c r="Q34" i="2" s="1"/>
  <c r="O34" i="2"/>
  <c r="R34" i="2" s="1"/>
  <c r="N38" i="2"/>
  <c r="Q38" i="2" s="1"/>
  <c r="O38" i="2"/>
  <c r="R38" i="2" s="1"/>
  <c r="N41" i="2"/>
  <c r="Q41" i="2" s="1"/>
  <c r="O41" i="2"/>
  <c r="R41" i="2" s="1"/>
  <c r="N46" i="2"/>
  <c r="Q46" i="2" s="1"/>
  <c r="O46" i="2"/>
  <c r="R46" i="2" s="1"/>
  <c r="N48" i="2"/>
  <c r="Q48" i="2" s="1"/>
  <c r="O48" i="2"/>
  <c r="R48" i="2" s="1"/>
  <c r="N52" i="2"/>
  <c r="Q52" i="2" s="1"/>
  <c r="O52" i="2"/>
  <c r="R52" i="2" s="1"/>
  <c r="N53" i="2"/>
  <c r="Q53" i="2" s="1"/>
  <c r="O53" i="2"/>
  <c r="R53" i="2" s="1"/>
  <c r="N60" i="2"/>
  <c r="Q60" i="2" s="1"/>
  <c r="O60" i="2"/>
  <c r="R60" i="2" s="1"/>
  <c r="N61" i="2"/>
  <c r="Q61" i="2" s="1"/>
  <c r="O61" i="2"/>
  <c r="R61" i="2" s="1"/>
  <c r="N95" i="2"/>
  <c r="Q95" i="2" s="1"/>
  <c r="O95" i="2"/>
  <c r="R95" i="2" s="1"/>
  <c r="N97" i="2"/>
  <c r="Q97" i="2" s="1"/>
  <c r="O97" i="2"/>
  <c r="R97" i="2" s="1"/>
  <c r="N99" i="2"/>
  <c r="Q99" i="2" s="1"/>
  <c r="O99" i="2"/>
  <c r="R99" i="2" s="1"/>
  <c r="N100" i="2"/>
  <c r="Q100" i="2" s="1"/>
  <c r="O100" i="2"/>
  <c r="R100" i="2" s="1"/>
  <c r="N102" i="2"/>
  <c r="Q102" i="2" s="1"/>
  <c r="O102" i="2"/>
  <c r="R102" i="2" s="1"/>
  <c r="N104" i="2"/>
  <c r="Q104" i="2" s="1"/>
  <c r="O104" i="2"/>
  <c r="R104" i="2" s="1"/>
  <c r="N107" i="2"/>
  <c r="Q107" i="2" s="1"/>
  <c r="O107" i="2"/>
  <c r="R107" i="2" s="1"/>
  <c r="N11" i="2"/>
  <c r="Q11" i="2" s="1"/>
  <c r="O11" i="2"/>
  <c r="R11" i="2" s="1"/>
  <c r="N20" i="2"/>
  <c r="Q20" i="2" s="1"/>
  <c r="O20" i="2"/>
  <c r="R20" i="2" s="1"/>
  <c r="O72" i="2"/>
  <c r="R72" i="2" s="1"/>
  <c r="O69" i="2"/>
  <c r="R69" i="2" s="1"/>
  <c r="O77" i="2"/>
  <c r="R77" i="2" s="1"/>
  <c r="O82" i="2"/>
  <c r="R82" i="2" s="1"/>
  <c r="O85" i="2"/>
  <c r="R85" i="2" s="1"/>
  <c r="O87" i="2"/>
  <c r="R87" i="2" s="1"/>
  <c r="O93" i="2"/>
  <c r="R93" i="2" s="1"/>
  <c r="O98" i="2"/>
  <c r="R98" i="2" s="1"/>
  <c r="O101" i="2"/>
  <c r="R101" i="2" s="1"/>
  <c r="O64" i="2"/>
  <c r="R64" i="2" s="1"/>
  <c r="O68" i="2"/>
  <c r="R68" i="2" s="1"/>
  <c r="O71" i="2"/>
  <c r="R71" i="2" s="1"/>
  <c r="O74" i="2"/>
  <c r="R74" i="2" s="1"/>
  <c r="O76" i="2"/>
  <c r="R76" i="2" s="1"/>
  <c r="O80" i="2"/>
  <c r="R80" i="2" s="1"/>
  <c r="O89" i="2"/>
  <c r="R89" i="2" s="1"/>
  <c r="O91" i="2"/>
  <c r="R91" i="2" s="1"/>
  <c r="O92" i="2"/>
  <c r="R92" i="2" s="1"/>
  <c r="O117" i="2"/>
  <c r="R117" i="2" s="1"/>
  <c r="O83" i="2"/>
  <c r="R83" i="2" s="1"/>
  <c r="O86" i="2"/>
  <c r="R86" i="2" s="1"/>
  <c r="O88" i="2"/>
  <c r="R88" i="2" s="1"/>
  <c r="O90" i="2"/>
  <c r="R90" i="2" s="1"/>
  <c r="O94" i="2"/>
  <c r="R94" i="2" s="1"/>
  <c r="O103" i="2"/>
  <c r="R103" i="2" s="1"/>
  <c r="O66" i="2"/>
  <c r="R66" i="2" s="1"/>
  <c r="O70" i="2"/>
  <c r="R70" i="2" s="1"/>
  <c r="O73" i="2"/>
  <c r="R73" i="2" s="1"/>
  <c r="O75" i="2"/>
  <c r="R75" i="2" s="1"/>
  <c r="O78" i="2"/>
  <c r="R78" i="2" s="1"/>
  <c r="O79" i="2"/>
  <c r="R79" i="2" s="1"/>
  <c r="O84" i="2"/>
  <c r="R84" i="2" s="1"/>
  <c r="K3" i="2"/>
  <c r="K4" i="2"/>
  <c r="K7" i="2"/>
  <c r="K22" i="2"/>
  <c r="K24" i="2"/>
  <c r="K25" i="2"/>
  <c r="K29" i="2"/>
  <c r="K34" i="2"/>
  <c r="K36" i="2"/>
  <c r="K42" i="2"/>
  <c r="K45" i="2"/>
  <c r="K46" i="2"/>
  <c r="K48" i="2"/>
  <c r="K52" i="2"/>
  <c r="K53" i="2"/>
  <c r="K60" i="2"/>
  <c r="K64" i="2"/>
  <c r="K68" i="2"/>
  <c r="K72" i="2"/>
  <c r="K75" i="2"/>
  <c r="K78" i="2"/>
  <c r="K82" i="2"/>
  <c r="K83" i="2"/>
  <c r="K86" i="2"/>
  <c r="K88" i="2"/>
  <c r="K90" i="2"/>
  <c r="K92" i="2"/>
  <c r="K95" i="2"/>
  <c r="K97" i="2"/>
  <c r="K99" i="2"/>
  <c r="K100" i="2"/>
  <c r="K102" i="2"/>
  <c r="K104" i="2"/>
  <c r="K107" i="2"/>
  <c r="K11" i="2"/>
  <c r="K20" i="2"/>
  <c r="K5" i="2"/>
  <c r="K6" i="2"/>
  <c r="K9" i="2"/>
  <c r="K14" i="2"/>
  <c r="K17" i="2"/>
  <c r="K18" i="2"/>
  <c r="K21" i="2"/>
  <c r="K23" i="2"/>
  <c r="K26" i="2"/>
  <c r="K27" i="2"/>
  <c r="K30" i="2"/>
  <c r="K31" i="2"/>
  <c r="K32" i="2"/>
  <c r="K33" i="2"/>
  <c r="K35" i="2"/>
  <c r="K37" i="2"/>
  <c r="K40" i="2"/>
  <c r="K43" i="2"/>
  <c r="K44" i="2"/>
  <c r="K47" i="2"/>
  <c r="K54" i="2"/>
  <c r="K56" i="2"/>
  <c r="K57" i="2"/>
  <c r="K59" i="2"/>
  <c r="K62" i="2"/>
  <c r="K63" i="2"/>
  <c r="K69" i="2"/>
  <c r="K71" i="2"/>
  <c r="K73" i="2"/>
  <c r="K74" i="2"/>
  <c r="K77" i="2"/>
  <c r="K79" i="2"/>
  <c r="K80" i="2"/>
  <c r="K84" i="2"/>
  <c r="K89" i="2"/>
  <c r="K91" i="2"/>
  <c r="K93" i="2"/>
  <c r="K94" i="2"/>
  <c r="K98" i="2"/>
  <c r="K101" i="2"/>
  <c r="K103" i="2"/>
  <c r="K106" i="2"/>
  <c r="K108" i="2"/>
  <c r="K110" i="2"/>
  <c r="K112" i="2"/>
  <c r="K8" i="2"/>
  <c r="K16" i="2"/>
  <c r="K28" i="2"/>
  <c r="K117" i="2"/>
  <c r="K114" i="2"/>
  <c r="K10" i="2"/>
  <c r="K15" i="2"/>
  <c r="K19" i="2"/>
  <c r="K38" i="2"/>
  <c r="K41" i="2"/>
  <c r="K50" i="2"/>
  <c r="K55" i="2"/>
  <c r="K58" i="2"/>
  <c r="K61" i="2"/>
  <c r="K66" i="2"/>
  <c r="K70" i="2"/>
  <c r="K76" i="2"/>
  <c r="K85" i="2"/>
  <c r="K87" i="2"/>
  <c r="Q21" i="1"/>
  <c r="R21" i="1" s="1"/>
  <c r="S21" i="1" s="1"/>
  <c r="Q19" i="1"/>
  <c r="R19" i="1" s="1"/>
  <c r="S19" i="1" s="1"/>
  <c r="Q9" i="1"/>
  <c r="R9" i="1" s="1"/>
  <c r="S9" i="1" s="1"/>
  <c r="Q5" i="1"/>
  <c r="R5" i="1" s="1"/>
  <c r="S5" i="1" s="1"/>
  <c r="AH115" i="2"/>
  <c r="AJ115" i="2"/>
  <c r="K114" i="1" s="1"/>
  <c r="L117" i="2"/>
  <c r="AJ117" i="2"/>
  <c r="K116" i="1" s="1"/>
  <c r="AH117" i="2"/>
  <c r="AH80" i="2"/>
  <c r="AJ80" i="2"/>
  <c r="K79" i="1" s="1"/>
  <c r="AH89" i="2"/>
  <c r="AJ89" i="2"/>
  <c r="K88" i="1" s="1"/>
  <c r="AH79" i="2"/>
  <c r="AJ79" i="2"/>
  <c r="K78" i="1" s="1"/>
  <c r="AH78" i="2"/>
  <c r="AJ78" i="2"/>
  <c r="K77" i="1" s="1"/>
  <c r="AH68" i="2"/>
  <c r="AJ68" i="2"/>
  <c r="K67" i="1" s="1"/>
  <c r="AH64" i="2"/>
  <c r="AJ64" i="2"/>
  <c r="K63" i="1" s="1"/>
  <c r="AH87" i="2"/>
  <c r="AJ87" i="2"/>
  <c r="K86" i="1" s="1"/>
  <c r="AH82" i="2"/>
  <c r="AJ82" i="2"/>
  <c r="K81" i="1" s="1"/>
  <c r="AH77" i="2"/>
  <c r="AJ77" i="2"/>
  <c r="K76" i="1" s="1"/>
  <c r="AH69" i="2"/>
  <c r="AJ69" i="2"/>
  <c r="K68" i="1" s="1"/>
  <c r="AH113" i="2"/>
  <c r="AJ113" i="2"/>
  <c r="K112" i="1" s="1"/>
  <c r="AH112" i="2"/>
  <c r="AJ112" i="2"/>
  <c r="K111" i="1" s="1"/>
  <c r="AH53" i="2"/>
  <c r="AJ53" i="2"/>
  <c r="K52" i="1" s="1"/>
  <c r="AH106" i="2"/>
  <c r="AJ106" i="2"/>
  <c r="K105" i="1" s="1"/>
  <c r="AH102" i="2"/>
  <c r="AJ102" i="2"/>
  <c r="K101" i="1" s="1"/>
  <c r="AH97" i="2"/>
  <c r="AJ97" i="2"/>
  <c r="K96" i="1" s="1"/>
  <c r="AH76" i="2"/>
  <c r="AJ76" i="2"/>
  <c r="K75" i="1" s="1"/>
  <c r="AH75" i="2"/>
  <c r="AJ75" i="2"/>
  <c r="K74" i="1" s="1"/>
  <c r="AH73" i="2"/>
  <c r="AJ73" i="2"/>
  <c r="K72" i="1" s="1"/>
  <c r="AH98" i="2"/>
  <c r="AJ98" i="2"/>
  <c r="K97" i="1" s="1"/>
  <c r="AH104" i="2"/>
  <c r="AJ104" i="2"/>
  <c r="K103" i="1" s="1"/>
  <c r="AH90" i="2"/>
  <c r="AJ90" i="2"/>
  <c r="K89" i="1" s="1"/>
  <c r="AH86" i="2"/>
  <c r="AJ86" i="2"/>
  <c r="K85" i="1" s="1"/>
  <c r="AH72" i="2"/>
  <c r="AJ72" i="2"/>
  <c r="K71" i="1" s="1"/>
  <c r="AH66" i="2"/>
  <c r="AJ66" i="2"/>
  <c r="K65" i="1" s="1"/>
  <c r="AJ111" i="2"/>
  <c r="K110" i="1" s="1"/>
  <c r="AK61" i="2"/>
  <c r="L60" i="1" s="1"/>
  <c r="AK45" i="2"/>
  <c r="L44" i="1" s="1"/>
  <c r="AK41" i="2"/>
  <c r="AK30" i="2"/>
  <c r="AK28" i="2"/>
  <c r="AK59" i="2"/>
  <c r="L58" i="1" s="1"/>
  <c r="AK52" i="2"/>
  <c r="AK38" i="2"/>
  <c r="AK29" i="2"/>
  <c r="AK5" i="2"/>
  <c r="AK56" i="2"/>
  <c r="AK32" i="2"/>
  <c r="AK31" i="2"/>
  <c r="AK26" i="2"/>
  <c r="AK58" i="2"/>
  <c r="AK55" i="2"/>
  <c r="AK47" i="2"/>
  <c r="AK46" i="2"/>
  <c r="L45" i="1" s="1"/>
  <c r="AK40" i="2"/>
  <c r="AK36" i="2"/>
  <c r="AK25" i="2"/>
  <c r="AK17" i="2"/>
  <c r="L16" i="1" s="1"/>
  <c r="AK7" i="2"/>
  <c r="L6" i="1" s="1"/>
  <c r="AK100" i="2"/>
  <c r="AH99" i="2"/>
  <c r="AJ99" i="2"/>
  <c r="K98" i="1" s="1"/>
  <c r="AH91" i="2"/>
  <c r="AJ91" i="2"/>
  <c r="K90" i="1" s="1"/>
  <c r="AH71" i="2"/>
  <c r="AJ71" i="2"/>
  <c r="K70" i="1" s="1"/>
  <c r="AH103" i="2"/>
  <c r="AJ103" i="2"/>
  <c r="K102" i="1" s="1"/>
  <c r="AH93" i="2"/>
  <c r="AJ93" i="2"/>
  <c r="K92" i="1" s="1"/>
  <c r="AH85" i="2"/>
  <c r="AJ85" i="2"/>
  <c r="K84" i="1" s="1"/>
  <c r="AH108" i="2"/>
  <c r="AJ108" i="2"/>
  <c r="K107" i="1" s="1"/>
  <c r="AJ105" i="2"/>
  <c r="K104" i="1" s="1"/>
  <c r="AH84" i="2"/>
  <c r="AJ84" i="2"/>
  <c r="K83" i="1" s="1"/>
  <c r="AH74" i="2"/>
  <c r="AJ74" i="2"/>
  <c r="K73" i="1" s="1"/>
  <c r="AH70" i="2"/>
  <c r="AJ70" i="2"/>
  <c r="K69" i="1" s="1"/>
  <c r="AH92" i="2"/>
  <c r="AJ92" i="2"/>
  <c r="K91" i="1" s="1"/>
  <c r="AH101" i="2"/>
  <c r="AJ101" i="2"/>
  <c r="K100" i="1" s="1"/>
  <c r="AH94" i="2"/>
  <c r="AJ94" i="2"/>
  <c r="K93" i="1" s="1"/>
  <c r="AH88" i="2"/>
  <c r="AJ88" i="2"/>
  <c r="K87" i="1" s="1"/>
  <c r="AH83" i="2"/>
  <c r="AJ83" i="2"/>
  <c r="K82" i="1" s="1"/>
  <c r="AH63" i="2"/>
  <c r="AJ63" i="2"/>
  <c r="K62" i="1" s="1"/>
  <c r="AH114" i="2"/>
  <c r="AJ114" i="2"/>
  <c r="K113" i="1" s="1"/>
  <c r="AH107" i="2"/>
  <c r="AJ107" i="2"/>
  <c r="K106" i="1" s="1"/>
  <c r="L3" i="2"/>
  <c r="L4" i="2"/>
  <c r="L5" i="2"/>
  <c r="L6" i="2"/>
  <c r="L7" i="2"/>
  <c r="L8" i="2"/>
  <c r="L9" i="2"/>
  <c r="L10" i="2"/>
  <c r="L11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40" i="2"/>
  <c r="L41" i="2"/>
  <c r="L42" i="2"/>
  <c r="L43" i="2"/>
  <c r="L44" i="2"/>
  <c r="L45" i="2"/>
  <c r="L46" i="2"/>
  <c r="L47" i="2"/>
  <c r="L48" i="2"/>
  <c r="L50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7" i="2"/>
  <c r="L98" i="2"/>
  <c r="L99" i="2"/>
  <c r="L101" i="2"/>
  <c r="L102" i="2"/>
  <c r="L103" i="2"/>
  <c r="L104" i="2"/>
  <c r="L106" i="2"/>
  <c r="L107" i="2"/>
  <c r="L108" i="2"/>
  <c r="L110" i="2"/>
  <c r="L112" i="2"/>
  <c r="K26" i="1" l="1"/>
  <c r="AK44" i="2"/>
  <c r="AK35" i="2"/>
  <c r="L34" i="1" s="1"/>
  <c r="AK19" i="2"/>
  <c r="L18" i="1" s="1"/>
  <c r="M18" i="1" s="1"/>
  <c r="N18" i="1" s="1"/>
  <c r="AK42" i="2"/>
  <c r="L41" i="1" s="1"/>
  <c r="AK57" i="2"/>
  <c r="L56" i="1" s="1"/>
  <c r="M56" i="1" s="1"/>
  <c r="N56" i="1" s="1"/>
  <c r="AK34" i="2"/>
  <c r="L33" i="1" s="1"/>
  <c r="AK50" i="2"/>
  <c r="L49" i="1" s="1"/>
  <c r="M49" i="1" s="1"/>
  <c r="N49" i="1" s="1"/>
  <c r="K51" i="2"/>
  <c r="AK48" i="2"/>
  <c r="L47" i="1" s="1"/>
  <c r="AK9" i="2"/>
  <c r="L8" i="1" s="1"/>
  <c r="AK21" i="2"/>
  <c r="L20" i="1" s="1"/>
  <c r="AK43" i="2"/>
  <c r="L42" i="1" s="1"/>
  <c r="M42" i="1" s="1"/>
  <c r="N42" i="1" s="1"/>
  <c r="AK62" i="2"/>
  <c r="L61" i="1" s="1"/>
  <c r="AJ51" i="2"/>
  <c r="K50" i="1" s="1"/>
  <c r="AK24" i="2"/>
  <c r="L23" i="1" s="1"/>
  <c r="AK37" i="2"/>
  <c r="L36" i="1" s="1"/>
  <c r="K13" i="1"/>
  <c r="AK60" i="2"/>
  <c r="L59" i="1" s="1"/>
  <c r="M59" i="1" s="1"/>
  <c r="N59" i="1" s="1"/>
  <c r="AK3" i="2"/>
  <c r="L2" i="1" s="1"/>
  <c r="M2" i="1" s="1"/>
  <c r="N2" i="1" s="1"/>
  <c r="K2" i="1"/>
  <c r="L51" i="2"/>
  <c r="AK54" i="2"/>
  <c r="L53" i="1" s="1"/>
  <c r="AK33" i="2"/>
  <c r="L32" i="1" s="1"/>
  <c r="AK18" i="2"/>
  <c r="L17" i="1" s="1"/>
  <c r="O51" i="2"/>
  <c r="R51" i="2" s="1"/>
  <c r="N51" i="2"/>
  <c r="Q51" i="2" s="1"/>
  <c r="AK95" i="2"/>
  <c r="L94" i="1" s="1"/>
  <c r="K19" i="1"/>
  <c r="AK20" i="2"/>
  <c r="L19" i="1" s="1"/>
  <c r="K14" i="1"/>
  <c r="AK15" i="2"/>
  <c r="L14" i="1" s="1"/>
  <c r="K21" i="1"/>
  <c r="AK22" i="2"/>
  <c r="L21" i="1" s="1"/>
  <c r="K15" i="1"/>
  <c r="AK16" i="2"/>
  <c r="L15" i="1" s="1"/>
  <c r="K22" i="1"/>
  <c r="AK23" i="2"/>
  <c r="L22" i="1" s="1"/>
  <c r="M22" i="1" s="1"/>
  <c r="N22" i="1" s="1"/>
  <c r="K3" i="1"/>
  <c r="AK4" i="2"/>
  <c r="L3" i="1" s="1"/>
  <c r="M3" i="1" s="1"/>
  <c r="N3" i="1" s="1"/>
  <c r="K5" i="1"/>
  <c r="AK6" i="2"/>
  <c r="L5" i="1" s="1"/>
  <c r="K7" i="1"/>
  <c r="AK8" i="2"/>
  <c r="L7" i="1" s="1"/>
  <c r="M7" i="1" s="1"/>
  <c r="N7" i="1" s="1"/>
  <c r="K9" i="1"/>
  <c r="AK10" i="2"/>
  <c r="L9" i="1" s="1"/>
  <c r="K10" i="1"/>
  <c r="AK11" i="2"/>
  <c r="L10" i="1" s="1"/>
  <c r="K109" i="1"/>
  <c r="AK110" i="2"/>
  <c r="L109" i="1" s="1"/>
  <c r="M109" i="1" s="1"/>
  <c r="N109" i="1" s="1"/>
  <c r="K115" i="1"/>
  <c r="AK116" i="2"/>
  <c r="L115" i="1" s="1"/>
  <c r="L99" i="1"/>
  <c r="L24" i="1"/>
  <c r="L35" i="1"/>
  <c r="L54" i="1"/>
  <c r="L25" i="1"/>
  <c r="L31" i="1"/>
  <c r="L55" i="1"/>
  <c r="L4" i="1"/>
  <c r="L28" i="1"/>
  <c r="L43" i="1"/>
  <c r="M43" i="1" s="1"/>
  <c r="N43" i="1" s="1"/>
  <c r="L39" i="1"/>
  <c r="L46" i="1"/>
  <c r="L57" i="1"/>
  <c r="L30" i="1"/>
  <c r="L37" i="1"/>
  <c r="L51" i="1"/>
  <c r="L27" i="1"/>
  <c r="L29" i="1"/>
  <c r="L40" i="1"/>
  <c r="Q6" i="1"/>
  <c r="R6" i="1" s="1"/>
  <c r="S6" i="1" s="1"/>
  <c r="Q13" i="1"/>
  <c r="R13" i="1" s="1"/>
  <c r="S13" i="1" s="1"/>
  <c r="Q45" i="1"/>
  <c r="R45" i="1" s="1"/>
  <c r="S45" i="1" s="1"/>
  <c r="Q17" i="1"/>
  <c r="R17" i="1" s="1"/>
  <c r="S17" i="1" s="1"/>
  <c r="Q23" i="1"/>
  <c r="R23" i="1" s="1"/>
  <c r="S23" i="1" s="1"/>
  <c r="Q26" i="1"/>
  <c r="R26" i="1" s="1"/>
  <c r="S26" i="1" s="1"/>
  <c r="Q44" i="1"/>
  <c r="R44" i="1" s="1"/>
  <c r="S44" i="1" s="1"/>
  <c r="Q60" i="1"/>
  <c r="R60" i="1" s="1"/>
  <c r="S60" i="1" s="1"/>
  <c r="Q16" i="1"/>
  <c r="R16" i="1" s="1"/>
  <c r="S16" i="1" s="1"/>
  <c r="Q36" i="1"/>
  <c r="R36" i="1" s="1"/>
  <c r="S36" i="1" s="1"/>
  <c r="Q8" i="1"/>
  <c r="R8" i="1" s="1"/>
  <c r="S8" i="1" s="1"/>
  <c r="Q58" i="1"/>
  <c r="R58" i="1" s="1"/>
  <c r="S58" i="1" s="1"/>
  <c r="AK117" i="2"/>
  <c r="AK115" i="2"/>
  <c r="AK107" i="2"/>
  <c r="L106" i="1" s="1"/>
  <c r="AK114" i="2"/>
  <c r="AK63" i="2"/>
  <c r="AK83" i="2"/>
  <c r="AK88" i="2"/>
  <c r="L87" i="1" s="1"/>
  <c r="AK94" i="2"/>
  <c r="AK101" i="2"/>
  <c r="AK92" i="2"/>
  <c r="AK70" i="2"/>
  <c r="L69" i="1" s="1"/>
  <c r="M69" i="1" s="1"/>
  <c r="N69" i="1" s="1"/>
  <c r="AK74" i="2"/>
  <c r="L73" i="1" s="1"/>
  <c r="AK84" i="2"/>
  <c r="AK105" i="2"/>
  <c r="AK108" i="2"/>
  <c r="L107" i="1" s="1"/>
  <c r="AK85" i="2"/>
  <c r="AK93" i="2"/>
  <c r="L92" i="1" s="1"/>
  <c r="AK103" i="2"/>
  <c r="AK71" i="2"/>
  <c r="L70" i="1" s="1"/>
  <c r="AK91" i="2"/>
  <c r="AK99" i="2"/>
  <c r="L98" i="1" s="1"/>
  <c r="AK111" i="2"/>
  <c r="L110" i="1" s="1"/>
  <c r="AK66" i="2"/>
  <c r="AK72" i="2"/>
  <c r="L71" i="1" s="1"/>
  <c r="AK86" i="2"/>
  <c r="AK90" i="2"/>
  <c r="L89" i="1" s="1"/>
  <c r="AK104" i="2"/>
  <c r="AK98" i="2"/>
  <c r="AK73" i="2"/>
  <c r="AK75" i="2"/>
  <c r="L74" i="1" s="1"/>
  <c r="AK76" i="2"/>
  <c r="AK97" i="2"/>
  <c r="L96" i="1" s="1"/>
  <c r="AK102" i="2"/>
  <c r="L101" i="1" s="1"/>
  <c r="AK106" i="2"/>
  <c r="AK53" i="2"/>
  <c r="AK112" i="2"/>
  <c r="AK113" i="2"/>
  <c r="AK69" i="2"/>
  <c r="AK77" i="2"/>
  <c r="AK82" i="2"/>
  <c r="L81" i="1" s="1"/>
  <c r="AK87" i="2"/>
  <c r="AK64" i="2"/>
  <c r="L63" i="1" s="1"/>
  <c r="AK68" i="2"/>
  <c r="AK78" i="2"/>
  <c r="L77" i="1" s="1"/>
  <c r="AK79" i="2"/>
  <c r="L78" i="1" s="1"/>
  <c r="AK89" i="2"/>
  <c r="AK80" i="2"/>
  <c r="L79" i="1" s="1"/>
  <c r="Q56" i="1" l="1"/>
  <c r="R56" i="1" s="1"/>
  <c r="S56" i="1" s="1"/>
  <c r="AK51" i="2"/>
  <c r="L50" i="1" s="1"/>
  <c r="M50" i="1" s="1"/>
  <c r="N50" i="1" s="1"/>
  <c r="M61" i="1"/>
  <c r="N61" i="1" s="1"/>
  <c r="M47" i="1"/>
  <c r="N47" i="1" s="1"/>
  <c r="M57" i="1"/>
  <c r="N57" i="1" s="1"/>
  <c r="M31" i="1"/>
  <c r="N31" i="1" s="1"/>
  <c r="M40" i="1"/>
  <c r="N40" i="1" s="1"/>
  <c r="M51" i="1"/>
  <c r="N51" i="1" s="1"/>
  <c r="M32" i="1"/>
  <c r="N32" i="1" s="1"/>
  <c r="M46" i="1"/>
  <c r="N46" i="1" s="1"/>
  <c r="M4" i="1"/>
  <c r="N4" i="1" s="1"/>
  <c r="M25" i="1"/>
  <c r="N25" i="1" s="1"/>
  <c r="M10" i="1"/>
  <c r="N10" i="1" s="1"/>
  <c r="M29" i="1"/>
  <c r="N29" i="1" s="1"/>
  <c r="M37" i="1"/>
  <c r="N37" i="1" s="1"/>
  <c r="M30" i="1"/>
  <c r="N30" i="1" s="1"/>
  <c r="M55" i="1"/>
  <c r="N55" i="1" s="1"/>
  <c r="M54" i="1"/>
  <c r="N54" i="1" s="1"/>
  <c r="M99" i="1"/>
  <c r="N99" i="1" s="1"/>
  <c r="M41" i="1"/>
  <c r="N41" i="1" s="1"/>
  <c r="M28" i="1"/>
  <c r="N28" i="1" s="1"/>
  <c r="M24" i="1"/>
  <c r="N24" i="1" s="1"/>
  <c r="M115" i="1"/>
  <c r="N115" i="1" s="1"/>
  <c r="M27" i="1"/>
  <c r="N27" i="1" s="1"/>
  <c r="M20" i="1"/>
  <c r="N20" i="1" s="1"/>
  <c r="M53" i="1"/>
  <c r="N53" i="1" s="1"/>
  <c r="M39" i="1"/>
  <c r="N39" i="1" s="1"/>
  <c r="M33" i="1"/>
  <c r="N33" i="1" s="1"/>
  <c r="M34" i="1"/>
  <c r="N34" i="1" s="1"/>
  <c r="M35" i="1"/>
  <c r="N35" i="1" s="1"/>
  <c r="M15" i="1"/>
  <c r="N15" i="1" s="1"/>
  <c r="M14" i="1"/>
  <c r="N14" i="1" s="1"/>
  <c r="M94" i="1"/>
  <c r="N94" i="1" s="1"/>
  <c r="Q22" i="1"/>
  <c r="R22" i="1" s="1"/>
  <c r="S22" i="1" s="1"/>
  <c r="Q2" i="1"/>
  <c r="R2" i="1" s="1"/>
  <c r="S2" i="1" s="1"/>
  <c r="Q7" i="1"/>
  <c r="R7" i="1" s="1"/>
  <c r="S7" i="1" s="1"/>
  <c r="Q3" i="1"/>
  <c r="R3" i="1" s="1"/>
  <c r="S3" i="1" s="1"/>
  <c r="Q42" i="1"/>
  <c r="R42" i="1" s="1"/>
  <c r="S42" i="1" s="1"/>
  <c r="Q18" i="1"/>
  <c r="R18" i="1" s="1"/>
  <c r="S18" i="1" s="1"/>
  <c r="Q109" i="1"/>
  <c r="R109" i="1" s="1"/>
  <c r="S109" i="1" s="1"/>
  <c r="Q43" i="1"/>
  <c r="R43" i="1" s="1"/>
  <c r="S43" i="1" s="1"/>
  <c r="Q59" i="1"/>
  <c r="R59" i="1" s="1"/>
  <c r="S59" i="1" s="1"/>
  <c r="Q49" i="1"/>
  <c r="R49" i="1" s="1"/>
  <c r="S49" i="1" s="1"/>
  <c r="L88" i="1"/>
  <c r="M88" i="1" s="1"/>
  <c r="N88" i="1" s="1"/>
  <c r="L67" i="1"/>
  <c r="M67" i="1" s="1"/>
  <c r="N67" i="1" s="1"/>
  <c r="L86" i="1"/>
  <c r="M86" i="1" s="1"/>
  <c r="N86" i="1" s="1"/>
  <c r="L103" i="1"/>
  <c r="M103" i="1" s="1"/>
  <c r="N103" i="1" s="1"/>
  <c r="L90" i="1"/>
  <c r="L91" i="1"/>
  <c r="M91" i="1" s="1"/>
  <c r="N91" i="1" s="1"/>
  <c r="L82" i="1"/>
  <c r="M82" i="1" s="1"/>
  <c r="N82" i="1" s="1"/>
  <c r="L62" i="1"/>
  <c r="M62" i="1" s="1"/>
  <c r="N62" i="1" s="1"/>
  <c r="L116" i="1"/>
  <c r="M116" i="1" s="1"/>
  <c r="N116" i="1" s="1"/>
  <c r="L76" i="1"/>
  <c r="M76" i="1" s="1"/>
  <c r="N76" i="1" s="1"/>
  <c r="L112" i="1"/>
  <c r="M112" i="1" s="1"/>
  <c r="N112" i="1" s="1"/>
  <c r="L52" i="1"/>
  <c r="L75" i="1"/>
  <c r="M75" i="1" s="1"/>
  <c r="N75" i="1" s="1"/>
  <c r="L72" i="1"/>
  <c r="M72" i="1" s="1"/>
  <c r="N72" i="1" s="1"/>
  <c r="L84" i="1"/>
  <c r="M84" i="1" s="1"/>
  <c r="N84" i="1" s="1"/>
  <c r="L68" i="1"/>
  <c r="M68" i="1" s="1"/>
  <c r="N68" i="1" s="1"/>
  <c r="L111" i="1"/>
  <c r="M111" i="1" s="1"/>
  <c r="N111" i="1" s="1"/>
  <c r="L105" i="1"/>
  <c r="M105" i="1" s="1"/>
  <c r="N105" i="1" s="1"/>
  <c r="L97" i="1"/>
  <c r="M97" i="1" s="1"/>
  <c r="N97" i="1" s="1"/>
  <c r="L85" i="1"/>
  <c r="M85" i="1" s="1"/>
  <c r="N85" i="1" s="1"/>
  <c r="L65" i="1"/>
  <c r="M65" i="1" s="1"/>
  <c r="N65" i="1" s="1"/>
  <c r="L102" i="1"/>
  <c r="M102" i="1" s="1"/>
  <c r="N102" i="1" s="1"/>
  <c r="L104" i="1"/>
  <c r="L83" i="1"/>
  <c r="M83" i="1" s="1"/>
  <c r="N83" i="1" s="1"/>
  <c r="L100" i="1"/>
  <c r="M100" i="1" s="1"/>
  <c r="N100" i="1" s="1"/>
  <c r="L93" i="1"/>
  <c r="M93" i="1" s="1"/>
  <c r="N93" i="1" s="1"/>
  <c r="L113" i="1"/>
  <c r="M113" i="1" s="1"/>
  <c r="N113" i="1" s="1"/>
  <c r="L114" i="1"/>
  <c r="M114" i="1" s="1"/>
  <c r="N114" i="1" s="1"/>
  <c r="Q77" i="1"/>
  <c r="R77" i="1" s="1"/>
  <c r="S77" i="1" s="1"/>
  <c r="Q74" i="1"/>
  <c r="R74" i="1" s="1"/>
  <c r="S74" i="1" s="1"/>
  <c r="Q110" i="1"/>
  <c r="R110" i="1" s="1"/>
  <c r="S110" i="1" s="1"/>
  <c r="Q98" i="1"/>
  <c r="R98" i="1" s="1"/>
  <c r="S98" i="1" s="1"/>
  <c r="Q92" i="1"/>
  <c r="R92" i="1" s="1"/>
  <c r="S92" i="1" s="1"/>
  <c r="Q73" i="1"/>
  <c r="R73" i="1" s="1"/>
  <c r="S73" i="1" s="1"/>
  <c r="Q87" i="1"/>
  <c r="R87" i="1" s="1"/>
  <c r="S87" i="1" s="1"/>
  <c r="Q79" i="1"/>
  <c r="R79" i="1" s="1"/>
  <c r="S79" i="1" s="1"/>
  <c r="Q78" i="1"/>
  <c r="R78" i="1" s="1"/>
  <c r="S78" i="1" s="1"/>
  <c r="Q101" i="1"/>
  <c r="R101" i="1" s="1"/>
  <c r="S101" i="1" s="1"/>
  <c r="Q89" i="1"/>
  <c r="R89" i="1" s="1"/>
  <c r="S89" i="1" s="1"/>
  <c r="Q71" i="1"/>
  <c r="R71" i="1" s="1"/>
  <c r="S71" i="1" s="1"/>
  <c r="Q70" i="1"/>
  <c r="R70" i="1" s="1"/>
  <c r="S70" i="1" s="1"/>
  <c r="Q107" i="1"/>
  <c r="R107" i="1" s="1"/>
  <c r="S107" i="1" s="1"/>
  <c r="Q69" i="1"/>
  <c r="R69" i="1" s="1"/>
  <c r="S69" i="1" s="1"/>
  <c r="Q63" i="1"/>
  <c r="R63" i="1" s="1"/>
  <c r="S63" i="1" s="1"/>
  <c r="Q81" i="1"/>
  <c r="R81" i="1" s="1"/>
  <c r="S81" i="1" s="1"/>
  <c r="Q96" i="1"/>
  <c r="R96" i="1" s="1"/>
  <c r="S96" i="1" s="1"/>
  <c r="Q106" i="1"/>
  <c r="R106" i="1" s="1"/>
  <c r="S106" i="1" s="1"/>
  <c r="Q61" i="1" l="1"/>
  <c r="R61" i="1" s="1"/>
  <c r="S61" i="1" s="1"/>
  <c r="Q99" i="1"/>
  <c r="R99" i="1" s="1"/>
  <c r="S99" i="1" s="1"/>
  <c r="Q20" i="1"/>
  <c r="R20" i="1" s="1"/>
  <c r="S20" i="1" s="1"/>
  <c r="Q32" i="1"/>
  <c r="R32" i="1" s="1"/>
  <c r="S32" i="1" s="1"/>
  <c r="Q39" i="1"/>
  <c r="R39" i="1" s="1"/>
  <c r="S39" i="1" s="1"/>
  <c r="Q4" i="1"/>
  <c r="R4" i="1" s="1"/>
  <c r="S4" i="1" s="1"/>
  <c r="Q94" i="1"/>
  <c r="R94" i="1" s="1"/>
  <c r="S94" i="1" s="1"/>
  <c r="Q55" i="1"/>
  <c r="R55" i="1" s="1"/>
  <c r="S55" i="1" s="1"/>
  <c r="Q34" i="1"/>
  <c r="R34" i="1" s="1"/>
  <c r="S34" i="1" s="1"/>
  <c r="Q28" i="1"/>
  <c r="R28" i="1" s="1"/>
  <c r="S28" i="1" s="1"/>
  <c r="Q10" i="1"/>
  <c r="R10" i="1" s="1"/>
  <c r="S10" i="1" s="1"/>
  <c r="Q57" i="1"/>
  <c r="R57" i="1" s="1"/>
  <c r="S57" i="1" s="1"/>
  <c r="Q15" i="1"/>
  <c r="R15" i="1" s="1"/>
  <c r="S15" i="1" s="1"/>
  <c r="Q115" i="1"/>
  <c r="R115" i="1" s="1"/>
  <c r="S115" i="1" s="1"/>
  <c r="Q37" i="1"/>
  <c r="R37" i="1" s="1"/>
  <c r="S37" i="1" s="1"/>
  <c r="Q40" i="1"/>
  <c r="R40" i="1" s="1"/>
  <c r="S40" i="1" s="1"/>
  <c r="M52" i="1"/>
  <c r="N52" i="1" s="1"/>
  <c r="Q14" i="1"/>
  <c r="R14" i="1" s="1"/>
  <c r="S14" i="1" s="1"/>
  <c r="Q35" i="1"/>
  <c r="R35" i="1" s="1"/>
  <c r="S35" i="1" s="1"/>
  <c r="Q33" i="1"/>
  <c r="R33" i="1" s="1"/>
  <c r="S33" i="1" s="1"/>
  <c r="Q53" i="1"/>
  <c r="R53" i="1" s="1"/>
  <c r="S53" i="1" s="1"/>
  <c r="Q27" i="1"/>
  <c r="R27" i="1" s="1"/>
  <c r="S27" i="1" s="1"/>
  <c r="Q24" i="1"/>
  <c r="R24" i="1" s="1"/>
  <c r="S24" i="1" s="1"/>
  <c r="Q41" i="1"/>
  <c r="R41" i="1" s="1"/>
  <c r="S41" i="1" s="1"/>
  <c r="Q54" i="1"/>
  <c r="R54" i="1" s="1"/>
  <c r="S54" i="1" s="1"/>
  <c r="Q30" i="1"/>
  <c r="R30" i="1" s="1"/>
  <c r="S30" i="1" s="1"/>
  <c r="Q29" i="1"/>
  <c r="R29" i="1" s="1"/>
  <c r="S29" i="1" s="1"/>
  <c r="Q25" i="1"/>
  <c r="R25" i="1" s="1"/>
  <c r="S25" i="1" s="1"/>
  <c r="Q46" i="1"/>
  <c r="R46" i="1" s="1"/>
  <c r="S46" i="1" s="1"/>
  <c r="Q51" i="1"/>
  <c r="R51" i="1" s="1"/>
  <c r="S51" i="1" s="1"/>
  <c r="Q31" i="1"/>
  <c r="R31" i="1" s="1"/>
  <c r="S31" i="1" s="1"/>
  <c r="Q47" i="1"/>
  <c r="R47" i="1" s="1"/>
  <c r="S47" i="1" s="1"/>
  <c r="Q90" i="1"/>
  <c r="R90" i="1" s="1"/>
  <c r="S90" i="1" s="1"/>
  <c r="Q85" i="1"/>
  <c r="R85" i="1" s="1"/>
  <c r="S85" i="1" s="1"/>
  <c r="Q93" i="1"/>
  <c r="R93" i="1" s="1"/>
  <c r="S93" i="1" s="1"/>
  <c r="Q104" i="1"/>
  <c r="R104" i="1" s="1"/>
  <c r="S104" i="1" s="1"/>
  <c r="Q82" i="1"/>
  <c r="R82" i="1" s="1"/>
  <c r="S82" i="1" s="1"/>
  <c r="Q65" i="1"/>
  <c r="R65" i="1" s="1"/>
  <c r="S65" i="1" s="1"/>
  <c r="Q84" i="1"/>
  <c r="R84" i="1" s="1"/>
  <c r="S84" i="1" s="1"/>
  <c r="Q50" i="1"/>
  <c r="R50" i="1" s="1"/>
  <c r="S50" i="1" s="1"/>
  <c r="Q75" i="1"/>
  <c r="R75" i="1" s="1"/>
  <c r="S75" i="1" s="1"/>
  <c r="Q112" i="1"/>
  <c r="R112" i="1" s="1"/>
  <c r="S112" i="1" s="1"/>
  <c r="Q116" i="1"/>
  <c r="R116" i="1" s="1"/>
  <c r="S116" i="1" s="1"/>
  <c r="Q62" i="1"/>
  <c r="R62" i="1" s="1"/>
  <c r="S62" i="1" s="1"/>
  <c r="Q86" i="1"/>
  <c r="R86" i="1" s="1"/>
  <c r="S86" i="1" s="1"/>
  <c r="Q88" i="1"/>
  <c r="R88" i="1" s="1"/>
  <c r="S88" i="1" s="1"/>
  <c r="Q111" i="1"/>
  <c r="R111" i="1" s="1"/>
  <c r="S111" i="1" s="1"/>
  <c r="Q102" i="1"/>
  <c r="R102" i="1" s="1"/>
  <c r="S102" i="1" s="1"/>
  <c r="Q97" i="1"/>
  <c r="R97" i="1" s="1"/>
  <c r="S97" i="1" s="1"/>
  <c r="Q72" i="1"/>
  <c r="R72" i="1" s="1"/>
  <c r="S72" i="1" s="1"/>
  <c r="Q76" i="1"/>
  <c r="R76" i="1" s="1"/>
  <c r="S76" i="1" s="1"/>
  <c r="Q91" i="1"/>
  <c r="R91" i="1" s="1"/>
  <c r="S91" i="1" s="1"/>
  <c r="Q103" i="1"/>
  <c r="R103" i="1" s="1"/>
  <c r="S103" i="1" s="1"/>
  <c r="Q67" i="1"/>
  <c r="R67" i="1" s="1"/>
  <c r="S67" i="1" s="1"/>
  <c r="Q105" i="1"/>
  <c r="R105" i="1" s="1"/>
  <c r="S105" i="1" s="1"/>
  <c r="Q113" i="1"/>
  <c r="R113" i="1" s="1"/>
  <c r="S113" i="1" s="1"/>
  <c r="Q68" i="1"/>
  <c r="R68" i="1" s="1"/>
  <c r="S68" i="1" s="1"/>
  <c r="Q114" i="1"/>
  <c r="R114" i="1" s="1"/>
  <c r="S114" i="1" s="1"/>
  <c r="Q100" i="1"/>
  <c r="R100" i="1" s="1"/>
  <c r="S100" i="1" s="1"/>
  <c r="Q83" i="1"/>
  <c r="R83" i="1" s="1"/>
  <c r="S83" i="1" s="1"/>
  <c r="Q52" i="1" l="1"/>
  <c r="R52" i="1" s="1"/>
  <c r="S52" i="1" s="1"/>
</calcChain>
</file>

<file path=xl/sharedStrings.xml><?xml version="1.0" encoding="utf-8"?>
<sst xmlns="http://schemas.openxmlformats.org/spreadsheetml/2006/main" count="593" uniqueCount="219">
  <si>
    <t>Selskabsnavn</t>
  </si>
  <si>
    <t>boring</t>
  </si>
  <si>
    <t>vandværk</t>
  </si>
  <si>
    <t>trykforøgerstationer</t>
  </si>
  <si>
    <t>rentvand ledning</t>
  </si>
  <si>
    <t>Stik</t>
  </si>
  <si>
    <t>Kunder</t>
  </si>
  <si>
    <t>Kontrolprøver</t>
  </si>
  <si>
    <t>El</t>
  </si>
  <si>
    <t>opp vandmængde</t>
  </si>
  <si>
    <t>type 1</t>
  </si>
  <si>
    <t>type 2</t>
  </si>
  <si>
    <t>type 3</t>
  </si>
  <si>
    <t>0 m3/t - 50 m3/t (stk)</t>
  </si>
  <si>
    <t>Samlet kap. ml 0 m3/t - 50 m3/t</t>
  </si>
  <si>
    <t>51 m3/t - 100 m3/t (stk)</t>
  </si>
  <si>
    <t>Samlet kap. ml 51 m3/t - 100 m3/t</t>
  </si>
  <si>
    <t>101 m3/t - 200 m3/t (stk)</t>
  </si>
  <si>
    <t>Samlet kap. ml 101 m3/t - 200 m3/t</t>
  </si>
  <si>
    <t>201 m3/t - 400 m3/t (stk)</t>
  </si>
  <si>
    <t>Samlet kap. ml 201 m3/t - 400 m3/t</t>
  </si>
  <si>
    <t>401 m3/t - 600 m3/t</t>
  </si>
  <si>
    <t>Samlet kap. m. 401 m3/t - 600 m3/t</t>
  </si>
  <si>
    <t>601 m3/t - max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</si>
  <si>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</si>
  <si>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</si>
  <si>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</si>
  <si>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</si>
  <si>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</si>
  <si>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</si>
  <si>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lovpligtige</t>
  </si>
  <si>
    <t>udover lovpligtige</t>
  </si>
  <si>
    <t>planlagte og udførte begrænsede</t>
  </si>
  <si>
    <t>planlagte og udførte normale</t>
  </si>
  <si>
    <t>planlagte og udførte udvidede</t>
  </si>
  <si>
    <t>planlagte og udførte kontrol med sporstoffer</t>
  </si>
  <si>
    <t>planlagte og udførte kontrol med organiske mikroforureninger</t>
  </si>
  <si>
    <t>planlagte og udførte boringskontrol</t>
  </si>
  <si>
    <t>Selskabets samlede el forbrug (kWt)</t>
  </si>
  <si>
    <t>Arwos Vand A/S</t>
  </si>
  <si>
    <t>Assens Vandværk A/S</t>
  </si>
  <si>
    <t>Billund Drikkevand A/S</t>
  </si>
  <si>
    <t>Bjøvlund Vandværk</t>
  </si>
  <si>
    <t>Bogense Forsyningsselskab A.m.b.a</t>
  </si>
  <si>
    <t>Bolderslev Vandværk</t>
  </si>
  <si>
    <t>Bjerringbro Fællesvandværk</t>
  </si>
  <si>
    <t>Bording Vandværk A.m.b.a</t>
  </si>
  <si>
    <t>Brædstrup Vandværk Amba</t>
  </si>
  <si>
    <t>Brørup Vandværk A.m.b.a.</t>
  </si>
  <si>
    <t>Borup Vandværk</t>
  </si>
  <si>
    <t>Dronninglund Vandværk A.m.b.A</t>
  </si>
  <si>
    <t>Ejby Vandværk</t>
  </si>
  <si>
    <t>Branderup Vandværk</t>
  </si>
  <si>
    <t>Bredebro Andelsvandværk</t>
  </si>
  <si>
    <t>Farsø Vandværk I/S</t>
  </si>
  <si>
    <t>Brønderslev Vand A/S</t>
  </si>
  <si>
    <t>Faxe Vandværk Smba</t>
  </si>
  <si>
    <t>Fjerritslev Vand Amba</t>
  </si>
  <si>
    <t>Dianalund Vandværk</t>
  </si>
  <si>
    <t>Fonden Djurs Vand</t>
  </si>
  <si>
    <t>Frederiksberg Vand A/S</t>
  </si>
  <si>
    <t>Egedal Vandforsyning A/S</t>
  </si>
  <si>
    <t>Frederiksberg Vandværk</t>
  </si>
  <si>
    <t>Egå vandværk a.m.b.a</t>
  </si>
  <si>
    <t>Frederikssund Vand A/S</t>
  </si>
  <si>
    <t>Energi Viborg Vand A/S</t>
  </si>
  <si>
    <t>Galten Vandværk</t>
  </si>
  <si>
    <t>Gilleleje Vandværk a.m.b.a.</t>
  </si>
  <si>
    <t>Give Vandværk A.m.b.a</t>
  </si>
  <si>
    <t>Gl. Hørning Vandværk</t>
  </si>
  <si>
    <t>Gladsaxe Vand A/S</t>
  </si>
  <si>
    <t>Fensmark Vandværk A.m.b.a </t>
  </si>
  <si>
    <t>Glamsbjerg vandværk</t>
  </si>
  <si>
    <t>Glostrup Vand a/s</t>
  </si>
  <si>
    <t>Greve Vandværk A.m.b.a.</t>
  </si>
  <si>
    <t>Gørlev Vandforsyning</t>
  </si>
  <si>
    <t>Halsnaes Forsyning A/S</t>
  </si>
  <si>
    <t>Halsnæs Vandforsyning a.m.b.a.</t>
  </si>
  <si>
    <t>Hammerum Vandværk</t>
  </si>
  <si>
    <t>Helle Vest Amba</t>
  </si>
  <si>
    <t>Gram Vandværk</t>
  </si>
  <si>
    <t>Hillerød Vand A/S</t>
  </si>
  <si>
    <t>Hinnerup Vandværk A.m.b.a.</t>
  </si>
  <si>
    <t>Holbæk Vand A/S</t>
  </si>
  <si>
    <t>Hornbæk Vandværk Amba</t>
  </si>
  <si>
    <t>Hornslet Vandværk A.m.b.a</t>
  </si>
  <si>
    <t>HTK Vand A/S</t>
  </si>
  <si>
    <t>Hurup Vandværk</t>
  </si>
  <si>
    <t>Høng Vandværk a.m.b.a.</t>
  </si>
  <si>
    <t>Haarby Vandværk</t>
  </si>
  <si>
    <t>Haarlev Vandværk</t>
  </si>
  <si>
    <t>I/S Ørslev Vandværk</t>
  </si>
  <si>
    <t>Jammerbugt Forsyning A/S</t>
  </si>
  <si>
    <t>Klinting Vandværk</t>
  </si>
  <si>
    <t>Køge Vand A/S</t>
  </si>
  <si>
    <t>Langeland Vand ApS</t>
  </si>
  <si>
    <t>Hjerting Vandværk Amba</t>
  </si>
  <si>
    <t>Langeskov Vandværk</t>
  </si>
  <si>
    <t>Hjørring Vandselskab A/S</t>
  </si>
  <si>
    <t>Lille Skensved Vandværk Amba</t>
  </si>
  <si>
    <t>Lillerød Andelsvandværk a.m.b.a.</t>
  </si>
  <si>
    <t>Løgten Skødstrup Vandværk A.m.b.a.</t>
  </si>
  <si>
    <t>Løkken Vandværk</t>
  </si>
  <si>
    <t>Midtfyns Vandforsyning A.m.b.A.</t>
  </si>
  <si>
    <t>Mørkøv Vandværk</t>
  </si>
  <si>
    <t>Nordenskov Vandværk</t>
  </si>
  <si>
    <t>Nyhuse Vandværk a.m.b.a.</t>
  </si>
  <si>
    <t>Kalundborg Overfladevand A/S</t>
  </si>
  <si>
    <t>Næsby Vandværk</t>
  </si>
  <si>
    <t>Otterup Vandværk</t>
  </si>
  <si>
    <t>Oxby Og Ho Vandværk a.m.b.a.</t>
  </si>
  <si>
    <t>Padborg Vandværk A.m.b.a</t>
  </si>
  <si>
    <t>Kvarmløse-Tølløse Vandværk</t>
  </si>
  <si>
    <t>Rebild Vand &amp; Spildevand A/S</t>
  </si>
  <si>
    <t>Ringkjøbing-Skjern Vand A/S</t>
  </si>
  <si>
    <t>Lejre Vand A/S</t>
  </si>
  <si>
    <t>Lemvig Vand og Spildevand A/S</t>
  </si>
  <si>
    <t>Rødding Vandværk Amba</t>
  </si>
  <si>
    <t>Sdr. Felding Vandværk a.m.b.a.</t>
  </si>
  <si>
    <t>Sindal Vandværk Amba</t>
  </si>
  <si>
    <t>Skærbæk Vandværk</t>
  </si>
  <si>
    <t>Snejbjerg Vandværk A.m.b.a.</t>
  </si>
  <si>
    <t>Stenlien Vandværk Amba</t>
  </si>
  <si>
    <t>Mariager Vand Amba</t>
  </si>
  <si>
    <t>Stenløse Vandværk</t>
  </si>
  <si>
    <t>Strømmen Vandværk</t>
  </si>
  <si>
    <t>Svinninge Vandværk</t>
  </si>
  <si>
    <t>Mårslet Vandværk</t>
  </si>
  <si>
    <t>Søndersø Vandværk</t>
  </si>
  <si>
    <t>Thisted Drikkevand A/S</t>
  </si>
  <si>
    <t>Tinglev Vandværk</t>
  </si>
  <si>
    <t>Nybrovejens Vandværk A.m.b.a</t>
  </si>
  <si>
    <t>Udsholt Vandværk A.m.b.a.</t>
  </si>
  <si>
    <t>Ulsted-Ålebæk Vandværk A.m.b.a.</t>
  </si>
  <si>
    <t>Odder Vandværk A.m.b.a.</t>
  </si>
  <si>
    <t>Vandcenter Djurs a.m.b.a</t>
  </si>
  <si>
    <t>Vandcenter Syd as</t>
  </si>
  <si>
    <t>Vandforsyningen Brovst og Omegn</t>
  </si>
  <si>
    <t>Vandforsyningen Østlolland a.m.b.a.</t>
  </si>
  <si>
    <t>Vandfællesskabet Nordvestsjælland a.m.b.a.</t>
  </si>
  <si>
    <t>Vandværket Lyngen</t>
  </si>
  <si>
    <t>VARDE VANDFORSYNING A/S</t>
  </si>
  <si>
    <t>Vestforsyning Vand A/S</t>
  </si>
  <si>
    <t>Vrå Vandværk</t>
  </si>
  <si>
    <t>Ølgod Vandværk Amba</t>
  </si>
  <si>
    <t>Østvendsyssel Råvandsforsyningsselskab I/S</t>
  </si>
  <si>
    <t>Skanderborg Forsyningsvirksomhed A/S</t>
  </si>
  <si>
    <t>Solrød Vandværk</t>
  </si>
  <si>
    <t>Svendborg Vand A/S</t>
  </si>
  <si>
    <t>Tårs Vandværk Amba</t>
  </si>
  <si>
    <t>Verdo Vand A/S</t>
  </si>
  <si>
    <t>Videbæk Vand A/S</t>
  </si>
  <si>
    <t>FADO2012</t>
  </si>
  <si>
    <t>Netvolumenbidrag</t>
  </si>
  <si>
    <t>Boringer</t>
  </si>
  <si>
    <t>Vandværk</t>
  </si>
  <si>
    <t>Trykforøgere</t>
  </si>
  <si>
    <t>Rentvands-ledninger</t>
  </si>
  <si>
    <t>Netvolumemål</t>
  </si>
  <si>
    <t>Netvolumenmål</t>
  </si>
  <si>
    <t>Alderskorrigeret netvolumenmål</t>
  </si>
  <si>
    <t>Tæthedskorrigeret netvolumenmål</t>
  </si>
  <si>
    <t>Alder</t>
  </si>
  <si>
    <t>Tæthed</t>
  </si>
  <si>
    <t>Måler pr. ledning</t>
  </si>
  <si>
    <t>Selskabs navn</t>
  </si>
  <si>
    <t>Prisfremskrevet FADO2012</t>
  </si>
  <si>
    <t>HOFOR Vand Albertslund A/S </t>
  </si>
  <si>
    <t>HOFOR Vand Herlev A/S </t>
  </si>
  <si>
    <t>Hæstrup Vandværk I/S </t>
  </si>
  <si>
    <t>Tistrup Vandværk </t>
  </si>
  <si>
    <t>Tune Vandværk A.m.b.a. </t>
  </si>
  <si>
    <t>HOFOR Vand Vallensbæk A/S </t>
  </si>
  <si>
    <t>Bramdrupdam Vandværk I/S</t>
  </si>
  <si>
    <t>Juelsminde Grundejerforening</t>
  </si>
  <si>
    <t>Skovlund/Ansager Vandværk</t>
  </si>
  <si>
    <t>Toftlund Vand Amba</t>
  </si>
  <si>
    <t>VSK</t>
  </si>
  <si>
    <t>Costdriverafvigelse</t>
  </si>
  <si>
    <t>Vandværker</t>
  </si>
  <si>
    <t>Reduktion</t>
  </si>
  <si>
    <t>Middelværdi</t>
  </si>
  <si>
    <t>Varians</t>
  </si>
  <si>
    <t>Standardafvigelse</t>
  </si>
  <si>
    <t>Standardafvigelse (minus)</t>
  </si>
  <si>
    <t>Gruppe</t>
  </si>
  <si>
    <t>Krav i pct.</t>
  </si>
  <si>
    <t>Umiddelbare
 krav i pct.</t>
  </si>
  <si>
    <t>Costdriverandele</t>
  </si>
  <si>
    <t>Kunders afvigelse fra middelværdi</t>
  </si>
  <si>
    <t>Potentiale med
 særlige forhold i pct.</t>
  </si>
  <si>
    <t>Potentiale med 
særlige forhold i kr.</t>
  </si>
  <si>
    <t>DOiPL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</si>
  <si>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</si>
  <si>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</si>
  <si>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</si>
  <si>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</si>
  <si>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Netvolumenmål_plus25 og evt. SF</t>
  </si>
  <si>
    <t>Alderskorrigeret netvolumenmål_ plus25  og evt. SF</t>
  </si>
  <si>
    <t>Tæthedskorrigeret netvolumenmål_plus25  og evt. SF</t>
  </si>
  <si>
    <t>Netvolumenmål + evt. SF</t>
  </si>
  <si>
    <t>Alderskorrigeret netvolumenmål + evt. SF</t>
  </si>
  <si>
    <t>Tæthedskorrigeret netvolumenmål + evt. SF</t>
  </si>
  <si>
    <t xml:space="preserve">Hasselager-Kolt Vandværk A.M.B.A. </t>
  </si>
  <si>
    <t>Skønnede selskaber</t>
  </si>
  <si>
    <t>Tillæg for særlige forhold i kr.</t>
  </si>
  <si>
    <t>Afvigelse fra standard-afvigelse i pct.</t>
  </si>
  <si>
    <t>Reduktion i pct.</t>
  </si>
  <si>
    <t>Korrigerede potentiale 
efter reduktion i pct.</t>
  </si>
  <si>
    <t>Korrigerde potentiale i kr.</t>
  </si>
  <si>
    <t>Effektive drifts-omkostninger i kr.</t>
  </si>
  <si>
    <t>Forhøjelse til effektivt niveau</t>
  </si>
  <si>
    <t>Krav i kr.</t>
  </si>
  <si>
    <r>
      <t>1</t>
    </r>
    <r>
      <rPr>
        <sz val="11"/>
        <color theme="1"/>
        <rFont val="Calibri"/>
        <family val="2"/>
        <scheme val="minor"/>
      </rPr>
      <t> </t>
    </r>
  </si>
  <si>
    <r>
      <t>0</t>
    </r>
    <r>
      <rPr>
        <sz val="11"/>
        <color theme="1"/>
        <rFont val="Calibri"/>
        <family val="2"/>
        <scheme val="minor"/>
      </rPr>
      <t> </t>
    </r>
  </si>
  <si>
    <t>tæthed</t>
  </si>
  <si>
    <t>Faktiske driftsomkostninger</t>
  </si>
  <si>
    <t>Trykforøger-stationer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</si>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</sst>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#,##0_ ;\-#,##0\ "/>
    <numFmt numFmtId="167" formatCode="0.0"/>
    <numFmt numFmtId="168" formatCode="_(* #,##0.00_);_(* \(#,##0.00\);_(* &quot;-&quot;??_);_(@_)"/>
    <numFmt numFmtId="169" formatCode="#,##0.000"/>
    <numFmt numFmtId="170" formatCode="\(#,##0\);#,##0_)"/>
    <numFmt numFmtId="171" formatCode="#,##0_);\(#,##0\);0_);@"/>
    <numFmt numFmtId="172" formatCode="#,##0,_);\(#,##0,\)"/>
    <numFmt numFmtId="173" formatCode="\(#,##0,\);#,##0,_)"/>
    <numFmt numFmtId="174" formatCode="\(#,##0.00\);#,##0.00_)"/>
    <numFmt numFmtId="175" formatCode="_-* #,##0.00_-;\-* #,##0.00_-;_-* &quot;-&quot;??_-;_-@_-"/>
    <numFmt numFmtId="176" formatCode="0.0%"/>
    <numFmt numFmtId="177" formatCode="0.00000000000000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8" fillId="0" borderId="3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31" applyNumberFormat="0" applyAlignment="0" applyProtection="0"/>
    <xf numFmtId="0" fontId="13" fillId="7" borderId="32" applyNumberFormat="0" applyAlignment="0" applyProtection="0"/>
    <xf numFmtId="0" fontId="14" fillId="7" borderId="31" applyNumberFormat="0" applyAlignment="0" applyProtection="0"/>
    <xf numFmtId="0" fontId="15" fillId="0" borderId="33" applyNumberFormat="0" applyFill="0" applyAlignment="0" applyProtection="0"/>
    <xf numFmtId="0" fontId="16" fillId="8" borderId="34" applyNumberFormat="0" applyAlignment="0" applyProtection="0"/>
    <xf numFmtId="0" fontId="17" fillId="0" borderId="0" applyNumberFormat="0" applyFill="0" applyBorder="0" applyAlignment="0" applyProtection="0"/>
    <xf numFmtId="0" fontId="1" fillId="9" borderId="3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3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33" borderId="0" applyNumberFormat="0" applyBorder="0" applyAlignment="0" applyProtection="0"/>
    <xf numFmtId="0" fontId="1" fillId="9" borderId="35" applyNumberFormat="0" applyFont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35" applyNumberFormat="0" applyFont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5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1" fontId="4" fillId="0" borderId="0"/>
    <xf numFmtId="3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9" fontId="23" fillId="0" borderId="0" applyFill="0" applyBorder="0" applyProtection="0">
      <alignment horizontal="center"/>
    </xf>
    <xf numFmtId="37" fontId="23" fillId="0" borderId="41" applyFill="0" applyAlignment="0" applyProtection="0"/>
    <xf numFmtId="170" fontId="23" fillId="0" borderId="41" applyFill="0" applyAlignment="0" applyProtection="0"/>
    <xf numFmtId="172" fontId="23" fillId="0" borderId="41" applyFill="0" applyAlignment="0" applyProtection="0"/>
    <xf numFmtId="173" fontId="23" fillId="0" borderId="41" applyFill="0" applyAlignment="0" applyProtection="0"/>
    <xf numFmtId="168" fontId="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26" fillId="37" borderId="0" applyNumberFormat="0" applyBorder="0" applyAlignment="0" applyProtection="0"/>
    <xf numFmtId="0" fontId="27" fillId="54" borderId="42" applyNumberFormat="0" applyAlignment="0" applyProtection="0"/>
    <xf numFmtId="0" fontId="28" fillId="55" borderId="43" applyNumberFormat="0" applyAlignment="0" applyProtection="0"/>
    <xf numFmtId="175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1" fillId="0" borderId="44" applyNumberFormat="0" applyFill="0" applyAlignment="0" applyProtection="0"/>
    <xf numFmtId="0" fontId="32" fillId="0" borderId="45" applyNumberFormat="0" applyFill="0" applyAlignment="0" applyProtection="0"/>
    <xf numFmtId="0" fontId="33" fillId="0" borderId="46" applyNumberFormat="0" applyFill="0" applyAlignment="0" applyProtection="0"/>
    <xf numFmtId="0" fontId="33" fillId="0" borderId="0" applyNumberFormat="0" applyFill="0" applyBorder="0" applyAlignment="0" applyProtection="0"/>
    <xf numFmtId="0" fontId="34" fillId="41" borderId="42" applyNumberFormat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6" fillId="0" borderId="47" applyNumberFormat="0" applyFill="0" applyAlignment="0" applyProtection="0"/>
    <xf numFmtId="0" fontId="37" fillId="56" borderId="0" applyNumberFormat="0" applyBorder="0" applyAlignment="0" applyProtection="0"/>
    <xf numFmtId="0" fontId="4" fillId="57" borderId="48" applyNumberFormat="0" applyFont="0" applyAlignment="0" applyProtection="0"/>
    <xf numFmtId="0" fontId="38" fillId="54" borderId="49" applyNumberFormat="0" applyAlignment="0" applyProtection="0"/>
    <xf numFmtId="9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0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0"/>
  </cellStyleXfs>
  <cellXfs count="366">
    <xf numFmtId="0" fontId="0" fillId="0" borderId="0" xfId="0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1" fontId="0" fillId="0" borderId="0" xfId="0" applyNumberFormat="1"/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166" fontId="0" fillId="0" borderId="11" xfId="2" applyNumberFormat="1" applyFont="1" applyBorder="1" applyAlignment="1">
      <alignment horizontal="right" vertical="top" wrapText="1"/>
    </xf>
    <xf numFmtId="167" fontId="0" fillId="0" borderId="0" xfId="0" applyNumberFormat="1"/>
    <xf numFmtId="167" fontId="0" fillId="35" borderId="0" xfId="0" applyNumberFormat="1" applyFill="1"/>
    <xf numFmtId="165" fontId="0" fillId="0" borderId="37" xfId="0" applyNumberFormat="1" applyBorder="1"/>
    <xf numFmtId="3" fontId="0" fillId="0" borderId="37" xfId="0" applyNumberFormat="1" applyBorder="1"/>
    <xf numFmtId="165" fontId="0" fillId="0" borderId="26" xfId="0" applyNumberFormat="1" applyBorder="1"/>
    <xf numFmtId="0" fontId="0" fillId="0" borderId="25" xfId="0" applyBorder="1"/>
    <xf numFmtId="0" fontId="0" fillId="0" borderId="19" xfId="0" applyBorder="1"/>
    <xf numFmtId="3" fontId="0" fillId="0" borderId="1" xfId="0" applyNumberFormat="1" applyBorder="1"/>
    <xf numFmtId="2" fontId="0" fillId="0" borderId="1" xfId="0" applyNumberFormat="1" applyBorder="1"/>
    <xf numFmtId="2" fontId="0" fillId="0" borderId="37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9" xfId="0" applyBorder="1"/>
    <xf numFmtId="3" fontId="0" fillId="0" borderId="26" xfId="0" applyNumberFormat="1" applyBorder="1"/>
    <xf numFmtId="2" fontId="0" fillId="0" borderId="26" xfId="0" applyNumberFormat="1" applyBorder="1"/>
    <xf numFmtId="0" fontId="2" fillId="0" borderId="27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35" borderId="0" xfId="0" applyFill="1"/>
    <xf numFmtId="2" fontId="0" fillId="35" borderId="26" xfId="0" applyNumberFormat="1" applyFill="1" applyBorder="1"/>
    <xf numFmtId="165" fontId="0" fillId="35" borderId="26" xfId="0" applyNumberFormat="1" applyFill="1" applyBorder="1"/>
    <xf numFmtId="3" fontId="0" fillId="35" borderId="26" xfId="0" applyNumberFormat="1" applyFill="1" applyBorder="1"/>
    <xf numFmtId="164" fontId="0" fillId="0" borderId="25" xfId="0" applyNumberFormat="1" applyBorder="1"/>
    <xf numFmtId="164" fontId="0" fillId="0" borderId="0" xfId="0" applyNumberFormat="1" applyBorder="1"/>
    <xf numFmtId="164" fontId="0" fillId="35" borderId="25" xfId="0" applyNumberFormat="1" applyFill="1" applyBorder="1"/>
    <xf numFmtId="164" fontId="0" fillId="0" borderId="39" xfId="0" applyNumberFormat="1" applyBorder="1"/>
    <xf numFmtId="164" fontId="0" fillId="0" borderId="21" xfId="0" applyNumberFormat="1" applyBorder="1"/>
    <xf numFmtId="164" fontId="2" fillId="0" borderId="6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0" fillId="0" borderId="19" xfId="0" applyNumberFormat="1" applyBorder="1"/>
    <xf numFmtId="164" fontId="0" fillId="0" borderId="38" xfId="0" applyNumberFormat="1" applyBorder="1"/>
    <xf numFmtId="164" fontId="0" fillId="0" borderId="20" xfId="0" applyNumberFormat="1" applyBorder="1"/>
    <xf numFmtId="164" fontId="0" fillId="0" borderId="27" xfId="0" applyNumberFormat="1" applyBorder="1"/>
    <xf numFmtId="164" fontId="0" fillId="0" borderId="40" xfId="0" applyNumberFormat="1" applyBorder="1"/>
    <xf numFmtId="164" fontId="0" fillId="0" borderId="0" xfId="0" applyNumberFormat="1"/>
    <xf numFmtId="165" fontId="0" fillId="2" borderId="26" xfId="0" applyNumberFormat="1" applyFill="1" applyBorder="1"/>
    <xf numFmtId="0" fontId="0" fillId="0" borderId="19" xfId="0" applyFont="1" applyBorder="1"/>
    <xf numFmtId="0" fontId="0" fillId="0" borderId="1" xfId="0" applyFont="1" applyBorder="1"/>
    <xf numFmtId="0" fontId="0" fillId="35" borderId="2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/>
    <xf numFmtId="0" fontId="0" fillId="0" borderId="0" xfId="0" applyFont="1"/>
    <xf numFmtId="0" fontId="20" fillId="0" borderId="0" xfId="0" applyFont="1"/>
    <xf numFmtId="0" fontId="20" fillId="35" borderId="0" xfId="0" applyFont="1" applyFill="1"/>
    <xf numFmtId="0" fontId="42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 applyProtection="1">
      <alignment horizontal="left"/>
      <protection locked="0"/>
    </xf>
    <xf numFmtId="0" fontId="20" fillId="2" borderId="0" xfId="0" applyFont="1" applyFill="1"/>
    <xf numFmtId="0" fontId="0" fillId="0" borderId="13" xfId="0" applyFont="1" applyFill="1" applyBorder="1" applyAlignment="1">
      <alignment horizontal="right" vertical="top" wrapText="1"/>
    </xf>
    <xf numFmtId="0" fontId="0" fillId="0" borderId="0" xfId="0" applyFont="1" applyFill="1"/>
    <xf numFmtId="0" fontId="0" fillId="0" borderId="13" xfId="0" applyFont="1" applyBorder="1" applyAlignment="1" applyProtection="1">
      <alignment horizontal="right" wrapText="1"/>
    </xf>
    <xf numFmtId="0" fontId="0" fillId="35" borderId="13" xfId="0" applyFont="1" applyFill="1" applyBorder="1" applyAlignment="1" applyProtection="1">
      <alignment horizontal="right" wrapText="1"/>
    </xf>
    <xf numFmtId="0" fontId="0" fillId="0" borderId="13" xfId="0" applyFont="1" applyFill="1" applyBorder="1" applyAlignment="1" applyProtection="1">
      <alignment horizontal="right" wrapText="1"/>
    </xf>
    <xf numFmtId="3" fontId="0" fillId="0" borderId="13" xfId="0" applyNumberFormat="1" applyFont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0" fontId="0" fillId="0" borderId="9" xfId="0" applyFont="1" applyBorder="1" applyAlignment="1">
      <alignment horizontal="right" vertical="top" wrapText="1"/>
    </xf>
    <xf numFmtId="0" fontId="0" fillId="0" borderId="0" xfId="0" applyFont="1" applyAlignment="1"/>
    <xf numFmtId="0" fontId="0" fillId="0" borderId="9" xfId="0" applyFont="1" applyBorder="1" applyAlignment="1" applyProtection="1">
      <alignment horizontal="right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3" xfId="0" applyNumberFormat="1" applyFont="1" applyBorder="1" applyAlignment="1" applyProtection="1">
      <alignment horizontal="right" wrapText="1"/>
    </xf>
    <xf numFmtId="0" fontId="0" fillId="0" borderId="13" xfId="0" applyNumberFormat="1" applyFont="1" applyBorder="1" applyAlignment="1" applyProtection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</xf>
    <xf numFmtId="0" fontId="0" fillId="35" borderId="13" xfId="0" applyNumberFormat="1" applyFont="1" applyFill="1" applyBorder="1" applyAlignment="1" applyProtection="1">
      <alignment horizontal="right" wrapText="1"/>
    </xf>
    <xf numFmtId="0" fontId="0" fillId="35" borderId="9" xfId="0" applyFont="1" applyFill="1" applyBorder="1" applyAlignment="1" applyProtection="1">
      <alignment horizontal="right" wrapText="1"/>
    </xf>
    <xf numFmtId="3" fontId="0" fillId="35" borderId="11" xfId="0" applyNumberFormat="1" applyFont="1" applyFill="1" applyBorder="1" applyAlignment="1" applyProtection="1">
      <alignment horizontal="right" wrapText="1"/>
    </xf>
    <xf numFmtId="3" fontId="0" fillId="0" borderId="13" xfId="0" applyNumberFormat="1" applyFont="1" applyFill="1" applyBorder="1" applyAlignment="1" applyProtection="1">
      <alignment horizontal="right" wrapText="1"/>
    </xf>
    <xf numFmtId="0" fontId="0" fillId="0" borderId="9" xfId="0" applyFont="1" applyFill="1" applyBorder="1" applyAlignment="1" applyProtection="1">
      <alignment horizontal="right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0" fillId="0" borderId="9" xfId="0" applyNumberFormat="1" applyFont="1" applyFill="1" applyBorder="1" applyAlignment="1" applyProtection="1">
      <alignment horizontal="right" wrapText="1"/>
    </xf>
    <xf numFmtId="3" fontId="0" fillId="0" borderId="11" xfId="0" applyNumberFormat="1" applyFont="1" applyFill="1" applyBorder="1" applyAlignment="1" applyProtection="1">
      <alignment horizontal="right" wrapText="1"/>
    </xf>
    <xf numFmtId="0" fontId="0" fillId="0" borderId="13" xfId="0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0" fillId="0" borderId="9" xfId="0" applyFont="1" applyFill="1" applyBorder="1" applyAlignment="1">
      <alignment horizontal="right" vertical="top" wrapText="1"/>
    </xf>
    <xf numFmtId="0" fontId="0" fillId="35" borderId="13" xfId="0" applyFont="1" applyFill="1" applyBorder="1" applyAlignment="1">
      <alignment horizontal="right" vertical="top" wrapText="1"/>
    </xf>
    <xf numFmtId="3" fontId="0" fillId="35" borderId="13" xfId="0" applyNumberFormat="1" applyFont="1" applyFill="1" applyBorder="1" applyAlignment="1">
      <alignment horizontal="right" vertical="top" wrapText="1"/>
    </xf>
    <xf numFmtId="0" fontId="0" fillId="35" borderId="9" xfId="0" applyFont="1" applyFill="1" applyBorder="1" applyAlignment="1">
      <alignment horizontal="right" vertical="top" wrapText="1"/>
    </xf>
    <xf numFmtId="3" fontId="0" fillId="35" borderId="11" xfId="0" applyNumberFormat="1" applyFont="1" applyFill="1" applyBorder="1" applyAlignment="1">
      <alignment horizontal="right" vertical="top" wrapText="1"/>
    </xf>
    <xf numFmtId="0" fontId="0" fillId="0" borderId="9" xfId="0" applyFont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>
      <alignment horizontal="right"/>
    </xf>
    <xf numFmtId="0" fontId="0" fillId="35" borderId="13" xfId="0" applyFont="1" applyFill="1" applyBorder="1" applyAlignment="1" applyProtection="1">
      <alignment horizontal="right" wrapText="1"/>
      <protection locked="0"/>
    </xf>
    <xf numFmtId="3" fontId="0" fillId="35" borderId="13" xfId="0" applyNumberFormat="1" applyFont="1" applyFill="1" applyBorder="1" applyAlignment="1" applyProtection="1">
      <alignment horizontal="right" wrapText="1"/>
      <protection locked="0"/>
    </xf>
    <xf numFmtId="0" fontId="0" fillId="35" borderId="9" xfId="0" applyFont="1" applyFill="1" applyBorder="1" applyAlignment="1" applyProtection="1">
      <alignment horizontal="right" wrapText="1"/>
      <protection locked="0"/>
    </xf>
    <xf numFmtId="3" fontId="0" fillId="35" borderId="11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35" borderId="13" xfId="0" applyNumberFormat="1" applyFont="1" applyFill="1" applyBorder="1" applyAlignment="1">
      <alignment horizontal="right"/>
    </xf>
    <xf numFmtId="0" fontId="0" fillId="35" borderId="11" xfId="0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 wrapText="1"/>
    </xf>
    <xf numFmtId="0" fontId="0" fillId="35" borderId="9" xfId="0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</xf>
    <xf numFmtId="0" fontId="0" fillId="0" borderId="14" xfId="0" applyFont="1" applyBorder="1" applyAlignment="1" applyProtection="1">
      <alignment horizontal="right" wrapText="1"/>
    </xf>
    <xf numFmtId="0" fontId="0" fillId="35" borderId="12" xfId="0" applyFont="1" applyFill="1" applyBorder="1" applyAlignment="1" applyProtection="1">
      <alignment horizontal="right" wrapText="1"/>
    </xf>
    <xf numFmtId="0" fontId="0" fillId="35" borderId="14" xfId="0" applyFont="1" applyFill="1" applyBorder="1" applyAlignment="1" applyProtection="1">
      <alignment horizontal="right" wrapText="1"/>
    </xf>
    <xf numFmtId="0" fontId="0" fillId="35" borderId="12" xfId="0" applyFont="1" applyFill="1" applyBorder="1" applyAlignment="1" applyProtection="1">
      <alignment horizontal="right" wrapText="1"/>
      <protection locked="0"/>
    </xf>
    <xf numFmtId="0" fontId="0" fillId="35" borderId="14" xfId="0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right" wrapText="1"/>
      <protection locked="0"/>
    </xf>
    <xf numFmtId="0" fontId="0" fillId="0" borderId="14" xfId="0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right" wrapText="1"/>
    </xf>
    <xf numFmtId="0" fontId="0" fillId="0" borderId="14" xfId="0" applyFont="1" applyFill="1" applyBorder="1" applyAlignment="1" applyProtection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4" xfId="0" applyFont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0" fillId="35" borderId="12" xfId="0" applyFont="1" applyFill="1" applyBorder="1" applyAlignment="1">
      <alignment horizontal="right" vertical="top" wrapText="1"/>
    </xf>
    <xf numFmtId="0" fontId="0" fillId="35" borderId="14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8" xfId="0" applyFont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0" fontId="0" fillId="0" borderId="12" xfId="0" applyNumberFormat="1" applyFont="1" applyBorder="1" applyAlignment="1" applyProtection="1">
      <alignment horizontal="right" wrapText="1"/>
    </xf>
    <xf numFmtId="0" fontId="0" fillId="35" borderId="12" xfId="0" applyNumberFormat="1" applyFont="1" applyFill="1" applyBorder="1" applyAlignment="1" applyProtection="1">
      <alignment horizontal="right" wrapText="1"/>
    </xf>
    <xf numFmtId="3" fontId="0" fillId="0" borderId="14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3" fontId="0" fillId="35" borderId="12" xfId="0" applyNumberFormat="1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35" borderId="12" xfId="0" applyFont="1" applyFill="1" applyBorder="1" applyAlignment="1">
      <alignment horizontal="right" wrapText="1"/>
    </xf>
    <xf numFmtId="3" fontId="0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/>
    </xf>
    <xf numFmtId="3" fontId="0" fillId="0" borderId="14" xfId="0" applyNumberFormat="1" applyFont="1" applyFill="1" applyBorder="1" applyAlignment="1" applyProtection="1">
      <alignment horizontal="right" wrapText="1"/>
    </xf>
    <xf numFmtId="3" fontId="0" fillId="0" borderId="53" xfId="0" applyNumberFormat="1" applyFont="1" applyBorder="1" applyAlignment="1" applyProtection="1">
      <alignment horizontal="right" wrapText="1"/>
    </xf>
    <xf numFmtId="3" fontId="0" fillId="0" borderId="54" xfId="0" applyNumberFormat="1" applyFont="1" applyBorder="1" applyAlignment="1" applyProtection="1">
      <alignment horizontal="right" wrapText="1"/>
    </xf>
    <xf numFmtId="3" fontId="0" fillId="0" borderId="14" xfId="0" applyNumberFormat="1" applyFont="1" applyBorder="1" applyAlignment="1" applyProtection="1">
      <alignment horizontal="right" wrapText="1"/>
    </xf>
    <xf numFmtId="3" fontId="0" fillId="35" borderId="13" xfId="0" applyNumberFormat="1" applyFont="1" applyFill="1" applyBorder="1" applyAlignment="1" applyProtection="1">
      <alignment horizontal="right" wrapText="1"/>
    </xf>
    <xf numFmtId="3" fontId="0" fillId="35" borderId="14" xfId="0" applyNumberFormat="1" applyFont="1" applyFill="1" applyBorder="1" applyAlignment="1" applyProtection="1">
      <alignment horizontal="right" wrapText="1"/>
    </xf>
    <xf numFmtId="3" fontId="0" fillId="0" borderId="14" xfId="0" applyNumberFormat="1" applyFont="1" applyFill="1" applyBorder="1" applyAlignment="1">
      <alignment horizontal="right"/>
    </xf>
    <xf numFmtId="3" fontId="0" fillId="35" borderId="14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 applyProtection="1">
      <alignment horizontal="right" wrapText="1"/>
    </xf>
    <xf numFmtId="3" fontId="0" fillId="0" borderId="56" xfId="0" applyNumberFormat="1" applyFont="1" applyBorder="1" applyAlignment="1" applyProtection="1">
      <alignment horizontal="right" wrapText="1"/>
    </xf>
    <xf numFmtId="3" fontId="0" fillId="35" borderId="56" xfId="0" applyNumberFormat="1" applyFont="1" applyFill="1" applyBorder="1" applyAlignment="1" applyProtection="1">
      <alignment horizontal="right" wrapText="1"/>
    </xf>
    <xf numFmtId="3" fontId="0" fillId="0" borderId="56" xfId="0" applyNumberFormat="1" applyFont="1" applyFill="1" applyBorder="1" applyAlignment="1" applyProtection="1">
      <alignment horizontal="right" wrapText="1"/>
    </xf>
    <xf numFmtId="3" fontId="0" fillId="0" borderId="56" xfId="0" applyNumberFormat="1" applyFont="1" applyBorder="1" applyAlignment="1">
      <alignment horizontal="right" vertical="top" wrapText="1"/>
    </xf>
    <xf numFmtId="3" fontId="0" fillId="0" borderId="56" xfId="0" applyNumberFormat="1" applyFont="1" applyBorder="1" applyAlignment="1">
      <alignment horizontal="right"/>
    </xf>
    <xf numFmtId="3" fontId="0" fillId="35" borderId="56" xfId="0" applyNumberFormat="1" applyFont="1" applyFill="1" applyBorder="1" applyAlignment="1">
      <alignment horizontal="right"/>
    </xf>
    <xf numFmtId="3" fontId="0" fillId="0" borderId="58" xfId="0" applyNumberFormat="1" applyFont="1" applyBorder="1" applyAlignment="1" applyProtection="1">
      <alignment horizontal="right" wrapText="1"/>
    </xf>
    <xf numFmtId="3" fontId="0" fillId="0" borderId="5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>
      <alignment horizontal="right"/>
    </xf>
    <xf numFmtId="165" fontId="0" fillId="0" borderId="51" xfId="0" applyNumberFormat="1" applyFont="1" applyFill="1" applyBorder="1" applyAlignment="1" applyProtection="1">
      <alignment horizontal="right"/>
    </xf>
    <xf numFmtId="165" fontId="0" fillId="0" borderId="11" xfId="0" applyNumberFormat="1" applyFont="1" applyFill="1" applyBorder="1" applyAlignment="1" applyProtection="1">
      <alignment horizontal="right"/>
    </xf>
    <xf numFmtId="165" fontId="0" fillId="35" borderId="11" xfId="0" applyNumberFormat="1" applyFont="1" applyFill="1" applyBorder="1" applyAlignment="1" applyProtection="1">
      <alignment horizontal="right"/>
    </xf>
    <xf numFmtId="165" fontId="0" fillId="0" borderId="15" xfId="0" applyNumberFormat="1" applyFont="1" applyFill="1" applyBorder="1" applyAlignment="1" applyProtection="1">
      <alignment horizontal="right"/>
    </xf>
    <xf numFmtId="3" fontId="0" fillId="0" borderId="52" xfId="0" applyNumberFormat="1" applyFont="1" applyFill="1" applyBorder="1" applyAlignment="1" applyProtection="1">
      <alignment horizontal="right"/>
    </xf>
    <xf numFmtId="3" fontId="0" fillId="0" borderId="53" xfId="0" applyNumberFormat="1" applyFont="1" applyFill="1" applyBorder="1" applyAlignment="1" applyProtection="1">
      <alignment horizontal="right"/>
    </xf>
    <xf numFmtId="3" fontId="0" fillId="0" borderId="54" xfId="0" applyNumberFormat="1" applyFont="1" applyFill="1" applyBorder="1" applyAlignment="1" applyProtection="1">
      <alignment horizontal="right"/>
    </xf>
    <xf numFmtId="3" fontId="0" fillId="0" borderId="12" xfId="0" applyNumberFormat="1" applyFont="1" applyFill="1" applyBorder="1" applyAlignment="1" applyProtection="1">
      <alignment horizontal="right"/>
    </xf>
    <xf numFmtId="3" fontId="0" fillId="35" borderId="12" xfId="0" applyNumberFormat="1" applyFont="1" applyFill="1" applyBorder="1" applyAlignment="1" applyProtection="1">
      <alignment horizontal="right"/>
    </xf>
    <xf numFmtId="3" fontId="0" fillId="35" borderId="13" xfId="0" applyNumberFormat="1" applyFont="1" applyFill="1" applyBorder="1" applyAlignment="1" applyProtection="1">
      <alignment horizontal="right"/>
    </xf>
    <xf numFmtId="3" fontId="0" fillId="35" borderId="14" xfId="0" applyNumberFormat="1" applyFont="1" applyFill="1" applyBorder="1" applyAlignment="1" applyProtection="1">
      <alignment horizontal="right"/>
    </xf>
    <xf numFmtId="3" fontId="0" fillId="0" borderId="16" xfId="0" applyNumberFormat="1" applyFont="1" applyFill="1" applyBorder="1" applyAlignment="1" applyProtection="1">
      <alignment horizontal="right"/>
    </xf>
    <xf numFmtId="3" fontId="0" fillId="0" borderId="17" xfId="0" applyNumberFormat="1" applyFont="1" applyFill="1" applyBorder="1" applyAlignment="1" applyProtection="1">
      <alignment horizontal="right"/>
    </xf>
    <xf numFmtId="3" fontId="0" fillId="0" borderId="18" xfId="0" applyNumberFormat="1" applyFont="1" applyFill="1" applyBorder="1" applyAlignment="1" applyProtection="1">
      <alignment horizontal="right"/>
    </xf>
    <xf numFmtId="0" fontId="0" fillId="0" borderId="60" xfId="0" applyFont="1" applyBorder="1" applyAlignment="1" applyProtection="1">
      <alignment horizontal="right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3" fontId="0" fillId="0" borderId="19" xfId="0" applyNumberFormat="1" applyBorder="1"/>
    <xf numFmtId="3" fontId="0" fillId="0" borderId="38" xfId="0" applyNumberFormat="1" applyBorder="1"/>
    <xf numFmtId="3" fontId="0" fillId="0" borderId="25" xfId="0" applyNumberFormat="1" applyBorder="1"/>
    <xf numFmtId="3" fontId="0" fillId="0" borderId="0" xfId="0" applyNumberFormat="1" applyBorder="1"/>
    <xf numFmtId="3" fontId="0" fillId="35" borderId="25" xfId="0" applyNumberFormat="1" applyFill="1" applyBorder="1"/>
    <xf numFmtId="3" fontId="0" fillId="35" borderId="0" xfId="0" applyNumberFormat="1" applyFill="1" applyBorder="1"/>
    <xf numFmtId="3" fontId="0" fillId="2" borderId="25" xfId="0" applyNumberFormat="1" applyFill="1" applyBorder="1"/>
    <xf numFmtId="3" fontId="0" fillId="2" borderId="0" xfId="0" applyNumberFormat="1" applyFill="1" applyBorder="1"/>
    <xf numFmtId="3" fontId="0" fillId="0" borderId="39" xfId="0" applyNumberFormat="1" applyBorder="1"/>
    <xf numFmtId="3" fontId="0" fillId="0" borderId="21" xfId="0" applyNumberFormat="1" applyBorder="1"/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9" fontId="0" fillId="0" borderId="0" xfId="44" applyFont="1" applyBorder="1"/>
    <xf numFmtId="9" fontId="0" fillId="0" borderId="27" xfId="44" applyFont="1" applyBorder="1"/>
    <xf numFmtId="176" fontId="0" fillId="0" borderId="25" xfId="44" applyNumberFormat="1" applyFont="1" applyBorder="1"/>
    <xf numFmtId="176" fontId="0" fillId="0" borderId="27" xfId="44" applyNumberFormat="1" applyFont="1" applyBorder="1"/>
    <xf numFmtId="10" fontId="0" fillId="0" borderId="25" xfId="44" applyNumberFormat="1" applyFont="1" applyBorder="1"/>
    <xf numFmtId="10" fontId="0" fillId="0" borderId="0" xfId="44" applyNumberFormat="1" applyFont="1" applyBorder="1"/>
    <xf numFmtId="10" fontId="0" fillId="0" borderId="27" xfId="44" applyNumberFormat="1" applyFont="1" applyBorder="1"/>
    <xf numFmtId="10" fontId="0" fillId="35" borderId="25" xfId="44" applyNumberFormat="1" applyFont="1" applyFill="1" applyBorder="1"/>
    <xf numFmtId="10" fontId="0" fillId="35" borderId="0" xfId="44" applyNumberFormat="1" applyFont="1" applyFill="1" applyBorder="1"/>
    <xf numFmtId="10" fontId="0" fillId="35" borderId="27" xfId="44" applyNumberFormat="1" applyFont="1" applyFill="1" applyBorder="1"/>
    <xf numFmtId="10" fontId="0" fillId="0" borderId="19" xfId="44" applyNumberFormat="1" applyFont="1" applyBorder="1"/>
    <xf numFmtId="10" fontId="0" fillId="0" borderId="38" xfId="44" applyNumberFormat="1" applyFont="1" applyBorder="1"/>
    <xf numFmtId="10" fontId="0" fillId="0" borderId="20" xfId="44" applyNumberFormat="1" applyFont="1" applyBorder="1"/>
    <xf numFmtId="10" fontId="0" fillId="0" borderId="39" xfId="44" applyNumberFormat="1" applyFont="1" applyBorder="1"/>
    <xf numFmtId="10" fontId="0" fillId="0" borderId="21" xfId="44" applyNumberFormat="1" applyFont="1" applyBorder="1"/>
    <xf numFmtId="10" fontId="0" fillId="0" borderId="40" xfId="44" applyNumberFormat="1" applyFont="1" applyBorder="1"/>
    <xf numFmtId="177" fontId="0" fillId="0" borderId="0" xfId="44" applyNumberFormat="1" applyFont="1"/>
    <xf numFmtId="9" fontId="0" fillId="0" borderId="38" xfId="44" applyFont="1" applyBorder="1"/>
    <xf numFmtId="9" fontId="0" fillId="0" borderId="20" xfId="44" applyFont="1" applyBorder="1"/>
    <xf numFmtId="9" fontId="0" fillId="0" borderId="21" xfId="44" applyFont="1" applyBorder="1"/>
    <xf numFmtId="9" fontId="0" fillId="0" borderId="40" xfId="44" applyFont="1" applyBorder="1"/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76" fontId="0" fillId="0" borderId="19" xfId="44" applyNumberFormat="1" applyFont="1" applyBorder="1"/>
    <xf numFmtId="176" fontId="0" fillId="0" borderId="20" xfId="44" applyNumberFormat="1" applyFont="1" applyBorder="1"/>
    <xf numFmtId="176" fontId="0" fillId="35" borderId="25" xfId="44" applyNumberFormat="1" applyFont="1" applyFill="1" applyBorder="1"/>
    <xf numFmtId="176" fontId="0" fillId="35" borderId="27" xfId="44" applyNumberFormat="1" applyFont="1" applyFill="1" applyBorder="1"/>
    <xf numFmtId="176" fontId="0" fillId="0" borderId="25" xfId="44" applyNumberFormat="1" applyFont="1" applyFill="1" applyBorder="1"/>
    <xf numFmtId="176" fontId="0" fillId="0" borderId="39" xfId="44" applyNumberFormat="1" applyFont="1" applyBorder="1"/>
    <xf numFmtId="176" fontId="0" fillId="0" borderId="40" xfId="44" applyNumberFormat="1" applyFont="1" applyBorder="1"/>
    <xf numFmtId="10" fontId="0" fillId="0" borderId="25" xfId="44" applyNumberFormat="1" applyFont="1" applyFill="1" applyBorder="1"/>
    <xf numFmtId="10" fontId="0" fillId="0" borderId="0" xfId="44" applyNumberFormat="1" applyFont="1" applyFill="1" applyBorder="1"/>
    <xf numFmtId="10" fontId="0" fillId="0" borderId="27" xfId="44" applyNumberFormat="1" applyFont="1" applyFill="1" applyBorder="1"/>
    <xf numFmtId="176" fontId="20" fillId="0" borderId="25" xfId="44" applyNumberFormat="1" applyFont="1" applyBorder="1"/>
    <xf numFmtId="176" fontId="20" fillId="0" borderId="0" xfId="44" applyNumberFormat="1" applyFont="1" applyBorder="1"/>
    <xf numFmtId="3" fontId="20" fillId="0" borderId="27" xfId="0" applyNumberFormat="1" applyFont="1" applyBorder="1"/>
    <xf numFmtId="176" fontId="20" fillId="35" borderId="25" xfId="44" applyNumberFormat="1" applyFont="1" applyFill="1" applyBorder="1"/>
    <xf numFmtId="176" fontId="20" fillId="35" borderId="0" xfId="44" applyNumberFormat="1" applyFont="1" applyFill="1" applyBorder="1"/>
    <xf numFmtId="3" fontId="20" fillId="35" borderId="27" xfId="0" applyNumberFormat="1" applyFont="1" applyFill="1" applyBorder="1"/>
    <xf numFmtId="176" fontId="20" fillId="2" borderId="25" xfId="44" applyNumberFormat="1" applyFont="1" applyFill="1" applyBorder="1"/>
    <xf numFmtId="176" fontId="20" fillId="0" borderId="39" xfId="44" applyNumberFormat="1" applyFont="1" applyBorder="1"/>
    <xf numFmtId="176" fontId="20" fillId="0" borderId="21" xfId="44" applyNumberFormat="1" applyFont="1" applyBorder="1"/>
    <xf numFmtId="3" fontId="20" fillId="0" borderId="40" xfId="0" applyNumberFormat="1" applyFont="1" applyBorder="1"/>
    <xf numFmtId="3" fontId="20" fillId="0" borderId="25" xfId="0" applyNumberFormat="1" applyFont="1" applyBorder="1"/>
    <xf numFmtId="3" fontId="20" fillId="0" borderId="25" xfId="0" applyNumberFormat="1" applyFont="1" applyFill="1" applyBorder="1"/>
    <xf numFmtId="3" fontId="20" fillId="0" borderId="27" xfId="0" applyNumberFormat="1" applyFont="1" applyFill="1" applyBorder="1"/>
    <xf numFmtId="3" fontId="20" fillId="35" borderId="25" xfId="0" applyNumberFormat="1" applyFont="1" applyFill="1" applyBorder="1"/>
    <xf numFmtId="3" fontId="20" fillId="2" borderId="25" xfId="0" applyNumberFormat="1" applyFont="1" applyFill="1" applyBorder="1"/>
    <xf numFmtId="3" fontId="20" fillId="0" borderId="39" xfId="0" applyNumberFormat="1" applyFont="1" applyBorder="1"/>
    <xf numFmtId="10" fontId="20" fillId="0" borderId="25" xfId="44" applyNumberFormat="1" applyFont="1" applyFill="1" applyBorder="1"/>
    <xf numFmtId="10" fontId="20" fillId="35" borderId="25" xfId="44" applyNumberFormat="1" applyFont="1" applyFill="1" applyBorder="1"/>
    <xf numFmtId="10" fontId="20" fillId="0" borderId="39" xfId="44" applyNumberFormat="1" applyFont="1" applyFill="1" applyBorder="1"/>
    <xf numFmtId="10" fontId="20" fillId="34" borderId="27" xfId="44" applyNumberFormat="1" applyFont="1" applyFill="1" applyBorder="1"/>
    <xf numFmtId="10" fontId="20" fillId="35" borderId="27" xfId="44" applyNumberFormat="1" applyFont="1" applyFill="1" applyBorder="1"/>
    <xf numFmtId="10" fontId="20" fillId="34" borderId="40" xfId="44" applyNumberFormat="1" applyFont="1" applyFill="1" applyBorder="1"/>
    <xf numFmtId="0" fontId="42" fillId="0" borderId="3" xfId="0" applyFont="1" applyBorder="1" applyAlignment="1">
      <alignment horizontal="center" wrapText="1"/>
    </xf>
    <xf numFmtId="0" fontId="42" fillId="0" borderId="5" xfId="0" applyFont="1" applyBorder="1" applyAlignment="1">
      <alignment horizontal="center" wrapText="1"/>
    </xf>
    <xf numFmtId="0" fontId="42" fillId="0" borderId="5" xfId="0" applyFont="1" applyFill="1" applyBorder="1" applyAlignment="1">
      <alignment horizontal="center" wrapText="1"/>
    </xf>
    <xf numFmtId="0" fontId="42" fillId="0" borderId="4" xfId="0" applyFont="1" applyBorder="1" applyAlignment="1">
      <alignment horizontal="center"/>
    </xf>
    <xf numFmtId="0" fontId="42" fillId="0" borderId="4" xfId="0" applyFont="1" applyBorder="1" applyAlignment="1">
      <alignment horizontal="center" wrapText="1"/>
    </xf>
    <xf numFmtId="10" fontId="20" fillId="34" borderId="0" xfId="44" applyNumberFormat="1" applyFont="1" applyFill="1" applyBorder="1"/>
    <xf numFmtId="10" fontId="20" fillId="35" borderId="0" xfId="44" applyNumberFormat="1" applyFont="1" applyFill="1" applyBorder="1"/>
    <xf numFmtId="10" fontId="20" fillId="34" borderId="21" xfId="44" applyNumberFormat="1" applyFont="1" applyFill="1" applyBorder="1"/>
    <xf numFmtId="10" fontId="20" fillId="0" borderId="25" xfId="44" applyNumberFormat="1" applyFont="1" applyBorder="1"/>
    <xf numFmtId="10" fontId="20" fillId="2" borderId="25" xfId="44" applyNumberFormat="1" applyFont="1" applyFill="1" applyBorder="1"/>
    <xf numFmtId="3" fontId="20" fillId="2" borderId="27" xfId="0" applyNumberFormat="1" applyFont="1" applyFill="1" applyBorder="1"/>
    <xf numFmtId="10" fontId="20" fillId="0" borderId="39" xfId="44" applyNumberFormat="1" applyFont="1" applyBorder="1"/>
    <xf numFmtId="10" fontId="20" fillId="0" borderId="0" xfId="44" applyNumberFormat="1" applyFont="1" applyBorder="1"/>
    <xf numFmtId="10" fontId="20" fillId="2" borderId="0" xfId="44" applyNumberFormat="1" applyFont="1" applyFill="1" applyBorder="1"/>
    <xf numFmtId="0" fontId="20" fillId="0" borderId="25" xfId="0" applyFont="1" applyBorder="1"/>
    <xf numFmtId="169" fontId="20" fillId="0" borderId="25" xfId="0" applyNumberFormat="1" applyFont="1" applyBorder="1"/>
    <xf numFmtId="10" fontId="20" fillId="0" borderId="21" xfId="44" applyNumberFormat="1" applyFont="1" applyBorder="1"/>
    <xf numFmtId="3" fontId="20" fillId="0" borderId="26" xfId="0" applyNumberFormat="1" applyFont="1" applyBorder="1"/>
    <xf numFmtId="3" fontId="20" fillId="35" borderId="26" xfId="0" applyNumberFormat="1" applyFont="1" applyFill="1" applyBorder="1"/>
    <xf numFmtId="3" fontId="20" fillId="2" borderId="26" xfId="0" applyNumberFormat="1" applyFont="1" applyFill="1" applyBorder="1"/>
    <xf numFmtId="164" fontId="20" fillId="0" borderId="26" xfId="2" applyNumberFormat="1" applyFont="1" applyBorder="1"/>
    <xf numFmtId="3" fontId="20" fillId="0" borderId="37" xfId="0" applyNumberFormat="1" applyFont="1" applyBorder="1"/>
    <xf numFmtId="0" fontId="20" fillId="0" borderId="26" xfId="0" applyFont="1" applyBorder="1"/>
    <xf numFmtId="0" fontId="20" fillId="0" borderId="37" xfId="0" applyFont="1" applyBorder="1"/>
    <xf numFmtId="0" fontId="20" fillId="0" borderId="26" xfId="0" applyFont="1" applyFill="1" applyBorder="1"/>
    <xf numFmtId="0" fontId="20" fillId="0" borderId="26" xfId="0" applyFont="1" applyFill="1" applyBorder="1" applyAlignment="1" applyProtection="1">
      <alignment horizontal="left"/>
      <protection locked="0"/>
    </xf>
    <xf numFmtId="0" fontId="20" fillId="35" borderId="26" xfId="0" applyFont="1" applyFill="1" applyBorder="1" applyAlignment="1" applyProtection="1">
      <alignment horizontal="left"/>
      <protection locked="0"/>
    </xf>
    <xf numFmtId="0" fontId="20" fillId="35" borderId="26" xfId="0" applyFont="1" applyFill="1" applyBorder="1"/>
    <xf numFmtId="0" fontId="20" fillId="0" borderId="37" xfId="0" applyFont="1" applyFill="1" applyBorder="1"/>
    <xf numFmtId="0" fontId="42" fillId="0" borderId="2" xfId="0" applyFont="1" applyBorder="1"/>
    <xf numFmtId="0" fontId="4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Fill="1" applyBorder="1"/>
    <xf numFmtId="164" fontId="0" fillId="0" borderId="0" xfId="0" applyNumberFormat="1" applyFill="1" applyBorder="1"/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left"/>
    </xf>
    <xf numFmtId="0" fontId="0" fillId="0" borderId="52" xfId="0" applyFont="1" applyFill="1" applyBorder="1" applyAlignment="1" applyProtection="1">
      <alignment horizontal="right" wrapText="1"/>
      <protection locked="0"/>
    </xf>
    <xf numFmtId="0" fontId="0" fillId="0" borderId="53" xfId="0" applyFont="1" applyFill="1" applyBorder="1" applyAlignment="1" applyProtection="1">
      <alignment horizontal="right" wrapText="1"/>
      <protection locked="0"/>
    </xf>
    <xf numFmtId="0" fontId="0" fillId="0" borderId="54" xfId="0" applyFont="1" applyFill="1" applyBorder="1" applyAlignment="1" applyProtection="1">
      <alignment horizontal="right" wrapText="1"/>
      <protection locked="0"/>
    </xf>
    <xf numFmtId="0" fontId="0" fillId="0" borderId="54" xfId="0" applyFont="1" applyBorder="1" applyAlignment="1" applyProtection="1">
      <alignment horizontal="right" wrapText="1"/>
      <protection locked="0"/>
    </xf>
    <xf numFmtId="0" fontId="0" fillId="0" borderId="52" xfId="0" applyFont="1" applyBorder="1" applyAlignment="1" applyProtection="1">
      <alignment horizontal="right" wrapText="1"/>
      <protection locked="0"/>
    </xf>
    <xf numFmtId="3" fontId="0" fillId="0" borderId="53" xfId="0" applyNumberFormat="1" applyFont="1" applyBorder="1" applyAlignment="1" applyProtection="1">
      <alignment horizontal="right" wrapText="1"/>
      <protection locked="0"/>
    </xf>
    <xf numFmtId="0" fontId="0" fillId="0" borderId="53" xfId="0" applyFont="1" applyBorder="1" applyAlignment="1" applyProtection="1">
      <alignment horizontal="right" wrapText="1"/>
      <protection locked="0"/>
    </xf>
    <xf numFmtId="0" fontId="0" fillId="0" borderId="62" xfId="0" applyFont="1" applyBorder="1" applyAlignment="1" applyProtection="1">
      <alignment horizontal="right" wrapText="1"/>
      <protection locked="0"/>
    </xf>
    <xf numFmtId="0" fontId="0" fillId="0" borderId="59" xfId="0" applyFont="1" applyFill="1" applyBorder="1" applyAlignment="1" applyProtection="1">
      <alignment horizontal="left"/>
      <protection locked="0"/>
    </xf>
    <xf numFmtId="0" fontId="0" fillId="35" borderId="59" xfId="0" applyFont="1" applyFill="1" applyBorder="1" applyAlignment="1" applyProtection="1">
      <alignment horizontal="left"/>
      <protection locked="0"/>
    </xf>
    <xf numFmtId="0" fontId="0" fillId="0" borderId="59" xfId="0" applyFont="1" applyFill="1" applyBorder="1" applyAlignment="1" applyProtection="1">
      <alignment horizontal="left"/>
    </xf>
    <xf numFmtId="0" fontId="0" fillId="0" borderId="59" xfId="0" applyFont="1" applyFill="1" applyBorder="1" applyAlignment="1">
      <alignment horizontal="left"/>
    </xf>
    <xf numFmtId="0" fontId="0" fillId="35" borderId="59" xfId="0" applyFont="1" applyFill="1" applyBorder="1" applyAlignment="1">
      <alignment horizontal="left"/>
    </xf>
    <xf numFmtId="0" fontId="0" fillId="0" borderId="63" xfId="0" applyFont="1" applyFill="1" applyBorder="1" applyAlignment="1" applyProtection="1">
      <alignment horizontal="left"/>
      <protection locked="0"/>
    </xf>
    <xf numFmtId="3" fontId="0" fillId="0" borderId="17" xfId="0" applyNumberFormat="1" applyFont="1" applyFill="1" applyBorder="1" applyAlignment="1" applyProtection="1">
      <alignment horizontal="right" wrapText="1"/>
    </xf>
    <xf numFmtId="3" fontId="0" fillId="0" borderId="18" xfId="0" applyNumberFormat="1" applyFont="1" applyFill="1" applyBorder="1" applyAlignment="1" applyProtection="1">
      <alignment horizontal="right"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7" xfId="0" applyFont="1" applyFill="1" applyBorder="1" applyAlignment="1" applyProtection="1">
      <alignment horizontal="right" wrapText="1"/>
      <protection locked="0"/>
    </xf>
    <xf numFmtId="0" fontId="0" fillId="0" borderId="18" xfId="0" applyFont="1" applyFill="1" applyBorder="1" applyAlignment="1" applyProtection="1">
      <alignment horizontal="right" wrapText="1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164" fontId="0" fillId="35" borderId="0" xfId="0" applyNumberFormat="1" applyFill="1" applyBorder="1" applyAlignment="1">
      <alignment horizontal="center"/>
    </xf>
    <xf numFmtId="3" fontId="0" fillId="35" borderId="26" xfId="0" applyNumberFormat="1" applyFill="1" applyBorder="1" applyAlignment="1">
      <alignment horizontal="center"/>
    </xf>
    <xf numFmtId="164" fontId="0" fillId="35" borderId="25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5" xfId="0" applyFont="1" applyBorder="1" applyAlignment="1">
      <alignment horizontal="center"/>
    </xf>
  </cellXfs>
  <cellStyles count="167">
    <cellStyle name="20 % - Markeringsfarve1" xfId="21" builtinId="30" customBuiltin="1"/>
    <cellStyle name="20 % - Markeringsfarve1 2" xfId="51"/>
    <cellStyle name="20 % - Markeringsfarve1 2 2" xfId="79"/>
    <cellStyle name="20 % - Markeringsfarve2" xfId="25" builtinId="34" customBuiltin="1"/>
    <cellStyle name="20 % - Markeringsfarve2 2" xfId="52"/>
    <cellStyle name="20 % - Markeringsfarve2 2 2" xfId="80"/>
    <cellStyle name="20 % - Markeringsfarve3" xfId="29" builtinId="38" customBuiltin="1"/>
    <cellStyle name="20 % - Markeringsfarve3 2" xfId="53"/>
    <cellStyle name="20 % - Markeringsfarve3 2 2" xfId="81"/>
    <cellStyle name="20 % - Markeringsfarve4" xfId="33" builtinId="42" customBuiltin="1"/>
    <cellStyle name="20 % - Markeringsfarve4 2" xfId="54"/>
    <cellStyle name="20 % - Markeringsfarve4 2 2" xfId="82"/>
    <cellStyle name="20 % - Markeringsfarve5" xfId="37" builtinId="46" customBuiltin="1"/>
    <cellStyle name="20 % - Markeringsfarve5 2" xfId="74"/>
    <cellStyle name="20 % - Markeringsfarve5 3" xfId="102"/>
    <cellStyle name="20 % - Markeringsfarve6" xfId="41" builtinId="50" customBuiltin="1"/>
    <cellStyle name="20 % - Markeringsfarve6 2" xfId="76"/>
    <cellStyle name="20 % - Markeringsfarve6 3" xfId="104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40 % - Markeringsfarve1" xfId="22" builtinId="31" customBuiltin="1"/>
    <cellStyle name="40 % - Markeringsfarve1 2" xfId="71"/>
    <cellStyle name="40 % - Markeringsfarve1 3" xfId="99"/>
    <cellStyle name="40 % - Markeringsfarve2" xfId="26" builtinId="35" customBuiltin="1"/>
    <cellStyle name="40 % - Markeringsfarve2 2" xfId="72"/>
    <cellStyle name="40 % - Markeringsfarve2 3" xfId="100"/>
    <cellStyle name="40 % - Markeringsfarve3" xfId="30" builtinId="39" customBuiltin="1"/>
    <cellStyle name="40 % - Markeringsfarve3 2" xfId="55"/>
    <cellStyle name="40 % - Markeringsfarve3 2 2" xfId="83"/>
    <cellStyle name="40 % - Markeringsfarve4" xfId="34" builtinId="43" customBuiltin="1"/>
    <cellStyle name="40 % - Markeringsfarve4 2" xfId="73"/>
    <cellStyle name="40 % - Markeringsfarve4 3" xfId="101"/>
    <cellStyle name="40 % - Markeringsfarve5" xfId="38" builtinId="47" customBuiltin="1"/>
    <cellStyle name="40 % - Markeringsfarve5 2" xfId="75"/>
    <cellStyle name="40 % - Markeringsfarve5 3" xfId="103"/>
    <cellStyle name="40 % - Markeringsfarve6" xfId="42" builtinId="51" customBuiltin="1"/>
    <cellStyle name="40 % - Markeringsfarve6 2" xfId="77"/>
    <cellStyle name="40 % - Markeringsfarve6 3" xfId="105"/>
    <cellStyle name="40% - Accent1" xfId="127"/>
    <cellStyle name="40% - Accent2" xfId="128"/>
    <cellStyle name="40% - Accent3" xfId="129"/>
    <cellStyle name="40% - Accent4" xfId="130"/>
    <cellStyle name="40% - Accent5" xfId="131"/>
    <cellStyle name="40% - Accent6" xfId="132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3 2" xfId="56"/>
    <cellStyle name="60 % - Markeringsfarve4" xfId="35" builtinId="44" customBuiltin="1"/>
    <cellStyle name="60 % - Markeringsfarve4 2" xfId="57"/>
    <cellStyle name="60 % - Markeringsfarve5" xfId="39" builtinId="48" customBuiltin="1"/>
    <cellStyle name="60 % - Markeringsfarve6" xfId="43" builtinId="52" customBuiltin="1"/>
    <cellStyle name="60 % - Markeringsfarve6 2" xfId="58"/>
    <cellStyle name="60% - Accent1" xfId="133"/>
    <cellStyle name="60% - Accent2" xfId="134"/>
    <cellStyle name="60% - Accent3" xfId="135"/>
    <cellStyle name="60% - Accent4" xfId="136"/>
    <cellStyle name="60% - Accent5" xfId="137"/>
    <cellStyle name="60% - Accent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dvarselstekst" xfId="16" builtinId="11" customBuiltin="1"/>
    <cellStyle name="Bad" xfId="145"/>
    <cellStyle name="Beløb" xfId="109"/>
    <cellStyle name="Beløb (negative)" xfId="110"/>
    <cellStyle name="Beløb 1000" xfId="111"/>
    <cellStyle name="Beløb 1000 (negative)" xfId="112"/>
    <cellStyle name="Bemærk!" xfId="17" builtinId="10" customBuiltin="1"/>
    <cellStyle name="Bemærk! 2" xfId="59"/>
    <cellStyle name="Bemærk! 2 2" xfId="84"/>
    <cellStyle name="Bemærk! 3" xfId="98"/>
    <cellStyle name="Beregning" xfId="13" builtinId="22" customBuiltin="1"/>
    <cellStyle name="Calculation" xfId="146"/>
    <cellStyle name="Check Cell" xfId="147"/>
    <cellStyle name="Comma_Vandforsyning_standardpriser_27Okt_final" xfId="148"/>
    <cellStyle name="Decimal" xfId="113"/>
    <cellStyle name="Decimal (negative)" xfId="114"/>
    <cellStyle name="Explanatory Text" xfId="149"/>
    <cellStyle name="Forklarende tekst" xfId="18" builtinId="53" customBuiltin="1"/>
    <cellStyle name="God" xfId="8" builtinId="26" customBuiltin="1"/>
    <cellStyle name="Good" xfId="150"/>
    <cellStyle name="Heading 1" xfId="151"/>
    <cellStyle name="Heading 2" xfId="152"/>
    <cellStyle name="Heading 3" xfId="153"/>
    <cellStyle name="Heading 4" xfId="154"/>
    <cellStyle name="Input" xfId="11" builtinId="20" customBuiltin="1"/>
    <cellStyle name="Input 2" xfId="155"/>
    <cellStyle name="Komma" xfId="2" builtinId="3"/>
    <cellStyle name="Komma 2" xfId="61"/>
    <cellStyle name="Komma 2 2" xfId="86"/>
    <cellStyle name="Komma 2 3" xfId="156"/>
    <cellStyle name="Komma 3" xfId="85"/>
    <cellStyle name="Komma 3 2" xfId="157"/>
    <cellStyle name="Komma 4" xfId="68"/>
    <cellStyle name="Komma 4 2" xfId="120"/>
    <cellStyle name="Komma 5" xfId="97"/>
    <cellStyle name="Komma 6" xfId="60"/>
    <cellStyle name="Kontroller celle" xfId="15" builtinId="23" customBuiltin="1"/>
    <cellStyle name="Linked Cell" xfId="158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eutral 2" xfId="159"/>
    <cellStyle name="Normal" xfId="0" builtinId="0"/>
    <cellStyle name="Normal 2" xfId="1"/>
    <cellStyle name="Normal 2 2" xfId="45"/>
    <cellStyle name="Normal 2 2 2" xfId="88"/>
    <cellStyle name="Normal 2 3" xfId="87"/>
    <cellStyle name="Normal 2 4" xfId="166"/>
    <cellStyle name="Normal 3" xfId="46"/>
    <cellStyle name="Normal 3 2" xfId="47"/>
    <cellStyle name="Normal 3 2 2" xfId="90"/>
    <cellStyle name="Normal 3 3" xfId="63"/>
    <cellStyle name="Normal 3 3 2" xfId="91"/>
    <cellStyle name="Normal 3 4" xfId="89"/>
    <cellStyle name="Normal 3 5" xfId="62"/>
    <cellStyle name="Normal 4" xfId="78"/>
    <cellStyle name="Normal 4 2" xfId="70"/>
    <cellStyle name="Normal 4 3" xfId="108"/>
    <cellStyle name="Normal 5" xfId="67"/>
    <cellStyle name="Normal 6" xfId="96"/>
    <cellStyle name="Normal 7" xfId="50"/>
    <cellStyle name="Normal 7 2" xfId="107"/>
    <cellStyle name="Note" xfId="160"/>
    <cellStyle name="Output" xfId="12" builtinId="21" customBuiltin="1"/>
    <cellStyle name="Output 2" xfId="161"/>
    <cellStyle name="Overskrift" xfId="115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44" builtinId="5"/>
    <cellStyle name="Procent 2" xfId="48"/>
    <cellStyle name="Procent 2 2" xfId="49"/>
    <cellStyle name="Procent 2 2 2" xfId="94"/>
    <cellStyle name="Procent 2 3" xfId="66"/>
    <cellStyle name="Procent 2 3 2" xfId="95"/>
    <cellStyle name="Procent 2 4" xfId="93"/>
    <cellStyle name="Procent 2 5" xfId="65"/>
    <cellStyle name="Procent 2 6" xfId="162"/>
    <cellStyle name="Procent 3" xfId="92"/>
    <cellStyle name="Procent 4" xfId="69"/>
    <cellStyle name="Procent 5" xfId="106"/>
    <cellStyle name="Procent 6" xfId="64"/>
    <cellStyle name="Sammenkædet celle" xfId="14" builtinId="24" customBuiltin="1"/>
    <cellStyle name="Titel" xfId="3" builtinId="15" customBuiltin="1"/>
    <cellStyle name="Title" xfId="163"/>
    <cellStyle name="Total" xfId="19" builtinId="25" customBuiltin="1"/>
    <cellStyle name="Total (negative)" xfId="117"/>
    <cellStyle name="Total 1000" xfId="118"/>
    <cellStyle name="Total 1000 (negative)" xfId="119"/>
    <cellStyle name="Total 2" xfId="164"/>
    <cellStyle name="Total 3" xfId="116"/>
    <cellStyle name="Ugyldig" xfId="9" builtinId="27" customBuiltin="1"/>
    <cellStyle name="Warning Text" xfId="165"/>
  </cellStyles>
  <dxfs count="2">
    <dxf>
      <font>
        <color rgb="FFFD2711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D271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28"/>
  <sheetViews>
    <sheetView zoomScaleNormal="85" workbookViewId="0">
      <pane xSplit="1" ySplit="1" topLeftCell="B36" activePane="bottomRight" state="frozen"/>
      <selection pane="topRight" activeCell="B1" sqref="B1"/>
      <selection pane="bottomLeft" activeCell="A3" sqref="A3"/>
      <selection pane="bottomRight" activeCell="A37" sqref="A37:XFD37"/>
    </sheetView>
  </sheetViews>
  <sheetFormatPr defaultRowHeight="15" x14ac:dyDescent="0.25"/>
  <cols>
    <col min="1" max="1" width="41.7109375" style="53" bestFit="1" customWidth="1"/>
    <col min="2" max="2" width="7.7109375" style="53" bestFit="1" customWidth="1"/>
    <col min="3" max="3" width="11.140625" style="53" bestFit="1" customWidth="1"/>
    <col min="4" max="6" width="11" style="53" customWidth="1"/>
    <col min="7" max="7" width="13.140625" style="53" customWidth="1"/>
    <col min="8" max="8" width="11" style="53" customWidth="1"/>
    <col min="9" max="9" width="19.5703125" style="53" customWidth="1"/>
    <col min="10" max="10" width="19.140625" style="53" customWidth="1"/>
    <col min="11" max="11" width="13.42578125" style="53" customWidth="1"/>
    <col min="12" max="12" width="16" style="53" customWidth="1"/>
    <col min="13" max="13" width="15" style="53" customWidth="1"/>
    <col min="14" max="14" width="11.28515625" style="53" bestFit="1" customWidth="1"/>
    <col min="15" max="16" width="17.42578125" style="53" customWidth="1"/>
    <col min="17" max="17" width="12.5703125" style="53" customWidth="1"/>
    <col min="18" max="18" width="9.140625" style="53"/>
    <col min="19" max="19" width="8.5703125" style="53" bestFit="1" customWidth="1"/>
    <col min="20" max="16384" width="9.140625" style="53"/>
  </cols>
  <sheetData>
    <row r="1" spans="1:100" ht="75.75" thickBot="1" x14ac:dyDescent="0.3">
      <c r="A1" s="296" t="s">
        <v>165</v>
      </c>
      <c r="B1" s="297" t="s">
        <v>185</v>
      </c>
      <c r="C1" s="297" t="s">
        <v>192</v>
      </c>
      <c r="D1" s="267" t="s">
        <v>193</v>
      </c>
      <c r="E1" s="268" t="s">
        <v>194</v>
      </c>
      <c r="F1" s="267" t="s">
        <v>205</v>
      </c>
      <c r="G1" s="271" t="s">
        <v>190</v>
      </c>
      <c r="H1" s="268" t="s">
        <v>191</v>
      </c>
      <c r="I1" s="267" t="s">
        <v>195</v>
      </c>
      <c r="J1" s="268" t="s">
        <v>196</v>
      </c>
      <c r="K1" s="271" t="s">
        <v>206</v>
      </c>
      <c r="L1" s="268" t="s">
        <v>207</v>
      </c>
      <c r="M1" s="267" t="s">
        <v>208</v>
      </c>
      <c r="N1" s="269" t="s">
        <v>209</v>
      </c>
      <c r="O1" s="267" t="s">
        <v>210</v>
      </c>
      <c r="P1" s="268" t="s">
        <v>211</v>
      </c>
      <c r="Q1" s="267" t="s">
        <v>187</v>
      </c>
      <c r="R1" s="270" t="s">
        <v>186</v>
      </c>
      <c r="S1" s="268" t="s">
        <v>212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</row>
    <row r="2" spans="1:100" x14ac:dyDescent="0.25">
      <c r="A2" s="291" t="s">
        <v>39</v>
      </c>
      <c r="B2" s="289"/>
      <c r="C2" s="284">
        <v>8094383</v>
      </c>
      <c r="D2" s="275">
        <v>0.41606403769118905</v>
      </c>
      <c r="E2" s="247">
        <f t="shared" ref="E2:E42" si="0">C2*D2</f>
        <v>3367781.67359892</v>
      </c>
      <c r="F2" s="255"/>
      <c r="G2" s="279">
        <f t="shared" ref="G2:G42" si="1">IF(F2=0,D2,"SF")</f>
        <v>0.41606403769118905</v>
      </c>
      <c r="H2" s="247">
        <f t="shared" ref="H2:H42" si="2">G2*C2</f>
        <v>3367781.67359892</v>
      </c>
      <c r="I2" s="275">
        <v>0.26279999999999998</v>
      </c>
      <c r="J2" s="247">
        <f t="shared" ref="J2:J42" si="3">I2*C2</f>
        <v>2127203.8523999997</v>
      </c>
      <c r="K2" s="272">
        <f>IF(Netvolumenmål!AJ3&lt;Netvolumenmål!$AA$134,Netvolumenmål!AJ3-Netvolumenmål!$AA$134,0)</f>
        <v>0</v>
      </c>
      <c r="L2" s="264">
        <f>Netvolumenmål!AK3*0.75</f>
        <v>0</v>
      </c>
      <c r="M2" s="261">
        <f>IF(I2=0,0,IF(I2&lt;-L2,0,I2+L2))</f>
        <v>0.26279999999999998</v>
      </c>
      <c r="N2" s="247">
        <f>M2*C2</f>
        <v>2127203.8523999997</v>
      </c>
      <c r="O2" s="255">
        <f>IF(G2&gt;0,C2-H2,"Over fronten")</f>
        <v>4726601.32640108</v>
      </c>
      <c r="P2" s="247">
        <f t="shared" ref="P2:P42" si="4">IF(O2&gt;C2*1.015,O2-C2*1.015,0)</f>
        <v>0</v>
      </c>
      <c r="Q2" s="245">
        <f t="shared" ref="Q2:Q41" si="5">M2/4</f>
        <v>6.5699999999999995E-2</v>
      </c>
      <c r="R2" s="246">
        <f>IF(Q2&gt;0.01,IF(Q2&gt;0.05,0.05,Q2),0)</f>
        <v>0.05</v>
      </c>
      <c r="S2" s="247">
        <f>R2*C2</f>
        <v>404719.15</v>
      </c>
    </row>
    <row r="3" spans="1:100" x14ac:dyDescent="0.25">
      <c r="A3" s="292" t="s">
        <v>40</v>
      </c>
      <c r="B3" s="289"/>
      <c r="C3" s="284">
        <v>3490387</v>
      </c>
      <c r="D3" s="275">
        <v>0.30742194472312001</v>
      </c>
      <c r="E3" s="247">
        <f t="shared" si="0"/>
        <v>1073021.5593762966</v>
      </c>
      <c r="F3" s="255">
        <v>187956</v>
      </c>
      <c r="G3" s="279">
        <v>0.2702464</v>
      </c>
      <c r="H3" s="247">
        <f>G3*C3</f>
        <v>943264.52135679999</v>
      </c>
      <c r="I3" s="275">
        <v>0.117002578870747</v>
      </c>
      <c r="J3" s="247">
        <f>I3*C3</f>
        <v>408384.28025692998</v>
      </c>
      <c r="K3" s="272">
        <f>IF(Netvolumenmål!AJ4&lt;Netvolumenmål!$AA$134,Netvolumenmål!AJ4-Netvolumenmål!$AA$134,0)</f>
        <v>0</v>
      </c>
      <c r="L3" s="264">
        <f>Netvolumenmål!AK4*0.75</f>
        <v>0</v>
      </c>
      <c r="M3" s="261">
        <f t="shared" ref="M3:M66" si="6">IF(I3=0,0,IF(I3&lt;-L3,0,I3+L3))</f>
        <v>0.117002578870747</v>
      </c>
      <c r="N3" s="247">
        <f t="shared" ref="N3:N66" si="7">M3*C3</f>
        <v>408384.28025692998</v>
      </c>
      <c r="O3" s="255">
        <f>IF(G3&gt;0,C3-H3,"Over fronten")</f>
        <v>2547122.4786431999</v>
      </c>
      <c r="P3" s="247">
        <f t="shared" si="4"/>
        <v>0</v>
      </c>
      <c r="Q3" s="245">
        <f t="shared" si="5"/>
        <v>2.925064471768675E-2</v>
      </c>
      <c r="R3" s="246">
        <f t="shared" ref="R3:R66" si="8">IF(Q3&gt;0.01,IF(Q3&gt;0.05,0.05,Q3),0)</f>
        <v>2.925064471768675E-2</v>
      </c>
      <c r="S3" s="247">
        <f t="shared" ref="S3:S66" si="9">R3*C3</f>
        <v>102096.0700642325</v>
      </c>
    </row>
    <row r="4" spans="1:100" x14ac:dyDescent="0.25">
      <c r="A4" s="292" t="s">
        <v>41</v>
      </c>
      <c r="B4" s="289"/>
      <c r="C4" s="284">
        <v>3237050</v>
      </c>
      <c r="D4" s="275">
        <v>0.18916311120038798</v>
      </c>
      <c r="E4" s="247">
        <f t="shared" si="0"/>
        <v>612330.44911121589</v>
      </c>
      <c r="F4" s="255"/>
      <c r="G4" s="279">
        <f t="shared" si="1"/>
        <v>0.18916311120038798</v>
      </c>
      <c r="H4" s="247">
        <f t="shared" si="2"/>
        <v>612330.44911121589</v>
      </c>
      <c r="I4" s="275">
        <v>2.7300000000000001E-2</v>
      </c>
      <c r="J4" s="247">
        <f t="shared" si="3"/>
        <v>88371.465000000011</v>
      </c>
      <c r="K4" s="272">
        <f>IF(Netvolumenmål!AJ5&lt;Netvolumenmål!$AA$134,Netvolumenmål!AJ5-Netvolumenmål!$AA$134,0)</f>
        <v>0</v>
      </c>
      <c r="L4" s="264">
        <f>Netvolumenmål!AK5*0.75</f>
        <v>0</v>
      </c>
      <c r="M4" s="261">
        <f t="shared" si="6"/>
        <v>2.7300000000000001E-2</v>
      </c>
      <c r="N4" s="247">
        <f t="shared" si="7"/>
        <v>88371.465000000011</v>
      </c>
      <c r="O4" s="255">
        <f>IF(G4&gt;0,C4-H4,"Over fronten")</f>
        <v>2624719.5508887842</v>
      </c>
      <c r="P4" s="247">
        <f t="shared" si="4"/>
        <v>0</v>
      </c>
      <c r="Q4" s="245">
        <f t="shared" si="5"/>
        <v>6.8250000000000003E-3</v>
      </c>
      <c r="R4" s="246">
        <f t="shared" si="8"/>
        <v>0</v>
      </c>
      <c r="S4" s="247">
        <f t="shared" si="9"/>
        <v>0</v>
      </c>
    </row>
    <row r="5" spans="1:100" x14ac:dyDescent="0.25">
      <c r="A5" s="292" t="s">
        <v>45</v>
      </c>
      <c r="B5" s="289"/>
      <c r="C5" s="284">
        <v>2298364</v>
      </c>
      <c r="D5" s="275">
        <v>0.15161941628401099</v>
      </c>
      <c r="E5" s="247">
        <f t="shared" si="0"/>
        <v>348476.60808818461</v>
      </c>
      <c r="F5" s="255"/>
      <c r="G5" s="279">
        <f t="shared" si="1"/>
        <v>0.15161941628401099</v>
      </c>
      <c r="H5" s="247">
        <f t="shared" si="2"/>
        <v>348476.60808818461</v>
      </c>
      <c r="I5" s="275">
        <v>0</v>
      </c>
      <c r="J5" s="247">
        <f t="shared" si="3"/>
        <v>0</v>
      </c>
      <c r="K5" s="272">
        <f>IF(Netvolumenmål!AJ6&lt;Netvolumenmål!$AA$134,Netvolumenmål!AJ6-Netvolumenmål!$AA$134,0)</f>
        <v>0</v>
      </c>
      <c r="L5" s="264">
        <f>Netvolumenmål!AK6*0.75</f>
        <v>0</v>
      </c>
      <c r="M5" s="261">
        <f t="shared" si="6"/>
        <v>0</v>
      </c>
      <c r="N5" s="247">
        <f t="shared" si="7"/>
        <v>0</v>
      </c>
      <c r="O5" s="255">
        <f t="shared" ref="O5:O42" si="10">IF(G5&gt;0,C5-H5,"Over fronten")</f>
        <v>1949887.3919118154</v>
      </c>
      <c r="P5" s="247">
        <f t="shared" si="4"/>
        <v>0</v>
      </c>
      <c r="Q5" s="245">
        <f t="shared" si="5"/>
        <v>0</v>
      </c>
      <c r="R5" s="246">
        <f t="shared" si="8"/>
        <v>0</v>
      </c>
      <c r="S5" s="247">
        <f t="shared" si="9"/>
        <v>0</v>
      </c>
    </row>
    <row r="6" spans="1:100" x14ac:dyDescent="0.25">
      <c r="A6" s="292" t="s">
        <v>42</v>
      </c>
      <c r="B6" s="289"/>
      <c r="C6" s="284">
        <v>851346</v>
      </c>
      <c r="D6" s="275">
        <v>8.6827317870949994E-3</v>
      </c>
      <c r="E6" s="247">
        <f t="shared" si="0"/>
        <v>7392.0089760161791</v>
      </c>
      <c r="F6" s="255"/>
      <c r="G6" s="279">
        <f t="shared" si="1"/>
        <v>8.6827317870949994E-3</v>
      </c>
      <c r="H6" s="247">
        <f t="shared" si="2"/>
        <v>7392.0089760161791</v>
      </c>
      <c r="I6" s="275">
        <v>0</v>
      </c>
      <c r="J6" s="247">
        <f t="shared" si="3"/>
        <v>0</v>
      </c>
      <c r="K6" s="272">
        <f>IF(Netvolumenmål!AJ7&lt;Netvolumenmål!$AA$134,Netvolumenmål!AJ7-Netvolumenmål!$AA$134,0)</f>
        <v>0</v>
      </c>
      <c r="L6" s="264">
        <f>Netvolumenmål!AK7*0.75</f>
        <v>0</v>
      </c>
      <c r="M6" s="261">
        <f t="shared" si="6"/>
        <v>0</v>
      </c>
      <c r="N6" s="247">
        <f t="shared" si="7"/>
        <v>0</v>
      </c>
      <c r="O6" s="255">
        <f t="shared" si="10"/>
        <v>843953.99102398381</v>
      </c>
      <c r="P6" s="247">
        <f t="shared" si="4"/>
        <v>0</v>
      </c>
      <c r="Q6" s="245">
        <f t="shared" si="5"/>
        <v>0</v>
      </c>
      <c r="R6" s="246">
        <f t="shared" si="8"/>
        <v>0</v>
      </c>
      <c r="S6" s="247">
        <f t="shared" si="9"/>
        <v>0</v>
      </c>
    </row>
    <row r="7" spans="1:100" x14ac:dyDescent="0.25">
      <c r="A7" s="292" t="s">
        <v>43</v>
      </c>
      <c r="B7" s="289"/>
      <c r="C7" s="284">
        <v>1996183</v>
      </c>
      <c r="D7" s="275">
        <v>0.51575261236843994</v>
      </c>
      <c r="E7" s="247">
        <f t="shared" si="0"/>
        <v>1029536.5970154696</v>
      </c>
      <c r="F7" s="255"/>
      <c r="G7" s="279">
        <f t="shared" si="1"/>
        <v>0.51575261236843994</v>
      </c>
      <c r="H7" s="247">
        <f t="shared" si="2"/>
        <v>1029536.5970154696</v>
      </c>
      <c r="I7" s="275">
        <v>0.36249999999999999</v>
      </c>
      <c r="J7" s="247">
        <f t="shared" si="3"/>
        <v>723616.33750000002</v>
      </c>
      <c r="K7" s="272">
        <f>IF(Netvolumenmål!AJ8&lt;Netvolumenmål!$AA$134,Netvolumenmål!AJ8-Netvolumenmål!$AA$134,0)</f>
        <v>0</v>
      </c>
      <c r="L7" s="264">
        <f>Netvolumenmål!AK8*0.75</f>
        <v>0</v>
      </c>
      <c r="M7" s="261">
        <f t="shared" si="6"/>
        <v>0.36249999999999999</v>
      </c>
      <c r="N7" s="247">
        <f t="shared" si="7"/>
        <v>723616.33750000002</v>
      </c>
      <c r="O7" s="255">
        <f t="shared" si="10"/>
        <v>966646.40298453043</v>
      </c>
      <c r="P7" s="247">
        <f t="shared" si="4"/>
        <v>0</v>
      </c>
      <c r="Q7" s="245">
        <f t="shared" si="5"/>
        <v>9.0624999999999997E-2</v>
      </c>
      <c r="R7" s="246">
        <f t="shared" si="8"/>
        <v>0.05</v>
      </c>
      <c r="S7" s="247">
        <f t="shared" si="9"/>
        <v>99809.150000000009</v>
      </c>
    </row>
    <row r="8" spans="1:100" x14ac:dyDescent="0.25">
      <c r="A8" s="292" t="s">
        <v>44</v>
      </c>
      <c r="B8" s="289"/>
      <c r="C8" s="284">
        <v>598089</v>
      </c>
      <c r="D8" s="275">
        <v>0</v>
      </c>
      <c r="E8" s="247">
        <f t="shared" si="0"/>
        <v>0</v>
      </c>
      <c r="F8" s="255"/>
      <c r="G8" s="279">
        <f t="shared" si="1"/>
        <v>0</v>
      </c>
      <c r="H8" s="247">
        <f t="shared" si="2"/>
        <v>0</v>
      </c>
      <c r="I8" s="275">
        <v>0</v>
      </c>
      <c r="J8" s="247">
        <f t="shared" si="3"/>
        <v>0</v>
      </c>
      <c r="K8" s="272">
        <f>IF(Netvolumenmål!AJ9&lt;Netvolumenmål!$AA$134,Netvolumenmål!AJ9-Netvolumenmål!$AA$134,0)</f>
        <v>0</v>
      </c>
      <c r="L8" s="264">
        <f>Netvolumenmål!AK9*0.75</f>
        <v>0</v>
      </c>
      <c r="M8" s="261">
        <f t="shared" si="6"/>
        <v>0</v>
      </c>
      <c r="N8" s="247">
        <f t="shared" si="7"/>
        <v>0</v>
      </c>
      <c r="O8" s="256">
        <f>C8*1.1958</f>
        <v>715194.82620000001</v>
      </c>
      <c r="P8" s="257">
        <f t="shared" si="4"/>
        <v>108134.49120000005</v>
      </c>
      <c r="Q8" s="245">
        <f t="shared" si="5"/>
        <v>0</v>
      </c>
      <c r="R8" s="246">
        <f t="shared" si="8"/>
        <v>0</v>
      </c>
      <c r="S8" s="247">
        <f t="shared" si="9"/>
        <v>0</v>
      </c>
    </row>
    <row r="9" spans="1:100" x14ac:dyDescent="0.25">
      <c r="A9" s="292" t="s">
        <v>46</v>
      </c>
      <c r="B9" s="289"/>
      <c r="C9" s="284">
        <v>1217931</v>
      </c>
      <c r="D9" s="275">
        <v>8.0930497035291982E-2</v>
      </c>
      <c r="E9" s="247">
        <f t="shared" si="0"/>
        <v>98567.7611846902</v>
      </c>
      <c r="F9" s="255"/>
      <c r="G9" s="279">
        <f t="shared" si="1"/>
        <v>8.0930497035291982E-2</v>
      </c>
      <c r="H9" s="247">
        <f t="shared" si="2"/>
        <v>98567.7611846902</v>
      </c>
      <c r="I9" s="275">
        <v>0</v>
      </c>
      <c r="J9" s="247">
        <f t="shared" si="3"/>
        <v>0</v>
      </c>
      <c r="K9" s="272">
        <f>IF(Netvolumenmål!AJ10&lt;Netvolumenmål!$AA$134,Netvolumenmål!AJ10-Netvolumenmål!$AA$134,0)</f>
        <v>0</v>
      </c>
      <c r="L9" s="264">
        <f>Netvolumenmål!AK10*0.75</f>
        <v>0</v>
      </c>
      <c r="M9" s="261">
        <f t="shared" si="6"/>
        <v>0</v>
      </c>
      <c r="N9" s="247">
        <f t="shared" si="7"/>
        <v>0</v>
      </c>
      <c r="O9" s="255">
        <f t="shared" si="10"/>
        <v>1119363.2388153097</v>
      </c>
      <c r="P9" s="247">
        <f t="shared" si="4"/>
        <v>0</v>
      </c>
      <c r="Q9" s="245">
        <f t="shared" si="5"/>
        <v>0</v>
      </c>
      <c r="R9" s="246">
        <f t="shared" si="8"/>
        <v>0</v>
      </c>
      <c r="S9" s="247">
        <f t="shared" si="9"/>
        <v>0</v>
      </c>
    </row>
    <row r="10" spans="1:100" x14ac:dyDescent="0.25">
      <c r="A10" s="292" t="s">
        <v>49</v>
      </c>
      <c r="B10" s="289"/>
      <c r="C10" s="284">
        <v>1206559</v>
      </c>
      <c r="D10" s="275">
        <v>0.19126676697706801</v>
      </c>
      <c r="E10" s="247">
        <f t="shared" si="0"/>
        <v>230774.6390970842</v>
      </c>
      <c r="F10" s="255"/>
      <c r="G10" s="279">
        <f t="shared" si="1"/>
        <v>0.19126676697706801</v>
      </c>
      <c r="H10" s="247">
        <f t="shared" si="2"/>
        <v>230774.6390970842</v>
      </c>
      <c r="I10" s="275">
        <v>3.0599999999999999E-2</v>
      </c>
      <c r="J10" s="247">
        <f t="shared" si="3"/>
        <v>36920.705399999999</v>
      </c>
      <c r="K10" s="272">
        <f>IF(Netvolumenmål!AJ11&lt;Netvolumenmål!$AA$134,Netvolumenmål!AJ11-Netvolumenmål!$AA$134,0)</f>
        <v>0</v>
      </c>
      <c r="L10" s="264">
        <f>Netvolumenmål!AK11*0.75</f>
        <v>0</v>
      </c>
      <c r="M10" s="261">
        <f t="shared" si="6"/>
        <v>3.0599999999999999E-2</v>
      </c>
      <c r="N10" s="247">
        <f t="shared" si="7"/>
        <v>36920.705399999999</v>
      </c>
      <c r="O10" s="255">
        <f t="shared" si="10"/>
        <v>975784.36090291583</v>
      </c>
      <c r="P10" s="247">
        <f t="shared" si="4"/>
        <v>0</v>
      </c>
      <c r="Q10" s="245">
        <f t="shared" si="5"/>
        <v>7.6499999999999997E-3</v>
      </c>
      <c r="R10" s="246">
        <f t="shared" si="8"/>
        <v>0</v>
      </c>
      <c r="S10" s="247">
        <f t="shared" si="9"/>
        <v>0</v>
      </c>
    </row>
    <row r="11" spans="1:100" x14ac:dyDescent="0.25">
      <c r="A11" s="293" t="s">
        <v>173</v>
      </c>
      <c r="B11" s="294"/>
      <c r="C11" s="285">
        <v>1659887</v>
      </c>
      <c r="D11" s="262">
        <v>0.90069999999999995</v>
      </c>
      <c r="E11" s="250">
        <f t="shared" si="0"/>
        <v>1495060.2208999998</v>
      </c>
      <c r="F11" s="258"/>
      <c r="G11" s="273">
        <f t="shared" si="1"/>
        <v>0.90069999999999995</v>
      </c>
      <c r="H11" s="250">
        <f t="shared" si="2"/>
        <v>1495060.2208999998</v>
      </c>
      <c r="I11" s="262">
        <f>G11</f>
        <v>0.90069999999999995</v>
      </c>
      <c r="J11" s="250">
        <f t="shared" si="3"/>
        <v>1495060.2208999998</v>
      </c>
      <c r="K11" s="273">
        <f>IF(Netvolumenmål!AJ12&lt;Netvolumenmål!$AA$134,Netvolumenmål!AJ12-Netvolumenmål!$AA$134,0)</f>
        <v>0</v>
      </c>
      <c r="L11" s="265">
        <f>Netvolumenmål!AK12*0.75</f>
        <v>0</v>
      </c>
      <c r="M11" s="262">
        <f t="shared" si="6"/>
        <v>0.90069999999999995</v>
      </c>
      <c r="N11" s="250">
        <f t="shared" si="7"/>
        <v>1495060.2208999998</v>
      </c>
      <c r="O11" s="258"/>
      <c r="P11" s="250">
        <f t="shared" si="4"/>
        <v>0</v>
      </c>
      <c r="Q11" s="248">
        <f t="shared" si="5"/>
        <v>0.22517499999999999</v>
      </c>
      <c r="R11" s="249">
        <f t="shared" si="8"/>
        <v>0.05</v>
      </c>
      <c r="S11" s="250">
        <f t="shared" si="9"/>
        <v>82994.350000000006</v>
      </c>
    </row>
    <row r="12" spans="1:100" x14ac:dyDescent="0.25">
      <c r="A12" s="293" t="s">
        <v>52</v>
      </c>
      <c r="B12" s="294"/>
      <c r="C12" s="285">
        <v>331984</v>
      </c>
      <c r="D12" s="262">
        <v>0.38279999999999997</v>
      </c>
      <c r="E12" s="250">
        <f t="shared" si="0"/>
        <v>127083.47519999999</v>
      </c>
      <c r="F12" s="258"/>
      <c r="G12" s="273">
        <f t="shared" si="1"/>
        <v>0.38279999999999997</v>
      </c>
      <c r="H12" s="250">
        <f t="shared" si="2"/>
        <v>127083.47519999999</v>
      </c>
      <c r="I12" s="262">
        <f>G12</f>
        <v>0.38279999999999997</v>
      </c>
      <c r="J12" s="250">
        <f t="shared" si="3"/>
        <v>127083.47519999999</v>
      </c>
      <c r="K12" s="273">
        <f>IF(Netvolumenmål!AJ13&lt;Netvolumenmål!$AA$134,Netvolumenmål!AJ13-Netvolumenmål!$AA$134,0)</f>
        <v>0</v>
      </c>
      <c r="L12" s="265">
        <f>Netvolumenmål!AK13*0.75</f>
        <v>0</v>
      </c>
      <c r="M12" s="262">
        <f t="shared" si="6"/>
        <v>0.38279999999999997</v>
      </c>
      <c r="N12" s="250">
        <f t="shared" si="7"/>
        <v>127083.47519999999</v>
      </c>
      <c r="O12" s="258"/>
      <c r="P12" s="250">
        <f t="shared" si="4"/>
        <v>0</v>
      </c>
      <c r="Q12" s="248">
        <f t="shared" si="5"/>
        <v>9.5699999999999993E-2</v>
      </c>
      <c r="R12" s="249">
        <f t="shared" si="8"/>
        <v>0.05</v>
      </c>
      <c r="S12" s="250">
        <f t="shared" si="9"/>
        <v>16599.2</v>
      </c>
    </row>
    <row r="13" spans="1:100" x14ac:dyDescent="0.25">
      <c r="A13" s="292" t="s">
        <v>53</v>
      </c>
      <c r="B13" s="289"/>
      <c r="C13" s="284">
        <v>519191</v>
      </c>
      <c r="D13" s="275">
        <v>0.19267125898425497</v>
      </c>
      <c r="E13" s="247">
        <f t="shared" si="0"/>
        <v>100033.18362329432</v>
      </c>
      <c r="F13" s="255"/>
      <c r="G13" s="279">
        <f t="shared" si="1"/>
        <v>0.19267125898425497</v>
      </c>
      <c r="H13" s="247">
        <f t="shared" si="2"/>
        <v>100033.18362329432</v>
      </c>
      <c r="I13" s="275">
        <v>3.2000000000000001E-2</v>
      </c>
      <c r="J13" s="247">
        <f t="shared" si="3"/>
        <v>16614.112000000001</v>
      </c>
      <c r="K13" s="272">
        <f>IF(Netvolumenmål!AJ14&lt;Netvolumenmål!$AA$134,Netvolumenmål!AJ14-Netvolumenmål!$AA$134,0)</f>
        <v>0</v>
      </c>
      <c r="L13" s="264">
        <f>Netvolumenmål!AK14*0.75</f>
        <v>0</v>
      </c>
      <c r="M13" s="261">
        <f t="shared" si="6"/>
        <v>3.2000000000000001E-2</v>
      </c>
      <c r="N13" s="247">
        <f t="shared" si="7"/>
        <v>16614.112000000001</v>
      </c>
      <c r="O13" s="255">
        <f t="shared" si="10"/>
        <v>419157.81637670565</v>
      </c>
      <c r="P13" s="247">
        <f t="shared" si="4"/>
        <v>0</v>
      </c>
      <c r="Q13" s="245">
        <f t="shared" si="5"/>
        <v>8.0000000000000002E-3</v>
      </c>
      <c r="R13" s="246">
        <f t="shared" si="8"/>
        <v>0</v>
      </c>
      <c r="S13" s="247">
        <f t="shared" si="9"/>
        <v>0</v>
      </c>
    </row>
    <row r="14" spans="1:100" x14ac:dyDescent="0.25">
      <c r="A14" s="292" t="s">
        <v>47</v>
      </c>
      <c r="B14" s="289"/>
      <c r="C14" s="284">
        <v>1450901</v>
      </c>
      <c r="D14" s="275">
        <v>0.28228667466367796</v>
      </c>
      <c r="E14" s="247">
        <f t="shared" si="0"/>
        <v>409570.01855620503</v>
      </c>
      <c r="F14" s="255"/>
      <c r="G14" s="279">
        <f t="shared" si="1"/>
        <v>0.28228667466367796</v>
      </c>
      <c r="H14" s="247">
        <f t="shared" si="2"/>
        <v>409570.01855620503</v>
      </c>
      <c r="I14" s="275">
        <v>0.129</v>
      </c>
      <c r="J14" s="247">
        <f t="shared" si="3"/>
        <v>187166.22899999999</v>
      </c>
      <c r="K14" s="272">
        <f>IF(Netvolumenmål!AJ15&lt;Netvolumenmål!$AA$134,Netvolumenmål!AJ15-Netvolumenmål!$AA$134,0)</f>
        <v>0</v>
      </c>
      <c r="L14" s="264">
        <f>Netvolumenmål!AK15*0.75</f>
        <v>0</v>
      </c>
      <c r="M14" s="261">
        <f t="shared" si="6"/>
        <v>0.129</v>
      </c>
      <c r="N14" s="247">
        <f t="shared" si="7"/>
        <v>187166.22899999999</v>
      </c>
      <c r="O14" s="255">
        <f t="shared" si="10"/>
        <v>1041330.9814437949</v>
      </c>
      <c r="P14" s="247">
        <f t="shared" si="4"/>
        <v>0</v>
      </c>
      <c r="Q14" s="245">
        <f t="shared" si="5"/>
        <v>3.2250000000000001E-2</v>
      </c>
      <c r="R14" s="246">
        <f t="shared" si="8"/>
        <v>3.2250000000000001E-2</v>
      </c>
      <c r="S14" s="247">
        <f t="shared" si="9"/>
        <v>46791.557249999998</v>
      </c>
    </row>
    <row r="15" spans="1:100" x14ac:dyDescent="0.25">
      <c r="A15" s="292" t="s">
        <v>55</v>
      </c>
      <c r="B15" s="289"/>
      <c r="C15" s="284">
        <v>6271551</v>
      </c>
      <c r="D15" s="275">
        <v>0.48740821331567197</v>
      </c>
      <c r="E15" s="247">
        <f t="shared" si="0"/>
        <v>3056805.4676281158</v>
      </c>
      <c r="F15" s="255"/>
      <c r="G15" s="279">
        <f t="shared" si="1"/>
        <v>0.48740821331567197</v>
      </c>
      <c r="H15" s="247">
        <f t="shared" si="2"/>
        <v>3056805.4676281158</v>
      </c>
      <c r="I15" s="275">
        <v>0.32550000000000001</v>
      </c>
      <c r="J15" s="247">
        <f t="shared" si="3"/>
        <v>2041389.8505000002</v>
      </c>
      <c r="K15" s="272">
        <f>IF(Netvolumenmål!AJ16&lt;Netvolumenmål!$AA$134,Netvolumenmål!AJ16-Netvolumenmål!$AA$134,0)</f>
        <v>0</v>
      </c>
      <c r="L15" s="264">
        <f>Netvolumenmål!AK16*0.75</f>
        <v>0</v>
      </c>
      <c r="M15" s="261">
        <f t="shared" si="6"/>
        <v>0.32550000000000001</v>
      </c>
      <c r="N15" s="247">
        <f t="shared" si="7"/>
        <v>2041389.8505000002</v>
      </c>
      <c r="O15" s="255">
        <f t="shared" si="10"/>
        <v>3214745.5323718842</v>
      </c>
      <c r="P15" s="247">
        <f t="shared" si="4"/>
        <v>0</v>
      </c>
      <c r="Q15" s="245">
        <f t="shared" si="5"/>
        <v>8.1375000000000003E-2</v>
      </c>
      <c r="R15" s="246">
        <f t="shared" si="8"/>
        <v>0.05</v>
      </c>
      <c r="S15" s="247">
        <f t="shared" si="9"/>
        <v>313577.55</v>
      </c>
    </row>
    <row r="16" spans="1:100" x14ac:dyDescent="0.25">
      <c r="A16" s="292" t="s">
        <v>48</v>
      </c>
      <c r="B16" s="289"/>
      <c r="C16" s="284">
        <v>1472256</v>
      </c>
      <c r="D16" s="275">
        <v>9.415360187035704E-2</v>
      </c>
      <c r="E16" s="247">
        <f t="shared" si="0"/>
        <v>138618.20527524437</v>
      </c>
      <c r="F16" s="255"/>
      <c r="G16" s="279">
        <f t="shared" si="1"/>
        <v>9.415360187035704E-2</v>
      </c>
      <c r="H16" s="247">
        <f t="shared" si="2"/>
        <v>138618.20527524437</v>
      </c>
      <c r="I16" s="275">
        <v>0</v>
      </c>
      <c r="J16" s="247">
        <f t="shared" si="3"/>
        <v>0</v>
      </c>
      <c r="K16" s="272">
        <f>IF(Netvolumenmål!AJ17&lt;Netvolumenmål!$AA$134,Netvolumenmål!AJ17-Netvolumenmål!$AA$134,0)</f>
        <v>0</v>
      </c>
      <c r="L16" s="264">
        <f>Netvolumenmål!AK17*0.75</f>
        <v>0</v>
      </c>
      <c r="M16" s="261">
        <f t="shared" si="6"/>
        <v>0</v>
      </c>
      <c r="N16" s="247">
        <f t="shared" si="7"/>
        <v>0</v>
      </c>
      <c r="O16" s="255">
        <f t="shared" si="10"/>
        <v>1333637.7947247557</v>
      </c>
      <c r="P16" s="247">
        <f t="shared" si="4"/>
        <v>0</v>
      </c>
      <c r="Q16" s="245">
        <f t="shared" si="5"/>
        <v>0</v>
      </c>
      <c r="R16" s="246">
        <f t="shared" si="8"/>
        <v>0</v>
      </c>
      <c r="S16" s="247">
        <f t="shared" si="9"/>
        <v>0</v>
      </c>
    </row>
    <row r="17" spans="1:19" x14ac:dyDescent="0.25">
      <c r="A17" s="292" t="s">
        <v>58</v>
      </c>
      <c r="B17" s="289"/>
      <c r="C17" s="284">
        <v>1252468</v>
      </c>
      <c r="D17" s="275">
        <v>6.5190824809362002E-2</v>
      </c>
      <c r="E17" s="247">
        <f t="shared" si="0"/>
        <v>81649.421967332004</v>
      </c>
      <c r="F17" s="255"/>
      <c r="G17" s="279">
        <f t="shared" si="1"/>
        <v>6.5190824809362002E-2</v>
      </c>
      <c r="H17" s="247">
        <f t="shared" si="2"/>
        <v>81649.421967332004</v>
      </c>
      <c r="I17" s="275">
        <v>0</v>
      </c>
      <c r="J17" s="247">
        <f t="shared" si="3"/>
        <v>0</v>
      </c>
      <c r="K17" s="272">
        <f>IF(Netvolumenmål!AJ18&lt;Netvolumenmål!$AA$134,Netvolumenmål!AJ18-Netvolumenmål!$AA$134,0)</f>
        <v>0</v>
      </c>
      <c r="L17" s="264">
        <f>Netvolumenmål!AK18*0.75</f>
        <v>0</v>
      </c>
      <c r="M17" s="261">
        <f t="shared" si="6"/>
        <v>0</v>
      </c>
      <c r="N17" s="247">
        <f t="shared" si="7"/>
        <v>0</v>
      </c>
      <c r="O17" s="255">
        <f t="shared" si="10"/>
        <v>1170818.578032668</v>
      </c>
      <c r="P17" s="247">
        <f t="shared" si="4"/>
        <v>0</v>
      </c>
      <c r="Q17" s="245">
        <f t="shared" si="5"/>
        <v>0</v>
      </c>
      <c r="R17" s="246">
        <f t="shared" si="8"/>
        <v>0</v>
      </c>
      <c r="S17" s="247">
        <f t="shared" si="9"/>
        <v>0</v>
      </c>
    </row>
    <row r="18" spans="1:19" x14ac:dyDescent="0.25">
      <c r="A18" s="292" t="s">
        <v>50</v>
      </c>
      <c r="B18" s="289"/>
      <c r="C18" s="284">
        <v>1496212</v>
      </c>
      <c r="D18" s="275">
        <v>0.17062882105457799</v>
      </c>
      <c r="E18" s="247">
        <f t="shared" si="0"/>
        <v>255296.88960771225</v>
      </c>
      <c r="F18" s="255"/>
      <c r="G18" s="279">
        <f t="shared" si="1"/>
        <v>0.17062882105457799</v>
      </c>
      <c r="H18" s="247">
        <f t="shared" si="2"/>
        <v>255296.88960771225</v>
      </c>
      <c r="I18" s="275">
        <v>9.9000000000000008E-3</v>
      </c>
      <c r="J18" s="247">
        <f t="shared" si="3"/>
        <v>14812.498800000001</v>
      </c>
      <c r="K18" s="272">
        <f>IF(Netvolumenmål!AJ19&lt;Netvolumenmål!$AA$134,Netvolumenmål!AJ19-Netvolumenmål!$AA$134,0)</f>
        <v>0</v>
      </c>
      <c r="L18" s="264">
        <f>Netvolumenmål!AK19*0.75</f>
        <v>0</v>
      </c>
      <c r="M18" s="261">
        <f t="shared" si="6"/>
        <v>9.9000000000000008E-3</v>
      </c>
      <c r="N18" s="247">
        <f t="shared" si="7"/>
        <v>14812.498800000001</v>
      </c>
      <c r="O18" s="255">
        <f t="shared" si="10"/>
        <v>1240915.1103922878</v>
      </c>
      <c r="P18" s="247">
        <f t="shared" si="4"/>
        <v>0</v>
      </c>
      <c r="Q18" s="245">
        <f t="shared" si="5"/>
        <v>2.4750000000000002E-3</v>
      </c>
      <c r="R18" s="246">
        <f t="shared" si="8"/>
        <v>0</v>
      </c>
      <c r="S18" s="247">
        <f t="shared" si="9"/>
        <v>0</v>
      </c>
    </row>
    <row r="19" spans="1:19" x14ac:dyDescent="0.25">
      <c r="A19" s="292" t="s">
        <v>61</v>
      </c>
      <c r="B19" s="289"/>
      <c r="C19" s="284">
        <v>3952232</v>
      </c>
      <c r="D19" s="275">
        <v>0.134907149027372</v>
      </c>
      <c r="E19" s="247">
        <f t="shared" si="0"/>
        <v>533184.35141474847</v>
      </c>
      <c r="F19" s="255">
        <v>48881</v>
      </c>
      <c r="G19" s="279">
        <v>0.12598330000000002</v>
      </c>
      <c r="H19" s="247">
        <f t="shared" si="2"/>
        <v>497915.2297256001</v>
      </c>
      <c r="I19" s="275">
        <v>0</v>
      </c>
      <c r="J19" s="247">
        <f t="shared" si="3"/>
        <v>0</v>
      </c>
      <c r="K19" s="272">
        <f>IF(Netvolumenmål!AJ20&lt;Netvolumenmål!$AA$134,Netvolumenmål!AJ20-Netvolumenmål!$AA$134,0)</f>
        <v>0</v>
      </c>
      <c r="L19" s="264">
        <f>Netvolumenmål!AK20*0.75</f>
        <v>0</v>
      </c>
      <c r="M19" s="261">
        <f t="shared" si="6"/>
        <v>0</v>
      </c>
      <c r="N19" s="247">
        <f t="shared" si="7"/>
        <v>0</v>
      </c>
      <c r="O19" s="255">
        <f>IF(G19&gt;0,C19-H19,"Over fronten")</f>
        <v>3454316.7702743998</v>
      </c>
      <c r="P19" s="247">
        <f t="shared" si="4"/>
        <v>0</v>
      </c>
      <c r="Q19" s="245">
        <f t="shared" si="5"/>
        <v>0</v>
      </c>
      <c r="R19" s="246">
        <f t="shared" si="8"/>
        <v>0</v>
      </c>
      <c r="S19" s="247">
        <f t="shared" si="9"/>
        <v>0</v>
      </c>
    </row>
    <row r="20" spans="1:19" x14ac:dyDescent="0.25">
      <c r="A20" s="292" t="s">
        <v>63</v>
      </c>
      <c r="B20" s="289"/>
      <c r="C20" s="284">
        <v>1746506</v>
      </c>
      <c r="D20" s="275">
        <v>0.51500940785140004</v>
      </c>
      <c r="E20" s="247">
        <f t="shared" si="0"/>
        <v>899467.02086891723</v>
      </c>
      <c r="F20" s="255">
        <v>14640</v>
      </c>
      <c r="G20" s="279">
        <f>1-0.505272</f>
        <v>0.49472799999999995</v>
      </c>
      <c r="H20" s="247">
        <f t="shared" si="2"/>
        <v>864045.42036799993</v>
      </c>
      <c r="I20" s="275">
        <v>0.34148421431735299</v>
      </c>
      <c r="J20" s="247">
        <f t="shared" si="3"/>
        <v>596404.22921054286</v>
      </c>
      <c r="K20" s="272">
        <f>IF(Netvolumenmål!AJ21&lt;Netvolumenmål!$AA$134,Netvolumenmål!AJ21-Netvolumenmål!$AA$134,0)</f>
        <v>0</v>
      </c>
      <c r="L20" s="264">
        <f>Netvolumenmål!AK21*0.75</f>
        <v>0</v>
      </c>
      <c r="M20" s="261">
        <f t="shared" si="6"/>
        <v>0.34148421431735299</v>
      </c>
      <c r="N20" s="247">
        <f t="shared" si="7"/>
        <v>596404.22921054286</v>
      </c>
      <c r="O20" s="255">
        <f t="shared" si="10"/>
        <v>882460.57963200007</v>
      </c>
      <c r="P20" s="247">
        <f t="shared" si="4"/>
        <v>0</v>
      </c>
      <c r="Q20" s="245">
        <f t="shared" si="5"/>
        <v>8.5371053579338246E-2</v>
      </c>
      <c r="R20" s="246">
        <f t="shared" si="8"/>
        <v>0.05</v>
      </c>
      <c r="S20" s="247">
        <f t="shared" si="9"/>
        <v>87325.3</v>
      </c>
    </row>
    <row r="21" spans="1:19" x14ac:dyDescent="0.25">
      <c r="A21" s="292" t="s">
        <v>51</v>
      </c>
      <c r="B21" s="289"/>
      <c r="C21" s="284">
        <v>978704</v>
      </c>
      <c r="D21" s="275">
        <v>8.9255879516210168E-3</v>
      </c>
      <c r="E21" s="247">
        <f t="shared" si="0"/>
        <v>8735.5086306032954</v>
      </c>
      <c r="F21" s="255"/>
      <c r="G21" s="279">
        <f t="shared" si="1"/>
        <v>8.9255879516210168E-3</v>
      </c>
      <c r="H21" s="247">
        <f t="shared" si="2"/>
        <v>8735.5086306032954</v>
      </c>
      <c r="I21" s="275">
        <v>0</v>
      </c>
      <c r="J21" s="247">
        <f t="shared" si="3"/>
        <v>0</v>
      </c>
      <c r="K21" s="272">
        <f>IF(Netvolumenmål!AJ22&lt;Netvolumenmål!$AA$134,Netvolumenmål!AJ22-Netvolumenmål!$AA$134,0)</f>
        <v>0</v>
      </c>
      <c r="L21" s="264">
        <f>Netvolumenmål!AK22*0.75</f>
        <v>0</v>
      </c>
      <c r="M21" s="261">
        <f t="shared" si="6"/>
        <v>0</v>
      </c>
      <c r="N21" s="247">
        <f t="shared" si="7"/>
        <v>0</v>
      </c>
      <c r="O21" s="255">
        <f t="shared" si="10"/>
        <v>969968.49136939668</v>
      </c>
      <c r="P21" s="247">
        <f t="shared" si="4"/>
        <v>0</v>
      </c>
      <c r="Q21" s="245">
        <f t="shared" si="5"/>
        <v>0</v>
      </c>
      <c r="R21" s="246">
        <f t="shared" si="8"/>
        <v>0</v>
      </c>
      <c r="S21" s="247">
        <f t="shared" si="9"/>
        <v>0</v>
      </c>
    </row>
    <row r="22" spans="1:19" x14ac:dyDescent="0.25">
      <c r="A22" s="292" t="s">
        <v>65</v>
      </c>
      <c r="B22" s="289"/>
      <c r="C22" s="284">
        <v>16018720</v>
      </c>
      <c r="D22" s="275">
        <v>0.27547156650348897</v>
      </c>
      <c r="E22" s="247">
        <f t="shared" si="0"/>
        <v>4412701.8917807685</v>
      </c>
      <c r="F22" s="255">
        <v>539750</v>
      </c>
      <c r="G22" s="279">
        <f>1-0.7471241</f>
        <v>0.25287590000000004</v>
      </c>
      <c r="H22" s="247">
        <f t="shared" si="2"/>
        <v>4050748.2368480009</v>
      </c>
      <c r="I22" s="275">
        <v>9.9503070227929993E-2</v>
      </c>
      <c r="J22" s="247">
        <f t="shared" si="3"/>
        <v>1593911.8211215467</v>
      </c>
      <c r="K22" s="272">
        <f>IF(Netvolumenmål!AJ23&lt;Netvolumenmål!$AA$134,Netvolumenmål!AJ23-Netvolumenmål!$AA$134,0)</f>
        <v>0</v>
      </c>
      <c r="L22" s="264">
        <f>Netvolumenmål!AK23*0.75</f>
        <v>0</v>
      </c>
      <c r="M22" s="261">
        <f t="shared" si="6"/>
        <v>9.9503070227929993E-2</v>
      </c>
      <c r="N22" s="247">
        <f t="shared" si="7"/>
        <v>1593911.8211215467</v>
      </c>
      <c r="O22" s="255">
        <f t="shared" si="10"/>
        <v>11967971.763152</v>
      </c>
      <c r="P22" s="247">
        <f t="shared" si="4"/>
        <v>0</v>
      </c>
      <c r="Q22" s="245">
        <f t="shared" si="5"/>
        <v>2.4875767556982498E-2</v>
      </c>
      <c r="R22" s="246">
        <f t="shared" si="8"/>
        <v>2.4875767556982498E-2</v>
      </c>
      <c r="S22" s="247">
        <f t="shared" si="9"/>
        <v>398477.95528038667</v>
      </c>
    </row>
    <row r="23" spans="1:19" x14ac:dyDescent="0.25">
      <c r="A23" s="292" t="s">
        <v>54</v>
      </c>
      <c r="B23" s="289"/>
      <c r="C23" s="284">
        <v>870139</v>
      </c>
      <c r="D23" s="275">
        <v>0</v>
      </c>
      <c r="E23" s="247">
        <f t="shared" si="0"/>
        <v>0</v>
      </c>
      <c r="F23" s="255"/>
      <c r="G23" s="279">
        <f t="shared" si="1"/>
        <v>0</v>
      </c>
      <c r="H23" s="247">
        <f t="shared" si="2"/>
        <v>0</v>
      </c>
      <c r="I23" s="275">
        <v>0</v>
      </c>
      <c r="J23" s="247">
        <f t="shared" si="3"/>
        <v>0</v>
      </c>
      <c r="K23" s="272">
        <f>IF(Netvolumenmål!AJ24&lt;Netvolumenmål!$AA$134,Netvolumenmål!AJ24-Netvolumenmål!$AA$134,0)</f>
        <v>0</v>
      </c>
      <c r="L23" s="264">
        <f>Netvolumenmål!AK24*0.75</f>
        <v>0</v>
      </c>
      <c r="M23" s="261">
        <f t="shared" si="6"/>
        <v>0</v>
      </c>
      <c r="N23" s="247">
        <f t="shared" si="7"/>
        <v>0</v>
      </c>
      <c r="O23" s="256">
        <f>C23*1</f>
        <v>870139</v>
      </c>
      <c r="P23" s="257">
        <f t="shared" si="4"/>
        <v>0</v>
      </c>
      <c r="Q23" s="245">
        <f t="shared" si="5"/>
        <v>0</v>
      </c>
      <c r="R23" s="246">
        <f t="shared" si="8"/>
        <v>0</v>
      </c>
      <c r="S23" s="247">
        <f t="shared" si="9"/>
        <v>0</v>
      </c>
    </row>
    <row r="24" spans="1:19" x14ac:dyDescent="0.25">
      <c r="A24" s="292" t="s">
        <v>56</v>
      </c>
      <c r="B24" s="289"/>
      <c r="C24" s="284">
        <v>2264011</v>
      </c>
      <c r="D24" s="275">
        <v>0.59087251572769794</v>
      </c>
      <c r="E24" s="247">
        <f t="shared" si="0"/>
        <v>1337741.8752051811</v>
      </c>
      <c r="F24" s="255"/>
      <c r="G24" s="279">
        <f t="shared" si="1"/>
        <v>0.59087251572769794</v>
      </c>
      <c r="H24" s="247">
        <f t="shared" si="2"/>
        <v>1337741.8752051811</v>
      </c>
      <c r="I24" s="275">
        <v>0.44779999999999998</v>
      </c>
      <c r="J24" s="247">
        <f t="shared" si="3"/>
        <v>1013824.1257999999</v>
      </c>
      <c r="K24" s="272">
        <f>IF(Netvolumenmål!AJ25&lt;Netvolumenmål!$AA$134,Netvolumenmål!AJ25-Netvolumenmål!$AA$134,0)</f>
        <v>0</v>
      </c>
      <c r="L24" s="264">
        <f>Netvolumenmål!AK25*0.75</f>
        <v>0</v>
      </c>
      <c r="M24" s="261">
        <f t="shared" si="6"/>
        <v>0.44779999999999998</v>
      </c>
      <c r="N24" s="247">
        <f t="shared" si="7"/>
        <v>1013824.1257999999</v>
      </c>
      <c r="O24" s="255">
        <f t="shared" si="10"/>
        <v>926269.12479481893</v>
      </c>
      <c r="P24" s="247">
        <f t="shared" si="4"/>
        <v>0</v>
      </c>
      <c r="Q24" s="245">
        <f t="shared" si="5"/>
        <v>0.11194999999999999</v>
      </c>
      <c r="R24" s="246">
        <f t="shared" si="8"/>
        <v>0.05</v>
      </c>
      <c r="S24" s="247">
        <f t="shared" si="9"/>
        <v>113200.55</v>
      </c>
    </row>
    <row r="25" spans="1:19" x14ac:dyDescent="0.25">
      <c r="A25" s="292" t="s">
        <v>71</v>
      </c>
      <c r="B25" s="289"/>
      <c r="C25" s="284">
        <v>1122073</v>
      </c>
      <c r="D25" s="275">
        <v>0.15327387839394002</v>
      </c>
      <c r="E25" s="247">
        <f t="shared" si="0"/>
        <v>171984.48055112347</v>
      </c>
      <c r="F25" s="255"/>
      <c r="G25" s="279">
        <f t="shared" si="1"/>
        <v>0.15327387839394002</v>
      </c>
      <c r="H25" s="247">
        <f t="shared" si="2"/>
        <v>171984.48055112347</v>
      </c>
      <c r="I25" s="275">
        <v>5.1999999999999998E-3</v>
      </c>
      <c r="J25" s="247">
        <f t="shared" si="3"/>
        <v>5834.7795999999998</v>
      </c>
      <c r="K25" s="272">
        <f>IF(Netvolumenmål!AJ26&lt;Netvolumenmål!$AA$134,Netvolumenmål!AJ26-Netvolumenmål!$AA$134,0)</f>
        <v>0</v>
      </c>
      <c r="L25" s="264">
        <f>Netvolumenmål!AK26*0.75</f>
        <v>0</v>
      </c>
      <c r="M25" s="261">
        <f t="shared" si="6"/>
        <v>5.1999999999999998E-3</v>
      </c>
      <c r="N25" s="247">
        <f t="shared" si="7"/>
        <v>5834.7795999999998</v>
      </c>
      <c r="O25" s="255">
        <f t="shared" si="10"/>
        <v>950088.5194488765</v>
      </c>
      <c r="P25" s="247">
        <f t="shared" si="4"/>
        <v>0</v>
      </c>
      <c r="Q25" s="245">
        <f t="shared" si="5"/>
        <v>1.2999999999999999E-3</v>
      </c>
      <c r="R25" s="246">
        <f t="shared" si="8"/>
        <v>0</v>
      </c>
      <c r="S25" s="247">
        <f t="shared" si="9"/>
        <v>0</v>
      </c>
    </row>
    <row r="26" spans="1:19" x14ac:dyDescent="0.25">
      <c r="A26" s="292" t="s">
        <v>57</v>
      </c>
      <c r="B26" s="289"/>
      <c r="C26" s="284">
        <v>906437</v>
      </c>
      <c r="D26" s="275">
        <v>4.3547132876811001E-2</v>
      </c>
      <c r="E26" s="247">
        <f t="shared" si="0"/>
        <v>39472.732483457934</v>
      </c>
      <c r="F26" s="255"/>
      <c r="G26" s="279">
        <f t="shared" si="1"/>
        <v>4.3547132876811001E-2</v>
      </c>
      <c r="H26" s="247">
        <f t="shared" si="2"/>
        <v>39472.732483457934</v>
      </c>
      <c r="I26" s="275">
        <v>0</v>
      </c>
      <c r="J26" s="247">
        <f t="shared" si="3"/>
        <v>0</v>
      </c>
      <c r="K26" s="272">
        <f>IF(Netvolumenmål!AJ27&lt;Netvolumenmål!$AA$134,Netvolumenmål!AJ27-Netvolumenmål!$AA$134,0)</f>
        <v>-3.6397581569282786E-2</v>
      </c>
      <c r="L26" s="264">
        <f>Netvolumenmål!AK27*0.75</f>
        <v>-2.090495097431757E-2</v>
      </c>
      <c r="M26" s="261">
        <f t="shared" si="6"/>
        <v>0</v>
      </c>
      <c r="N26" s="247">
        <f t="shared" si="7"/>
        <v>0</v>
      </c>
      <c r="O26" s="255">
        <f t="shared" si="10"/>
        <v>866964.26751654211</v>
      </c>
      <c r="P26" s="247">
        <f t="shared" si="4"/>
        <v>0</v>
      </c>
      <c r="Q26" s="245">
        <f t="shared" si="5"/>
        <v>0</v>
      </c>
      <c r="R26" s="246">
        <f t="shared" si="8"/>
        <v>0</v>
      </c>
      <c r="S26" s="247">
        <f t="shared" si="9"/>
        <v>0</v>
      </c>
    </row>
    <row r="27" spans="1:19" x14ac:dyDescent="0.25">
      <c r="A27" s="292" t="s">
        <v>59</v>
      </c>
      <c r="B27" s="289"/>
      <c r="C27" s="284">
        <v>2725924</v>
      </c>
      <c r="D27" s="275">
        <v>0.49412435113708897</v>
      </c>
      <c r="E27" s="247">
        <f t="shared" si="0"/>
        <v>1346945.4277490182</v>
      </c>
      <c r="F27" s="255">
        <v>49909</v>
      </c>
      <c r="G27" s="279">
        <f>1-0.5179965</f>
        <v>0.48200350000000003</v>
      </c>
      <c r="H27" s="247">
        <f t="shared" si="2"/>
        <v>1313904.9087340001</v>
      </c>
      <c r="I27" s="275">
        <v>0.32489109041811698</v>
      </c>
      <c r="J27" s="247">
        <f t="shared" si="3"/>
        <v>885628.42075691512</v>
      </c>
      <c r="K27" s="272">
        <f>IF(Netvolumenmål!AJ28&lt;Netvolumenmål!$AA$134,Netvolumenmål!AJ28-Netvolumenmål!$AA$134,0)</f>
        <v>0</v>
      </c>
      <c r="L27" s="264">
        <f>Netvolumenmål!AK28*0.75</f>
        <v>0</v>
      </c>
      <c r="M27" s="261">
        <f t="shared" si="6"/>
        <v>0.32489109041811698</v>
      </c>
      <c r="N27" s="247">
        <f t="shared" si="7"/>
        <v>885628.42075691512</v>
      </c>
      <c r="O27" s="255">
        <f t="shared" si="10"/>
        <v>1412019.0912659999</v>
      </c>
      <c r="P27" s="247">
        <f t="shared" si="4"/>
        <v>0</v>
      </c>
      <c r="Q27" s="245">
        <f t="shared" si="5"/>
        <v>8.1222772604529245E-2</v>
      </c>
      <c r="R27" s="246">
        <f t="shared" si="8"/>
        <v>0.05</v>
      </c>
      <c r="S27" s="247">
        <f t="shared" si="9"/>
        <v>136296.20000000001</v>
      </c>
    </row>
    <row r="28" spans="1:19" x14ac:dyDescent="0.25">
      <c r="A28" s="292" t="s">
        <v>60</v>
      </c>
      <c r="B28" s="289"/>
      <c r="C28" s="284">
        <v>30519902</v>
      </c>
      <c r="D28" s="275">
        <v>0.27045369948956899</v>
      </c>
      <c r="E28" s="247">
        <f t="shared" si="0"/>
        <v>8254220.4039590955</v>
      </c>
      <c r="F28" s="255">
        <v>435073</v>
      </c>
      <c r="G28" s="279">
        <f>1-0.7432835</f>
        <v>0.25671650000000001</v>
      </c>
      <c r="H28" s="247">
        <f t="shared" si="2"/>
        <v>7834962.4217830002</v>
      </c>
      <c r="I28" s="275">
        <v>0.11362826070126</v>
      </c>
      <c r="J28" s="247">
        <f t="shared" si="3"/>
        <v>3467923.3810329065</v>
      </c>
      <c r="K28" s="272">
        <f>IF(Netvolumenmål!AJ29&lt;Netvolumenmål!$AA$134,Netvolumenmål!AJ29-Netvolumenmål!$AA$134,0)</f>
        <v>0</v>
      </c>
      <c r="L28" s="264">
        <f>Netvolumenmål!AK29*0.75</f>
        <v>0</v>
      </c>
      <c r="M28" s="261">
        <f t="shared" si="6"/>
        <v>0.11362826070126</v>
      </c>
      <c r="N28" s="247">
        <f t="shared" si="7"/>
        <v>3467923.3810329065</v>
      </c>
      <c r="O28" s="255">
        <f t="shared" si="10"/>
        <v>22684939.578217</v>
      </c>
      <c r="P28" s="247">
        <f t="shared" si="4"/>
        <v>0</v>
      </c>
      <c r="Q28" s="245">
        <f t="shared" si="5"/>
        <v>2.8407065175315001E-2</v>
      </c>
      <c r="R28" s="246">
        <f t="shared" si="8"/>
        <v>2.8407065175315001E-2</v>
      </c>
      <c r="S28" s="247">
        <f t="shared" si="9"/>
        <v>866980.84525822662</v>
      </c>
    </row>
    <row r="29" spans="1:19" x14ac:dyDescent="0.25">
      <c r="A29" s="292" t="s">
        <v>62</v>
      </c>
      <c r="B29" s="289"/>
      <c r="C29" s="284">
        <v>1213184</v>
      </c>
      <c r="D29" s="275">
        <v>0.22302391649592102</v>
      </c>
      <c r="E29" s="247">
        <f t="shared" si="0"/>
        <v>270569.04711018741</v>
      </c>
      <c r="F29" s="255"/>
      <c r="G29" s="279">
        <f t="shared" si="1"/>
        <v>0.22302391649592102</v>
      </c>
      <c r="H29" s="247">
        <f t="shared" si="2"/>
        <v>270569.04711018741</v>
      </c>
      <c r="I29" s="275">
        <v>7.6700000000000004E-2</v>
      </c>
      <c r="J29" s="247">
        <f t="shared" si="3"/>
        <v>93051.212800000008</v>
      </c>
      <c r="K29" s="272">
        <f>IF(Netvolumenmål!AJ30&lt;Netvolumenmål!$AA$134,Netvolumenmål!AJ30-Netvolumenmål!$AA$134,0)</f>
        <v>0</v>
      </c>
      <c r="L29" s="264">
        <f>Netvolumenmål!AK30*0.75</f>
        <v>0</v>
      </c>
      <c r="M29" s="261">
        <f t="shared" si="6"/>
        <v>7.6700000000000004E-2</v>
      </c>
      <c r="N29" s="247">
        <f t="shared" si="7"/>
        <v>93051.212800000008</v>
      </c>
      <c r="O29" s="255">
        <f t="shared" si="10"/>
        <v>942614.95288981264</v>
      </c>
      <c r="P29" s="247">
        <f t="shared" si="4"/>
        <v>0</v>
      </c>
      <c r="Q29" s="245">
        <f t="shared" si="5"/>
        <v>1.9175000000000001E-2</v>
      </c>
      <c r="R29" s="246">
        <f t="shared" si="8"/>
        <v>1.9175000000000001E-2</v>
      </c>
      <c r="S29" s="247">
        <f t="shared" si="9"/>
        <v>23262.803200000002</v>
      </c>
    </row>
    <row r="30" spans="1:19" x14ac:dyDescent="0.25">
      <c r="A30" s="292" t="s">
        <v>64</v>
      </c>
      <c r="B30" s="289"/>
      <c r="C30" s="284">
        <v>10236617</v>
      </c>
      <c r="D30" s="275">
        <v>0.311345695500301</v>
      </c>
      <c r="E30" s="247">
        <f t="shared" si="0"/>
        <v>3187126.6394352047</v>
      </c>
      <c r="F30" s="255">
        <v>503986</v>
      </c>
      <c r="G30" s="279">
        <f>1-0.7242301</f>
        <v>0.27576990000000001</v>
      </c>
      <c r="H30" s="247">
        <f t="shared" si="2"/>
        <v>2822950.8464283003</v>
      </c>
      <c r="I30" s="275">
        <v>0.122526043426207</v>
      </c>
      <c r="J30" s="247">
        <f t="shared" si="3"/>
        <v>1254252.1790794488</v>
      </c>
      <c r="K30" s="272">
        <f>IF(Netvolumenmål!AJ31&lt;Netvolumenmål!$AA$134,Netvolumenmål!AJ31-Netvolumenmål!$AA$134,0)</f>
        <v>0</v>
      </c>
      <c r="L30" s="264">
        <f>Netvolumenmål!AK31*0.75</f>
        <v>0</v>
      </c>
      <c r="M30" s="261">
        <f t="shared" si="6"/>
        <v>0.122526043426207</v>
      </c>
      <c r="N30" s="247">
        <f t="shared" si="7"/>
        <v>1254252.1790794488</v>
      </c>
      <c r="O30" s="255">
        <f t="shared" si="10"/>
        <v>7413666.1535716997</v>
      </c>
      <c r="P30" s="247">
        <f t="shared" si="4"/>
        <v>0</v>
      </c>
      <c r="Q30" s="245">
        <f t="shared" si="5"/>
        <v>3.063151085655175E-2</v>
      </c>
      <c r="R30" s="246">
        <f t="shared" si="8"/>
        <v>3.063151085655175E-2</v>
      </c>
      <c r="S30" s="247">
        <f t="shared" si="9"/>
        <v>313563.0447698622</v>
      </c>
    </row>
    <row r="31" spans="1:19" x14ac:dyDescent="0.25">
      <c r="A31" s="292" t="s">
        <v>66</v>
      </c>
      <c r="B31" s="289"/>
      <c r="C31" s="284">
        <v>1610984</v>
      </c>
      <c r="D31" s="275">
        <v>0.26003063223995404</v>
      </c>
      <c r="E31" s="247">
        <f t="shared" si="0"/>
        <v>418905.1880484501</v>
      </c>
      <c r="F31" s="255"/>
      <c r="G31" s="279">
        <f t="shared" si="1"/>
        <v>0.26003063223995404</v>
      </c>
      <c r="H31" s="247">
        <f t="shared" si="2"/>
        <v>418905.1880484501</v>
      </c>
      <c r="I31" s="275">
        <v>9.8199999999999996E-2</v>
      </c>
      <c r="J31" s="247">
        <f t="shared" si="3"/>
        <v>158198.62880000001</v>
      </c>
      <c r="K31" s="272">
        <f>IF(Netvolumenmål!AJ32&lt;Netvolumenmål!$AA$134,Netvolumenmål!AJ32-Netvolumenmål!$AA$134,0)</f>
        <v>0</v>
      </c>
      <c r="L31" s="264">
        <f>Netvolumenmål!AK32*0.75</f>
        <v>0</v>
      </c>
      <c r="M31" s="261">
        <f t="shared" si="6"/>
        <v>9.8199999999999996E-2</v>
      </c>
      <c r="N31" s="247">
        <f t="shared" si="7"/>
        <v>158198.62880000001</v>
      </c>
      <c r="O31" s="255">
        <f t="shared" si="10"/>
        <v>1192078.81195155</v>
      </c>
      <c r="P31" s="247">
        <f t="shared" si="4"/>
        <v>0</v>
      </c>
      <c r="Q31" s="245">
        <f t="shared" si="5"/>
        <v>2.4549999999999999E-2</v>
      </c>
      <c r="R31" s="246">
        <f t="shared" si="8"/>
        <v>2.4549999999999999E-2</v>
      </c>
      <c r="S31" s="247">
        <f t="shared" si="9"/>
        <v>39549.657200000001</v>
      </c>
    </row>
    <row r="32" spans="1:19" x14ac:dyDescent="0.25">
      <c r="A32" s="292" t="s">
        <v>67</v>
      </c>
      <c r="B32" s="289"/>
      <c r="C32" s="284">
        <v>4110913</v>
      </c>
      <c r="D32" s="275">
        <v>0.48814847409821005</v>
      </c>
      <c r="E32" s="247">
        <f t="shared" si="0"/>
        <v>2006735.9081004949</v>
      </c>
      <c r="F32" s="255"/>
      <c r="G32" s="279">
        <f t="shared" si="1"/>
        <v>0.48814847409821005</v>
      </c>
      <c r="H32" s="247">
        <f t="shared" si="2"/>
        <v>2006735.9081004949</v>
      </c>
      <c r="I32" s="275">
        <v>0.32629999999999998</v>
      </c>
      <c r="J32" s="247">
        <f t="shared" si="3"/>
        <v>1341390.9118999999</v>
      </c>
      <c r="K32" s="272">
        <f>IF(Netvolumenmål!AJ33&lt;Netvolumenmål!$AA$134,Netvolumenmål!AJ33-Netvolumenmål!$AA$134,0)</f>
        <v>-4.4166032284136542E-3</v>
      </c>
      <c r="L32" s="264">
        <f>Netvolumenmål!AK33*0.75</f>
        <v>-2.5366760642393823E-3</v>
      </c>
      <c r="M32" s="261">
        <f t="shared" si="6"/>
        <v>0.32376332393576057</v>
      </c>
      <c r="N32" s="247">
        <f t="shared" si="7"/>
        <v>1330962.8572907294</v>
      </c>
      <c r="O32" s="255">
        <f>IF(G32&gt;0,C32-H32,"Over fronten")</f>
        <v>2104177.0918995049</v>
      </c>
      <c r="P32" s="247">
        <f t="shared" si="4"/>
        <v>0</v>
      </c>
      <c r="Q32" s="245">
        <f t="shared" si="5"/>
        <v>8.0940830983940143E-2</v>
      </c>
      <c r="R32" s="246">
        <f t="shared" si="8"/>
        <v>0.05</v>
      </c>
      <c r="S32" s="247">
        <f t="shared" si="9"/>
        <v>205545.65000000002</v>
      </c>
    </row>
    <row r="33" spans="1:20" x14ac:dyDescent="0.25">
      <c r="A33" s="292" t="s">
        <v>68</v>
      </c>
      <c r="B33" s="289"/>
      <c r="C33" s="284">
        <v>2350979</v>
      </c>
      <c r="D33" s="275">
        <v>0.51853540305387502</v>
      </c>
      <c r="E33" s="247">
        <f t="shared" si="0"/>
        <v>1219065.8433361962</v>
      </c>
      <c r="F33" s="255"/>
      <c r="G33" s="279">
        <f t="shared" si="1"/>
        <v>0.51853540305387502</v>
      </c>
      <c r="H33" s="247">
        <f t="shared" si="2"/>
        <v>1219065.8433361962</v>
      </c>
      <c r="I33" s="275">
        <v>0.36990000000000001</v>
      </c>
      <c r="J33" s="247">
        <f t="shared" si="3"/>
        <v>869627.13210000005</v>
      </c>
      <c r="K33" s="272">
        <f>IF(Netvolumenmål!AJ34&lt;Netvolumenmål!$AA$134,Netvolumenmål!AJ34-Netvolumenmål!$AA$134,0)</f>
        <v>0</v>
      </c>
      <c r="L33" s="264">
        <f>Netvolumenmål!AK34*0.75</f>
        <v>0</v>
      </c>
      <c r="M33" s="261">
        <f t="shared" si="6"/>
        <v>0.36990000000000001</v>
      </c>
      <c r="N33" s="247">
        <f t="shared" si="7"/>
        <v>869627.13210000005</v>
      </c>
      <c r="O33" s="255">
        <f t="shared" si="10"/>
        <v>1131913.1566638038</v>
      </c>
      <c r="P33" s="247">
        <f t="shared" si="4"/>
        <v>0</v>
      </c>
      <c r="Q33" s="245">
        <f t="shared" si="5"/>
        <v>9.2475000000000002E-2</v>
      </c>
      <c r="R33" s="246">
        <f t="shared" si="8"/>
        <v>0.05</v>
      </c>
      <c r="S33" s="247">
        <f t="shared" si="9"/>
        <v>117548.95000000001</v>
      </c>
    </row>
    <row r="34" spans="1:20" x14ac:dyDescent="0.25">
      <c r="A34" s="292" t="s">
        <v>69</v>
      </c>
      <c r="B34" s="289"/>
      <c r="C34" s="284">
        <v>1297230</v>
      </c>
      <c r="D34" s="275">
        <v>0.18652330591385002</v>
      </c>
      <c r="E34" s="247">
        <f t="shared" si="0"/>
        <v>241963.62813062366</v>
      </c>
      <c r="F34" s="255"/>
      <c r="G34" s="279">
        <f t="shared" si="1"/>
        <v>0.18652330591385002</v>
      </c>
      <c r="H34" s="247">
        <f t="shared" si="2"/>
        <v>241963.62813062366</v>
      </c>
      <c r="I34" s="275">
        <v>3.85E-2</v>
      </c>
      <c r="J34" s="247">
        <f t="shared" si="3"/>
        <v>49943.354999999996</v>
      </c>
      <c r="K34" s="272">
        <f>IF(Netvolumenmål!AJ35&lt;Netvolumenmål!$AA$134,Netvolumenmål!AJ35-Netvolumenmål!$AA$134,0)</f>
        <v>0</v>
      </c>
      <c r="L34" s="264">
        <f>Netvolumenmål!AK35*0.75</f>
        <v>0</v>
      </c>
      <c r="M34" s="261">
        <f t="shared" si="6"/>
        <v>3.85E-2</v>
      </c>
      <c r="N34" s="247">
        <f t="shared" si="7"/>
        <v>49943.354999999996</v>
      </c>
      <c r="O34" s="255">
        <f t="shared" si="10"/>
        <v>1055266.3718693764</v>
      </c>
      <c r="P34" s="247">
        <f t="shared" si="4"/>
        <v>0</v>
      </c>
      <c r="Q34" s="245">
        <f t="shared" si="5"/>
        <v>9.6249999999999999E-3</v>
      </c>
      <c r="R34" s="246">
        <f t="shared" si="8"/>
        <v>0</v>
      </c>
      <c r="S34" s="247">
        <f t="shared" si="9"/>
        <v>0</v>
      </c>
    </row>
    <row r="35" spans="1:20" x14ac:dyDescent="0.25">
      <c r="A35" s="292" t="s">
        <v>70</v>
      </c>
      <c r="B35" s="289"/>
      <c r="C35" s="284">
        <v>17338713</v>
      </c>
      <c r="D35" s="275">
        <v>0.37096912829333795</v>
      </c>
      <c r="E35" s="247">
        <f t="shared" si="0"/>
        <v>6432127.2473383667</v>
      </c>
      <c r="F35" s="255">
        <v>160626</v>
      </c>
      <c r="G35" s="279">
        <f>1-0.6368989</f>
        <v>0.36310109999999995</v>
      </c>
      <c r="H35" s="247">
        <f t="shared" si="2"/>
        <v>6295705.7628842993</v>
      </c>
      <c r="I35" s="275">
        <v>0.20985733353571601</v>
      </c>
      <c r="J35" s="247">
        <f t="shared" si="3"/>
        <v>3638656.0771210552</v>
      </c>
      <c r="K35" s="272">
        <f>IF(Netvolumenmål!AJ36&lt;Netvolumenmål!$AA$134,Netvolumenmål!AJ36-Netvolumenmål!$AA$134,0)</f>
        <v>0</v>
      </c>
      <c r="L35" s="264">
        <f>Netvolumenmål!AK36*0.75</f>
        <v>0</v>
      </c>
      <c r="M35" s="261">
        <f t="shared" si="6"/>
        <v>0.20985733353571601</v>
      </c>
      <c r="N35" s="247">
        <f t="shared" si="7"/>
        <v>3638656.0771210552</v>
      </c>
      <c r="O35" s="255">
        <f t="shared" si="10"/>
        <v>11043007.2371157</v>
      </c>
      <c r="P35" s="247">
        <f t="shared" si="4"/>
        <v>0</v>
      </c>
      <c r="Q35" s="245">
        <f t="shared" si="5"/>
        <v>5.2464333383929002E-2</v>
      </c>
      <c r="R35" s="246">
        <f t="shared" si="8"/>
        <v>0.05</v>
      </c>
      <c r="S35" s="247">
        <f t="shared" si="9"/>
        <v>866935.65</v>
      </c>
    </row>
    <row r="36" spans="1:20" x14ac:dyDescent="0.25">
      <c r="A36" s="292" t="s">
        <v>72</v>
      </c>
      <c r="B36" s="289"/>
      <c r="C36" s="284">
        <v>827869</v>
      </c>
      <c r="D36" s="275">
        <v>0.12388734426548298</v>
      </c>
      <c r="E36" s="247">
        <f t="shared" si="0"/>
        <v>102562.49180972113</v>
      </c>
      <c r="F36" s="255"/>
      <c r="G36" s="279">
        <f t="shared" si="1"/>
        <v>0.12388734426548298</v>
      </c>
      <c r="H36" s="247">
        <f t="shared" si="2"/>
        <v>102562.49180972113</v>
      </c>
      <c r="I36" s="275">
        <v>0</v>
      </c>
      <c r="J36" s="247">
        <f t="shared" si="3"/>
        <v>0</v>
      </c>
      <c r="K36" s="272">
        <f>IF(Netvolumenmål!AJ37&lt;Netvolumenmål!$AA$134,Netvolumenmål!AJ37-Netvolumenmål!$AA$134,0)</f>
        <v>0</v>
      </c>
      <c r="L36" s="264">
        <f>Netvolumenmål!AK37*0.75</f>
        <v>0</v>
      </c>
      <c r="M36" s="261">
        <f t="shared" si="6"/>
        <v>0</v>
      </c>
      <c r="N36" s="247">
        <f t="shared" si="7"/>
        <v>0</v>
      </c>
      <c r="O36" s="255">
        <f t="shared" si="10"/>
        <v>725306.5081902789</v>
      </c>
      <c r="P36" s="247">
        <f t="shared" si="4"/>
        <v>0</v>
      </c>
      <c r="Q36" s="245">
        <f t="shared" si="5"/>
        <v>0</v>
      </c>
      <c r="R36" s="246">
        <f t="shared" si="8"/>
        <v>0</v>
      </c>
      <c r="S36" s="247">
        <f t="shared" si="9"/>
        <v>0</v>
      </c>
    </row>
    <row r="37" spans="1:20" x14ac:dyDescent="0.25">
      <c r="A37" s="292" t="s">
        <v>73</v>
      </c>
      <c r="B37" s="289"/>
      <c r="C37" s="284">
        <v>8947964</v>
      </c>
      <c r="D37" s="275">
        <v>0.51106383550186907</v>
      </c>
      <c r="E37" s="247">
        <f t="shared" si="0"/>
        <v>4572980.8017726466</v>
      </c>
      <c r="F37" s="256">
        <v>380468</v>
      </c>
      <c r="G37" s="279">
        <f>1-0.5232269</f>
        <v>0.47677309999999995</v>
      </c>
      <c r="H37" s="247">
        <f t="shared" si="2"/>
        <v>4266148.5349683994</v>
      </c>
      <c r="I37" s="275">
        <v>0.328732024485134</v>
      </c>
      <c r="J37" s="247">
        <f t="shared" si="3"/>
        <v>2941482.3207400977</v>
      </c>
      <c r="K37" s="272">
        <f>IF(Netvolumenmål!AJ38&lt;Netvolumenmål!$AA$134,Netvolumenmål!AJ38-Netvolumenmål!$AA$134,0)</f>
        <v>0</v>
      </c>
      <c r="L37" s="264">
        <f>Netvolumenmål!AK38*0.75</f>
        <v>0</v>
      </c>
      <c r="M37" s="261">
        <f t="shared" si="6"/>
        <v>0.328732024485134</v>
      </c>
      <c r="N37" s="247">
        <f t="shared" si="7"/>
        <v>2941482.3207400977</v>
      </c>
      <c r="O37" s="255">
        <f t="shared" si="10"/>
        <v>4681815.4650316006</v>
      </c>
      <c r="P37" s="247">
        <f t="shared" si="4"/>
        <v>0</v>
      </c>
      <c r="Q37" s="245">
        <f t="shared" si="5"/>
        <v>8.21830061212835E-2</v>
      </c>
      <c r="R37" s="246">
        <f t="shared" si="8"/>
        <v>0.05</v>
      </c>
      <c r="S37" s="247">
        <f t="shared" si="9"/>
        <v>447398.2</v>
      </c>
    </row>
    <row r="38" spans="1:20" x14ac:dyDescent="0.25">
      <c r="A38" s="293" t="s">
        <v>80</v>
      </c>
      <c r="B38" s="294"/>
      <c r="C38" s="285">
        <v>957643</v>
      </c>
      <c r="D38" s="262">
        <v>0.22259999999999999</v>
      </c>
      <c r="E38" s="250">
        <f t="shared" si="0"/>
        <v>213171.33179999999</v>
      </c>
      <c r="F38" s="258"/>
      <c r="G38" s="273">
        <f t="shared" si="1"/>
        <v>0.22259999999999999</v>
      </c>
      <c r="H38" s="250">
        <f t="shared" si="2"/>
        <v>213171.33179999999</v>
      </c>
      <c r="I38" s="262">
        <f>G38</f>
        <v>0.22259999999999999</v>
      </c>
      <c r="J38" s="250">
        <f t="shared" si="3"/>
        <v>213171.33179999999</v>
      </c>
      <c r="K38" s="273">
        <f>IF(Netvolumenmål!AJ39&lt;Netvolumenmål!$AA$134,Netvolumenmål!AJ39-Netvolumenmål!$AA$134,0)</f>
        <v>0</v>
      </c>
      <c r="L38" s="265">
        <f>Netvolumenmål!AK39*0.75</f>
        <v>0</v>
      </c>
      <c r="M38" s="262">
        <f t="shared" si="6"/>
        <v>0.22259999999999999</v>
      </c>
      <c r="N38" s="250">
        <f t="shared" si="7"/>
        <v>213171.33179999999</v>
      </c>
      <c r="O38" s="258"/>
      <c r="P38" s="250">
        <f t="shared" si="4"/>
        <v>0</v>
      </c>
      <c r="Q38" s="248">
        <f t="shared" si="5"/>
        <v>5.5649999999999998E-2</v>
      </c>
      <c r="R38" s="249">
        <f t="shared" si="8"/>
        <v>0.05</v>
      </c>
      <c r="S38" s="250">
        <f t="shared" si="9"/>
        <v>47882.15</v>
      </c>
    </row>
    <row r="39" spans="1:20" x14ac:dyDescent="0.25">
      <c r="A39" s="292" t="s">
        <v>74</v>
      </c>
      <c r="B39" s="289"/>
      <c r="C39" s="284">
        <v>12447616</v>
      </c>
      <c r="D39" s="275">
        <v>0.25370185759305597</v>
      </c>
      <c r="E39" s="247">
        <f t="shared" si="0"/>
        <v>3157983.301805045</v>
      </c>
      <c r="F39" s="255">
        <v>875114.5</v>
      </c>
      <c r="G39" s="279">
        <f>1-0.7994739</f>
        <v>0.20052610000000004</v>
      </c>
      <c r="H39" s="247">
        <f t="shared" si="2"/>
        <v>2496071.8907776005</v>
      </c>
      <c r="I39" s="275">
        <v>4.7282296535257999E-2</v>
      </c>
      <c r="J39" s="247">
        <f t="shared" si="3"/>
        <v>588551.87086902198</v>
      </c>
      <c r="K39" s="272">
        <f>IF(Netvolumenmål!AJ40&lt;Netvolumenmål!$AA$134,Netvolumenmål!AJ40-Netvolumenmål!$AA$134,0)</f>
        <v>0</v>
      </c>
      <c r="L39" s="264">
        <f>Netvolumenmål!AK40*0.75</f>
        <v>0</v>
      </c>
      <c r="M39" s="261">
        <f t="shared" si="6"/>
        <v>4.7282296535257999E-2</v>
      </c>
      <c r="N39" s="247">
        <f t="shared" si="7"/>
        <v>588551.87086902198</v>
      </c>
      <c r="O39" s="255">
        <f t="shared" si="10"/>
        <v>9951544.1092223991</v>
      </c>
      <c r="P39" s="247">
        <f t="shared" si="4"/>
        <v>0</v>
      </c>
      <c r="Q39" s="245">
        <f t="shared" si="5"/>
        <v>1.18205741338145E-2</v>
      </c>
      <c r="R39" s="246">
        <f t="shared" si="8"/>
        <v>1.18205741338145E-2</v>
      </c>
      <c r="S39" s="247">
        <f t="shared" si="9"/>
        <v>147137.96771725549</v>
      </c>
    </row>
    <row r="40" spans="1:20" x14ac:dyDescent="0.25">
      <c r="A40" s="292" t="s">
        <v>75</v>
      </c>
      <c r="B40" s="289"/>
      <c r="C40" s="284">
        <v>2573797</v>
      </c>
      <c r="D40" s="275">
        <v>0.18824476254300804</v>
      </c>
      <c r="E40" s="247">
        <f t="shared" si="0"/>
        <v>484503.80509890645</v>
      </c>
      <c r="F40" s="255"/>
      <c r="G40" s="279">
        <f t="shared" si="1"/>
        <v>0.18824476254300804</v>
      </c>
      <c r="H40" s="247">
        <f t="shared" si="2"/>
        <v>484503.80509890645</v>
      </c>
      <c r="I40" s="275">
        <v>4.2299999999999997E-2</v>
      </c>
      <c r="J40" s="247">
        <f t="shared" si="3"/>
        <v>108871.61309999999</v>
      </c>
      <c r="K40" s="272">
        <f>IF(Netvolumenmål!AJ41&lt;Netvolumenmål!$AA$134,Netvolumenmål!AJ41-Netvolumenmål!$AA$134,0)</f>
        <v>0</v>
      </c>
      <c r="L40" s="264">
        <f>Netvolumenmål!AK41*0.75</f>
        <v>0</v>
      </c>
      <c r="M40" s="261">
        <f t="shared" si="6"/>
        <v>4.2299999999999997E-2</v>
      </c>
      <c r="N40" s="247">
        <f t="shared" si="7"/>
        <v>108871.61309999999</v>
      </c>
      <c r="O40" s="255">
        <f t="shared" si="10"/>
        <v>2089293.1949010936</v>
      </c>
      <c r="P40" s="247">
        <f t="shared" si="4"/>
        <v>0</v>
      </c>
      <c r="Q40" s="245">
        <f t="shared" si="5"/>
        <v>1.0574999999999999E-2</v>
      </c>
      <c r="R40" s="246">
        <f t="shared" si="8"/>
        <v>1.0574999999999999E-2</v>
      </c>
      <c r="S40" s="247">
        <f t="shared" si="9"/>
        <v>27217.903274999997</v>
      </c>
    </row>
    <row r="41" spans="1:20" x14ac:dyDescent="0.25">
      <c r="A41" s="292" t="s">
        <v>76</v>
      </c>
      <c r="B41" s="289"/>
      <c r="C41" s="284">
        <v>5279809</v>
      </c>
      <c r="D41" s="275">
        <v>0.47303949435516901</v>
      </c>
      <c r="E41" s="247">
        <f t="shared" si="0"/>
        <v>2497558.1796518704</v>
      </c>
      <c r="F41" s="255"/>
      <c r="G41" s="279">
        <f t="shared" si="1"/>
        <v>0.47303949435516901</v>
      </c>
      <c r="H41" s="247">
        <f t="shared" si="2"/>
        <v>2497558.1796518704</v>
      </c>
      <c r="I41" s="275">
        <v>0.31979999999999997</v>
      </c>
      <c r="J41" s="247">
        <f t="shared" si="3"/>
        <v>1688482.9182</v>
      </c>
      <c r="K41" s="272">
        <f>IF(Netvolumenmål!AJ42&lt;Netvolumenmål!$AA$134,Netvolumenmål!AJ42-Netvolumenmål!$AA$134,0)</f>
        <v>0</v>
      </c>
      <c r="L41" s="264">
        <f>Netvolumenmål!AK42*0.75</f>
        <v>0</v>
      </c>
      <c r="M41" s="261">
        <f t="shared" si="6"/>
        <v>0.31979999999999997</v>
      </c>
      <c r="N41" s="247">
        <f t="shared" si="7"/>
        <v>1688482.9182</v>
      </c>
      <c r="O41" s="255">
        <f t="shared" si="10"/>
        <v>2782250.8203481296</v>
      </c>
      <c r="P41" s="247">
        <f t="shared" si="4"/>
        <v>0</v>
      </c>
      <c r="Q41" s="245">
        <f t="shared" si="5"/>
        <v>7.9949999999999993E-2</v>
      </c>
      <c r="R41" s="246">
        <f t="shared" si="8"/>
        <v>0.05</v>
      </c>
      <c r="S41" s="247">
        <f t="shared" si="9"/>
        <v>263990.45</v>
      </c>
    </row>
    <row r="42" spans="1:20" x14ac:dyDescent="0.25">
      <c r="A42" s="292" t="s">
        <v>77</v>
      </c>
      <c r="B42" s="289"/>
      <c r="C42" s="284">
        <v>5994797</v>
      </c>
      <c r="D42" s="275">
        <v>0.58981054493066098</v>
      </c>
      <c r="E42" s="247">
        <f t="shared" si="0"/>
        <v>3535794.4853186915</v>
      </c>
      <c r="F42" s="255"/>
      <c r="G42" s="279">
        <f t="shared" si="1"/>
        <v>0.58981054493066098</v>
      </c>
      <c r="H42" s="247">
        <f t="shared" si="2"/>
        <v>3535794.4853186915</v>
      </c>
      <c r="I42" s="275">
        <v>0.43659999999999999</v>
      </c>
      <c r="J42" s="247">
        <f t="shared" si="3"/>
        <v>2617328.3701999998</v>
      </c>
      <c r="K42" s="272">
        <f>IF(Netvolumenmål!AJ43&lt;Netvolumenmål!$AA$134,Netvolumenmål!AJ43-Netvolumenmål!$AA$134,0)</f>
        <v>-1.8662175791260741E-2</v>
      </c>
      <c r="L42" s="264">
        <f>Netvolumenmål!AK43*0.75</f>
        <v>-1.0718620665710606E-2</v>
      </c>
      <c r="M42" s="261">
        <f t="shared" si="6"/>
        <v>0.42588137933428938</v>
      </c>
      <c r="N42" s="247">
        <f t="shared" si="7"/>
        <v>2553072.4151890599</v>
      </c>
      <c r="O42" s="255">
        <f t="shared" si="10"/>
        <v>2459002.5146813085</v>
      </c>
      <c r="P42" s="247">
        <f t="shared" si="4"/>
        <v>0</v>
      </c>
      <c r="Q42" s="245">
        <f>M42/4</f>
        <v>0.10647034483357234</v>
      </c>
      <c r="R42" s="246">
        <f t="shared" si="8"/>
        <v>0.05</v>
      </c>
      <c r="S42" s="247">
        <f t="shared" si="9"/>
        <v>299739.85000000003</v>
      </c>
    </row>
    <row r="43" spans="1:20" x14ac:dyDescent="0.25">
      <c r="A43" s="292" t="s">
        <v>78</v>
      </c>
      <c r="B43" s="289"/>
      <c r="C43" s="284">
        <v>1329017</v>
      </c>
      <c r="D43" s="275">
        <v>0.27556128237337396</v>
      </c>
      <c r="E43" s="247">
        <f t="shared" ref="E43:E79" si="11">C43*D43</f>
        <v>366225.62881601433</v>
      </c>
      <c r="F43" s="255"/>
      <c r="G43" s="279">
        <f t="shared" ref="G43:G79" si="12">IF(F43=0,D43,"SF")</f>
        <v>0.27556128237337396</v>
      </c>
      <c r="H43" s="247">
        <f t="shared" ref="H43:H79" si="13">G43*C43</f>
        <v>366225.62881601433</v>
      </c>
      <c r="I43" s="275">
        <v>0.1137</v>
      </c>
      <c r="J43" s="247">
        <f t="shared" ref="J43:J78" si="14">I43*C43</f>
        <v>151109.2329</v>
      </c>
      <c r="K43" s="272">
        <f>IF(Netvolumenmål!AJ44&lt;Netvolumenmål!$AA$134,Netvolumenmål!AJ44-Netvolumenmål!$AA$134,0)</f>
        <v>0</v>
      </c>
      <c r="L43" s="264">
        <f>Netvolumenmål!AK44*0.75</f>
        <v>0</v>
      </c>
      <c r="M43" s="261">
        <f t="shared" si="6"/>
        <v>0.1137</v>
      </c>
      <c r="N43" s="247">
        <f t="shared" si="7"/>
        <v>151109.2329</v>
      </c>
      <c r="O43" s="255">
        <f t="shared" ref="O43:O79" si="15">IF(G43&gt;0,C43-H43,"Over fronten")</f>
        <v>962791.37118398561</v>
      </c>
      <c r="P43" s="247">
        <f t="shared" ref="P43:P78" si="16">IF(O43&gt;C43*1.015,O43-C43*1.015,0)</f>
        <v>0</v>
      </c>
      <c r="Q43" s="245">
        <f t="shared" ref="Q43:Q79" si="17">M43/4</f>
        <v>2.8424999999999999E-2</v>
      </c>
      <c r="R43" s="246">
        <f t="shared" si="8"/>
        <v>2.8424999999999999E-2</v>
      </c>
      <c r="S43" s="247">
        <f t="shared" si="9"/>
        <v>37777.308225000001</v>
      </c>
    </row>
    <row r="44" spans="1:20" x14ac:dyDescent="0.25">
      <c r="A44" s="292" t="s">
        <v>203</v>
      </c>
      <c r="B44" s="289"/>
      <c r="C44" s="284">
        <v>1587125</v>
      </c>
      <c r="D44" s="275">
        <f>1-0.8811203</f>
        <v>0.11887970000000003</v>
      </c>
      <c r="E44" s="247">
        <f t="shared" si="11"/>
        <v>188676.94386250005</v>
      </c>
      <c r="F44" s="255"/>
      <c r="G44" s="279">
        <f t="shared" si="12"/>
        <v>0.11887970000000003</v>
      </c>
      <c r="H44" s="247">
        <f t="shared" si="13"/>
        <v>188676.94386250005</v>
      </c>
      <c r="I44" s="275">
        <v>0</v>
      </c>
      <c r="J44" s="247">
        <f t="shared" si="14"/>
        <v>0</v>
      </c>
      <c r="K44" s="272">
        <f>IF(Netvolumenmål!AJ45&lt;Netvolumenmål!$AA$134,Netvolumenmål!AJ45-Netvolumenmål!$AA$134,0)</f>
        <v>0</v>
      </c>
      <c r="L44" s="264">
        <f>Netvolumenmål!AK45*0.75</f>
        <v>0</v>
      </c>
      <c r="M44" s="261">
        <f t="shared" si="6"/>
        <v>0</v>
      </c>
      <c r="N44" s="247">
        <f t="shared" si="7"/>
        <v>0</v>
      </c>
      <c r="O44" s="255">
        <f>IF(G44&gt;0,C44-H44,"Over fronten")</f>
        <v>1398448.0561374999</v>
      </c>
      <c r="P44" s="247">
        <f t="shared" si="16"/>
        <v>0</v>
      </c>
      <c r="Q44" s="245">
        <f t="shared" si="17"/>
        <v>0</v>
      </c>
      <c r="R44" s="246">
        <f t="shared" si="8"/>
        <v>0</v>
      </c>
      <c r="S44" s="247">
        <f t="shared" si="9"/>
        <v>0</v>
      </c>
    </row>
    <row r="45" spans="1:20" x14ac:dyDescent="0.25">
      <c r="A45" s="292" t="s">
        <v>79</v>
      </c>
      <c r="B45" s="289"/>
      <c r="C45" s="284">
        <v>1428396</v>
      </c>
      <c r="D45" s="275">
        <v>0</v>
      </c>
      <c r="E45" s="247">
        <f t="shared" si="11"/>
        <v>0</v>
      </c>
      <c r="F45" s="255"/>
      <c r="G45" s="279">
        <f t="shared" si="12"/>
        <v>0</v>
      </c>
      <c r="H45" s="247">
        <f t="shared" si="13"/>
        <v>0</v>
      </c>
      <c r="I45" s="275">
        <v>0</v>
      </c>
      <c r="J45" s="247">
        <f t="shared" si="14"/>
        <v>0</v>
      </c>
      <c r="K45" s="272">
        <f>IF(Netvolumenmål!AJ46&lt;Netvolumenmål!$AA$134,Netvolumenmål!AJ46-Netvolumenmål!$AA$134,0)</f>
        <v>0</v>
      </c>
      <c r="L45" s="264">
        <f>Netvolumenmål!AK46*0.75</f>
        <v>0</v>
      </c>
      <c r="M45" s="261">
        <f t="shared" si="6"/>
        <v>0</v>
      </c>
      <c r="N45" s="247">
        <f t="shared" si="7"/>
        <v>0</v>
      </c>
      <c r="O45" s="256">
        <f>C45*1.0088</f>
        <v>1440965.8847999999</v>
      </c>
      <c r="P45" s="257">
        <f t="shared" si="16"/>
        <v>0</v>
      </c>
      <c r="Q45" s="245">
        <f t="shared" si="17"/>
        <v>0</v>
      </c>
      <c r="R45" s="246">
        <f t="shared" si="8"/>
        <v>0</v>
      </c>
      <c r="S45" s="247">
        <f t="shared" si="9"/>
        <v>0</v>
      </c>
    </row>
    <row r="46" spans="1:20" x14ac:dyDescent="0.25">
      <c r="A46" s="292" t="s">
        <v>81</v>
      </c>
      <c r="B46" s="289"/>
      <c r="C46" s="284">
        <v>9720684</v>
      </c>
      <c r="D46" s="275">
        <v>0.48318916709305804</v>
      </c>
      <c r="E46" s="247">
        <f t="shared" si="11"/>
        <v>4696929.2055348158</v>
      </c>
      <c r="F46" s="255"/>
      <c r="G46" s="279">
        <f t="shared" si="12"/>
        <v>0.48318916709305804</v>
      </c>
      <c r="H46" s="247">
        <f t="shared" si="13"/>
        <v>4696929.2055348158</v>
      </c>
      <c r="I46" s="275">
        <v>0.32990000000000003</v>
      </c>
      <c r="J46" s="247">
        <f t="shared" si="14"/>
        <v>3206853.6516000004</v>
      </c>
      <c r="K46" s="272">
        <f>IF(Netvolumenmål!AJ47&lt;Netvolumenmål!$AA$134,Netvolumenmål!AJ47-Netvolumenmål!$AA$134,0)</f>
        <v>0</v>
      </c>
      <c r="L46" s="264">
        <f>Netvolumenmål!AK47*0.75</f>
        <v>0</v>
      </c>
      <c r="M46" s="261">
        <f t="shared" si="6"/>
        <v>0.32990000000000003</v>
      </c>
      <c r="N46" s="247">
        <f t="shared" si="7"/>
        <v>3206853.6516000004</v>
      </c>
      <c r="O46" s="255">
        <f t="shared" si="15"/>
        <v>5023754.7944651842</v>
      </c>
      <c r="P46" s="247">
        <f t="shared" si="16"/>
        <v>0</v>
      </c>
      <c r="Q46" s="245">
        <f t="shared" si="17"/>
        <v>8.2475000000000007E-2</v>
      </c>
      <c r="R46" s="246">
        <f t="shared" si="8"/>
        <v>0.05</v>
      </c>
      <c r="S46" s="247">
        <f t="shared" si="9"/>
        <v>486034.2</v>
      </c>
    </row>
    <row r="47" spans="1:20" x14ac:dyDescent="0.25">
      <c r="A47" s="292" t="s">
        <v>82</v>
      </c>
      <c r="B47" s="289"/>
      <c r="C47" s="284">
        <v>1845288</v>
      </c>
      <c r="D47" s="275">
        <v>0.15550366569434704</v>
      </c>
      <c r="E47" s="247">
        <f t="shared" si="11"/>
        <v>286949.04826179025</v>
      </c>
      <c r="F47" s="255"/>
      <c r="G47" s="279">
        <f t="shared" si="12"/>
        <v>0.15550366569434704</v>
      </c>
      <c r="H47" s="247">
        <f t="shared" si="13"/>
        <v>286949.04826179025</v>
      </c>
      <c r="I47" s="275">
        <v>7.4999999999999997E-3</v>
      </c>
      <c r="J47" s="247">
        <f t="shared" si="14"/>
        <v>13839.66</v>
      </c>
      <c r="K47" s="272">
        <f>IF(Netvolumenmål!AJ48&lt;Netvolumenmål!$AA$134,Netvolumenmål!AJ48-Netvolumenmål!$AA$134,0)</f>
        <v>0</v>
      </c>
      <c r="L47" s="264">
        <f>Netvolumenmål!AK48*0.75</f>
        <v>0</v>
      </c>
      <c r="M47" s="261">
        <f t="shared" si="6"/>
        <v>7.4999999999999997E-3</v>
      </c>
      <c r="N47" s="247">
        <f t="shared" si="7"/>
        <v>13839.66</v>
      </c>
      <c r="O47" s="255">
        <f t="shared" si="15"/>
        <v>1558338.9517382097</v>
      </c>
      <c r="P47" s="247">
        <f t="shared" si="16"/>
        <v>0</v>
      </c>
      <c r="Q47" s="245">
        <f t="shared" si="17"/>
        <v>1.8749999999999999E-3</v>
      </c>
      <c r="R47" s="246">
        <f t="shared" si="8"/>
        <v>0</v>
      </c>
      <c r="S47" s="247">
        <f t="shared" si="9"/>
        <v>0</v>
      </c>
    </row>
    <row r="48" spans="1:20" s="58" customFormat="1" x14ac:dyDescent="0.25">
      <c r="A48" s="292" t="s">
        <v>96</v>
      </c>
      <c r="B48" s="289"/>
      <c r="C48" s="286">
        <v>3735331.5795294708</v>
      </c>
      <c r="D48" s="276">
        <f>1-0.966993385</f>
        <v>3.3006615000000017E-2</v>
      </c>
      <c r="E48" s="277">
        <f t="shared" si="11"/>
        <v>123290.65134287119</v>
      </c>
      <c r="F48" s="259"/>
      <c r="G48" s="280">
        <f t="shared" si="12"/>
        <v>3.3006615000000017E-2</v>
      </c>
      <c r="H48" s="277">
        <f t="shared" si="13"/>
        <v>123290.65134287119</v>
      </c>
      <c r="I48" s="276">
        <v>0</v>
      </c>
      <c r="J48" s="277">
        <f t="shared" si="14"/>
        <v>0</v>
      </c>
      <c r="K48" s="272">
        <f>IF(Netvolumenmål!AJ49&lt;Netvolumenmål!$AA$134,Netvolumenmål!AJ49-Netvolumenmål!$AA$134,0)</f>
        <v>0</v>
      </c>
      <c r="L48" s="264">
        <f>Netvolumenmål!AK49*0.75</f>
        <v>0</v>
      </c>
      <c r="M48" s="261">
        <f t="shared" si="6"/>
        <v>0</v>
      </c>
      <c r="N48" s="247">
        <f t="shared" si="7"/>
        <v>0</v>
      </c>
      <c r="O48" s="259">
        <f t="shared" si="15"/>
        <v>3612040.9281865996</v>
      </c>
      <c r="P48" s="257">
        <f t="shared" si="16"/>
        <v>0</v>
      </c>
      <c r="Q48" s="251">
        <f t="shared" si="17"/>
        <v>0</v>
      </c>
      <c r="R48" s="246">
        <f t="shared" si="8"/>
        <v>0</v>
      </c>
      <c r="S48" s="247">
        <f t="shared" si="9"/>
        <v>0</v>
      </c>
      <c r="T48" s="53"/>
    </row>
    <row r="49" spans="1:19" x14ac:dyDescent="0.25">
      <c r="A49" s="292" t="s">
        <v>98</v>
      </c>
      <c r="B49" s="289"/>
      <c r="C49" s="284">
        <v>16640347</v>
      </c>
      <c r="D49" s="275">
        <v>0.24883853797832201</v>
      </c>
      <c r="E49" s="247">
        <f t="shared" si="11"/>
        <v>4140759.6189319566</v>
      </c>
      <c r="F49" s="255"/>
      <c r="G49" s="279">
        <f t="shared" si="12"/>
        <v>0.24883853797832201</v>
      </c>
      <c r="H49" s="247">
        <f t="shared" si="13"/>
        <v>4140759.6189319566</v>
      </c>
      <c r="I49" s="275">
        <v>8.6999999999999994E-2</v>
      </c>
      <c r="J49" s="247">
        <f t="shared" si="14"/>
        <v>1447710.189</v>
      </c>
      <c r="K49" s="272">
        <f>IF(Netvolumenmål!AJ50&lt;Netvolumenmål!$AA$134,Netvolumenmål!AJ50-Netvolumenmål!$AA$134,0)</f>
        <v>0</v>
      </c>
      <c r="L49" s="264">
        <f>Netvolumenmål!AK50*0.75</f>
        <v>0</v>
      </c>
      <c r="M49" s="261">
        <f t="shared" si="6"/>
        <v>8.6999999999999994E-2</v>
      </c>
      <c r="N49" s="247">
        <f t="shared" si="7"/>
        <v>1447710.189</v>
      </c>
      <c r="O49" s="255">
        <f t="shared" si="15"/>
        <v>12499587.381068043</v>
      </c>
      <c r="P49" s="247">
        <f t="shared" si="16"/>
        <v>0</v>
      </c>
      <c r="Q49" s="245">
        <f t="shared" si="17"/>
        <v>2.1749999999999999E-2</v>
      </c>
      <c r="R49" s="246">
        <f t="shared" si="8"/>
        <v>2.1749999999999999E-2</v>
      </c>
      <c r="S49" s="247">
        <f t="shared" si="9"/>
        <v>361927.54725</v>
      </c>
    </row>
    <row r="50" spans="1:19" x14ac:dyDescent="0.25">
      <c r="A50" s="292" t="s">
        <v>167</v>
      </c>
      <c r="B50" s="289"/>
      <c r="C50" s="284">
        <v>10619732</v>
      </c>
      <c r="D50" s="275">
        <v>0.62289630525182904</v>
      </c>
      <c r="E50" s="247">
        <f t="shared" si="11"/>
        <v>6614991.8255646173</v>
      </c>
      <c r="F50" s="255">
        <v>83455</v>
      </c>
      <c r="G50" s="279">
        <f>1-0.3862506</f>
        <v>0.6137494</v>
      </c>
      <c r="H50" s="247">
        <f t="shared" si="13"/>
        <v>6517854.1431608004</v>
      </c>
      <c r="I50" s="275">
        <v>0.46570834994695098</v>
      </c>
      <c r="J50" s="247">
        <f t="shared" si="14"/>
        <v>4945697.8665988334</v>
      </c>
      <c r="K50" s="272">
        <f>IF(Netvolumenmål!AJ51&lt;Netvolumenmål!$AA$134,Netvolumenmål!AJ51-Netvolumenmål!$AA$134,0)</f>
        <v>-0.12873400289158549</v>
      </c>
      <c r="L50" s="264">
        <f>Netvolumenmål!AK51*0.75</f>
        <v>-7.3938374560782116E-2</v>
      </c>
      <c r="M50" s="261">
        <f t="shared" si="6"/>
        <v>0.39176997538616887</v>
      </c>
      <c r="N50" s="247">
        <f t="shared" si="7"/>
        <v>4160492.1442477098</v>
      </c>
      <c r="O50" s="255">
        <f t="shared" si="15"/>
        <v>4101877.8568391996</v>
      </c>
      <c r="P50" s="247">
        <f t="shared" si="16"/>
        <v>0</v>
      </c>
      <c r="Q50" s="245">
        <f t="shared" si="17"/>
        <v>9.7942493846542217E-2</v>
      </c>
      <c r="R50" s="246">
        <f t="shared" si="8"/>
        <v>0.05</v>
      </c>
      <c r="S50" s="247">
        <f t="shared" si="9"/>
        <v>530986.6</v>
      </c>
    </row>
    <row r="51" spans="1:19" x14ac:dyDescent="0.25">
      <c r="A51" s="292" t="s">
        <v>168</v>
      </c>
      <c r="B51" s="289"/>
      <c r="C51" s="284">
        <v>8943172</v>
      </c>
      <c r="D51" s="275">
        <v>0.62260963283606996</v>
      </c>
      <c r="E51" s="247">
        <f t="shared" si="11"/>
        <v>5568105.0353098214</v>
      </c>
      <c r="F51" s="255">
        <f>88000+224000+607858</f>
        <v>919858</v>
      </c>
      <c r="G51" s="279">
        <f>1-0.4599366</f>
        <v>0.54006339999999997</v>
      </c>
      <c r="H51" s="247">
        <f t="shared" si="13"/>
        <v>4829879.8771048002</v>
      </c>
      <c r="I51" s="275">
        <v>0.38681960084053102</v>
      </c>
      <c r="J51" s="247">
        <f t="shared" si="14"/>
        <v>3459394.2232882134</v>
      </c>
      <c r="K51" s="272">
        <f>IF(Netvolumenmål!AJ52&lt;Netvolumenmål!$AA$134,Netvolumenmål!AJ52-Netvolumenmål!$AA$134,0)</f>
        <v>0</v>
      </c>
      <c r="L51" s="264">
        <f>Netvolumenmål!AK52*0.75</f>
        <v>0</v>
      </c>
      <c r="M51" s="261">
        <f t="shared" si="6"/>
        <v>0.38681960084053102</v>
      </c>
      <c r="N51" s="247">
        <f t="shared" si="7"/>
        <v>3459394.2232882134</v>
      </c>
      <c r="O51" s="255">
        <f t="shared" si="15"/>
        <v>4113292.1228951998</v>
      </c>
      <c r="P51" s="247">
        <f t="shared" si="16"/>
        <v>0</v>
      </c>
      <c r="Q51" s="245">
        <f t="shared" si="17"/>
        <v>9.6704900210132755E-2</v>
      </c>
      <c r="R51" s="246">
        <f t="shared" si="8"/>
        <v>0.05</v>
      </c>
      <c r="S51" s="247">
        <f t="shared" si="9"/>
        <v>447158.60000000003</v>
      </c>
    </row>
    <row r="52" spans="1:19" x14ac:dyDescent="0.25">
      <c r="A52" s="292" t="s">
        <v>172</v>
      </c>
      <c r="B52" s="289"/>
      <c r="C52" s="284">
        <v>3624139</v>
      </c>
      <c r="D52" s="275">
        <v>0.75759645334677894</v>
      </c>
      <c r="E52" s="247">
        <f t="shared" si="11"/>
        <v>2745634.8528357423</v>
      </c>
      <c r="F52" s="255">
        <v>14506</v>
      </c>
      <c r="G52" s="279">
        <f>1-0.2456464</f>
        <v>0.75435359999999996</v>
      </c>
      <c r="H52" s="247">
        <f t="shared" si="13"/>
        <v>2733882.3015504</v>
      </c>
      <c r="I52" s="275">
        <v>0.60631261340440301</v>
      </c>
      <c r="J52" s="247">
        <f t="shared" si="14"/>
        <v>2197361.1884308197</v>
      </c>
      <c r="K52" s="272">
        <f>IF(Netvolumenmål!AJ53&lt;Netvolumenmål!$AA$134,Netvolumenmål!AJ53-Netvolumenmål!$AA$134,0)</f>
        <v>-0.10952747047038418</v>
      </c>
      <c r="L52" s="264">
        <f>Netvolumenmål!AK53*0.75</f>
        <v>-6.2907102664665163E-2</v>
      </c>
      <c r="M52" s="261">
        <f t="shared" si="6"/>
        <v>0.54340551073973786</v>
      </c>
      <c r="N52" s="247">
        <f t="shared" si="7"/>
        <v>1969377.1042868029</v>
      </c>
      <c r="O52" s="255">
        <f t="shared" si="15"/>
        <v>890256.69844960002</v>
      </c>
      <c r="P52" s="247">
        <f t="shared" si="16"/>
        <v>0</v>
      </c>
      <c r="Q52" s="245">
        <f>M52/4</f>
        <v>0.13585137768493447</v>
      </c>
      <c r="R52" s="246">
        <f t="shared" si="8"/>
        <v>0.05</v>
      </c>
      <c r="S52" s="247">
        <f t="shared" si="9"/>
        <v>181206.95</v>
      </c>
    </row>
    <row r="53" spans="1:19" x14ac:dyDescent="0.25">
      <c r="A53" s="292" t="s">
        <v>83</v>
      </c>
      <c r="B53" s="289"/>
      <c r="C53" s="284">
        <v>10207812</v>
      </c>
      <c r="D53" s="275">
        <v>0.34712690506418797</v>
      </c>
      <c r="E53" s="247">
        <f t="shared" si="11"/>
        <v>3543406.1870370787</v>
      </c>
      <c r="F53" s="255"/>
      <c r="G53" s="279">
        <f t="shared" si="12"/>
        <v>0.34712690506418797</v>
      </c>
      <c r="H53" s="247">
        <f t="shared" si="13"/>
        <v>3543406.1870370787</v>
      </c>
      <c r="I53" s="275">
        <v>0.19550000000000001</v>
      </c>
      <c r="J53" s="247">
        <f t="shared" si="14"/>
        <v>1995627.246</v>
      </c>
      <c r="K53" s="272">
        <f>IF(Netvolumenmål!AJ54&lt;Netvolumenmål!$AA$134,Netvolumenmål!AJ54-Netvolumenmål!$AA$134,0)</f>
        <v>0</v>
      </c>
      <c r="L53" s="264">
        <f>Netvolumenmål!AK54*0.75</f>
        <v>0</v>
      </c>
      <c r="M53" s="261">
        <f t="shared" si="6"/>
        <v>0.19550000000000001</v>
      </c>
      <c r="N53" s="247">
        <f t="shared" si="7"/>
        <v>1995627.246</v>
      </c>
      <c r="O53" s="255">
        <f t="shared" si="15"/>
        <v>6664405.8129629213</v>
      </c>
      <c r="P53" s="247">
        <f t="shared" si="16"/>
        <v>0</v>
      </c>
      <c r="Q53" s="245">
        <f t="shared" si="17"/>
        <v>4.8875000000000002E-2</v>
      </c>
      <c r="R53" s="246">
        <f t="shared" si="8"/>
        <v>4.8875000000000002E-2</v>
      </c>
      <c r="S53" s="247">
        <f t="shared" si="9"/>
        <v>498906.81150000001</v>
      </c>
    </row>
    <row r="54" spans="1:19" x14ac:dyDescent="0.25">
      <c r="A54" s="292" t="s">
        <v>84</v>
      </c>
      <c r="B54" s="289"/>
      <c r="C54" s="284">
        <v>2189441</v>
      </c>
      <c r="D54" s="275">
        <v>0.40627486468303997</v>
      </c>
      <c r="E54" s="247">
        <f t="shared" si="11"/>
        <v>889514.84600649972</v>
      </c>
      <c r="F54" s="255"/>
      <c r="G54" s="279">
        <f t="shared" si="12"/>
        <v>0.40627486468303997</v>
      </c>
      <c r="H54" s="247">
        <f t="shared" si="13"/>
        <v>889514.84600649972</v>
      </c>
      <c r="I54" s="275">
        <v>0.25819999999999999</v>
      </c>
      <c r="J54" s="247">
        <f t="shared" si="14"/>
        <v>565313.66619999998</v>
      </c>
      <c r="K54" s="272">
        <f>IF(Netvolumenmål!AJ55&lt;Netvolumenmål!$AA$134,Netvolumenmål!AJ55-Netvolumenmål!$AA$134,0)</f>
        <v>-5.7781890051886151E-2</v>
      </c>
      <c r="L54" s="264">
        <f>Netvolumenmål!AK55*0.75</f>
        <v>-3.3187028551300818E-2</v>
      </c>
      <c r="M54" s="261">
        <f t="shared" si="6"/>
        <v>0.22501297144869917</v>
      </c>
      <c r="N54" s="247">
        <f t="shared" si="7"/>
        <v>492652.62522161135</v>
      </c>
      <c r="O54" s="255">
        <f t="shared" si="15"/>
        <v>1299926.1539935004</v>
      </c>
      <c r="P54" s="247">
        <f t="shared" si="16"/>
        <v>0</v>
      </c>
      <c r="Q54" s="245">
        <f t="shared" si="17"/>
        <v>5.6253242862174792E-2</v>
      </c>
      <c r="R54" s="246">
        <f t="shared" si="8"/>
        <v>0.05</v>
      </c>
      <c r="S54" s="247">
        <f t="shared" si="9"/>
        <v>109472.05</v>
      </c>
    </row>
    <row r="55" spans="1:19" x14ac:dyDescent="0.25">
      <c r="A55" s="292" t="s">
        <v>85</v>
      </c>
      <c r="B55" s="289"/>
      <c r="C55" s="284">
        <v>1202627</v>
      </c>
      <c r="D55" s="275">
        <v>0.19106836929001203</v>
      </c>
      <c r="E55" s="247">
        <f t="shared" si="11"/>
        <v>229783.97975413929</v>
      </c>
      <c r="F55" s="255"/>
      <c r="G55" s="279">
        <f t="shared" si="12"/>
        <v>0.19106836929001203</v>
      </c>
      <c r="H55" s="247">
        <f t="shared" si="13"/>
        <v>229783.97975413929</v>
      </c>
      <c r="I55" s="275">
        <v>3.78E-2</v>
      </c>
      <c r="J55" s="247">
        <f t="shared" si="14"/>
        <v>45459.300600000002</v>
      </c>
      <c r="K55" s="272">
        <f>IF(Netvolumenmål!AJ56&lt;Netvolumenmål!$AA$134,Netvolumenmål!AJ56-Netvolumenmål!$AA$134,0)</f>
        <v>0</v>
      </c>
      <c r="L55" s="264">
        <f>Netvolumenmål!AK56*0.75</f>
        <v>0</v>
      </c>
      <c r="M55" s="261">
        <f t="shared" si="6"/>
        <v>3.78E-2</v>
      </c>
      <c r="N55" s="247">
        <f t="shared" si="7"/>
        <v>45459.300600000002</v>
      </c>
      <c r="O55" s="255">
        <f t="shared" si="15"/>
        <v>972843.02024586068</v>
      </c>
      <c r="P55" s="247">
        <f t="shared" si="16"/>
        <v>0</v>
      </c>
      <c r="Q55" s="245">
        <f t="shared" si="17"/>
        <v>9.4500000000000001E-3</v>
      </c>
      <c r="R55" s="246">
        <f t="shared" si="8"/>
        <v>0</v>
      </c>
      <c r="S55" s="247">
        <f t="shared" si="9"/>
        <v>0</v>
      </c>
    </row>
    <row r="56" spans="1:19" x14ac:dyDescent="0.25">
      <c r="A56" s="292" t="s">
        <v>86</v>
      </c>
      <c r="B56" s="289"/>
      <c r="C56" s="284">
        <v>10583491</v>
      </c>
      <c r="D56" s="275">
        <v>0.37485789189222796</v>
      </c>
      <c r="E56" s="247">
        <f t="shared" si="11"/>
        <v>3967305.1251203674</v>
      </c>
      <c r="F56" s="281">
        <v>0</v>
      </c>
      <c r="G56" s="279">
        <f t="shared" si="12"/>
        <v>0.37485789189222796</v>
      </c>
      <c r="H56" s="247">
        <f t="shared" si="13"/>
        <v>3967305.1251203674</v>
      </c>
      <c r="I56" s="275">
        <v>0.22681680556214401</v>
      </c>
      <c r="J56" s="247">
        <f t="shared" si="14"/>
        <v>2400513.6203157012</v>
      </c>
      <c r="K56" s="272">
        <f>IF(Netvolumenmål!AJ57&lt;Netvolumenmål!$AA$134,Netvolumenmål!AJ57-Netvolumenmål!$AA$134,0)</f>
        <v>0</v>
      </c>
      <c r="L56" s="264">
        <f>Netvolumenmål!AK57*0.75</f>
        <v>0</v>
      </c>
      <c r="M56" s="261">
        <f t="shared" si="6"/>
        <v>0.22681680556214401</v>
      </c>
      <c r="N56" s="247">
        <f t="shared" si="7"/>
        <v>2400513.6203157012</v>
      </c>
      <c r="O56" s="255">
        <f t="shared" si="15"/>
        <v>6616185.8748796321</v>
      </c>
      <c r="P56" s="247">
        <f t="shared" si="16"/>
        <v>0</v>
      </c>
      <c r="Q56" s="245">
        <f t="shared" si="17"/>
        <v>5.6704201390536002E-2</v>
      </c>
      <c r="R56" s="246">
        <f t="shared" si="8"/>
        <v>0.05</v>
      </c>
      <c r="S56" s="247">
        <f t="shared" si="9"/>
        <v>529174.55000000005</v>
      </c>
    </row>
    <row r="57" spans="1:19" x14ac:dyDescent="0.25">
      <c r="A57" s="292" t="s">
        <v>87</v>
      </c>
      <c r="B57" s="289"/>
      <c r="C57" s="284">
        <v>1828665</v>
      </c>
      <c r="D57" s="275">
        <v>0.21851737286573303</v>
      </c>
      <c r="E57" s="247">
        <f t="shared" si="11"/>
        <v>399595.07165151567</v>
      </c>
      <c r="F57" s="255"/>
      <c r="G57" s="279">
        <f t="shared" si="12"/>
        <v>0.21851737286573303</v>
      </c>
      <c r="H57" s="247">
        <f t="shared" si="13"/>
        <v>399595.07165151567</v>
      </c>
      <c r="I57" s="275">
        <v>5.7799999999999997E-2</v>
      </c>
      <c r="J57" s="247">
        <f t="shared" si="14"/>
        <v>105696.837</v>
      </c>
      <c r="K57" s="272">
        <f>IF(Netvolumenmål!AJ58&lt;Netvolumenmål!$AA$134,Netvolumenmål!AJ58-Netvolumenmål!$AA$134,0)</f>
        <v>0</v>
      </c>
      <c r="L57" s="264">
        <f>Netvolumenmål!AK58*0.75</f>
        <v>0</v>
      </c>
      <c r="M57" s="261">
        <f t="shared" si="6"/>
        <v>5.7799999999999997E-2</v>
      </c>
      <c r="N57" s="247">
        <f t="shared" si="7"/>
        <v>105696.837</v>
      </c>
      <c r="O57" s="255">
        <f t="shared" si="15"/>
        <v>1429069.9283484844</v>
      </c>
      <c r="P57" s="247">
        <f t="shared" si="16"/>
        <v>0</v>
      </c>
      <c r="Q57" s="245">
        <f t="shared" si="17"/>
        <v>1.4449999999999999E-2</v>
      </c>
      <c r="R57" s="246">
        <f t="shared" si="8"/>
        <v>1.4449999999999999E-2</v>
      </c>
      <c r="S57" s="247">
        <f t="shared" si="9"/>
        <v>26424.20925</v>
      </c>
    </row>
    <row r="58" spans="1:19" x14ac:dyDescent="0.25">
      <c r="A58" s="292" t="s">
        <v>169</v>
      </c>
      <c r="B58" s="289"/>
      <c r="C58" s="284">
        <v>849684</v>
      </c>
      <c r="D58" s="275">
        <v>3.2248583136312958E-2</v>
      </c>
      <c r="E58" s="247">
        <f t="shared" si="11"/>
        <v>27401.105113594938</v>
      </c>
      <c r="F58" s="255"/>
      <c r="G58" s="279">
        <f t="shared" si="12"/>
        <v>3.2248583136312958E-2</v>
      </c>
      <c r="H58" s="247">
        <f t="shared" si="13"/>
        <v>27401.105113594938</v>
      </c>
      <c r="I58" s="275">
        <v>0</v>
      </c>
      <c r="J58" s="247">
        <f t="shared" si="14"/>
        <v>0</v>
      </c>
      <c r="K58" s="272">
        <f>IF(Netvolumenmål!AJ59&lt;Netvolumenmål!$AA$134,Netvolumenmål!AJ59-Netvolumenmål!$AA$134,0)</f>
        <v>0</v>
      </c>
      <c r="L58" s="264">
        <f>Netvolumenmål!AK59*0.75</f>
        <v>0</v>
      </c>
      <c r="M58" s="261">
        <f t="shared" si="6"/>
        <v>0</v>
      </c>
      <c r="N58" s="247">
        <f t="shared" si="7"/>
        <v>0</v>
      </c>
      <c r="O58" s="255">
        <f t="shared" si="15"/>
        <v>822282.89488640509</v>
      </c>
      <c r="P58" s="247">
        <f t="shared" si="16"/>
        <v>0</v>
      </c>
      <c r="Q58" s="245">
        <f t="shared" si="17"/>
        <v>0</v>
      </c>
      <c r="R58" s="246">
        <f t="shared" si="8"/>
        <v>0</v>
      </c>
      <c r="S58" s="247">
        <f t="shared" si="9"/>
        <v>0</v>
      </c>
    </row>
    <row r="59" spans="1:19" x14ac:dyDescent="0.25">
      <c r="A59" s="292" t="s">
        <v>88</v>
      </c>
      <c r="B59" s="289"/>
      <c r="C59" s="284">
        <v>1608892</v>
      </c>
      <c r="D59" s="275">
        <v>0.34024583251746998</v>
      </c>
      <c r="E59" s="247">
        <f t="shared" si="11"/>
        <v>547418.79797069728</v>
      </c>
      <c r="F59" s="255"/>
      <c r="G59" s="279">
        <f t="shared" si="12"/>
        <v>0.34024583251746998</v>
      </c>
      <c r="H59" s="247">
        <f t="shared" si="13"/>
        <v>547418.79797069728</v>
      </c>
      <c r="I59" s="275">
        <v>0.18840000000000001</v>
      </c>
      <c r="J59" s="247">
        <f>I59*C59</f>
        <v>303115.25280000002</v>
      </c>
      <c r="K59" s="272">
        <f>IF(Netvolumenmål!AJ60&lt;Netvolumenmål!$AA$134,Netvolumenmål!AJ60-Netvolumenmål!$AA$134,0)</f>
        <v>0</v>
      </c>
      <c r="L59" s="264">
        <f>Netvolumenmål!AK60*0.75</f>
        <v>0</v>
      </c>
      <c r="M59" s="261">
        <f t="shared" si="6"/>
        <v>0.18840000000000001</v>
      </c>
      <c r="N59" s="247">
        <f t="shared" si="7"/>
        <v>303115.25280000002</v>
      </c>
      <c r="O59" s="255">
        <f t="shared" si="15"/>
        <v>1061473.2020293027</v>
      </c>
      <c r="P59" s="247">
        <f t="shared" si="16"/>
        <v>0</v>
      </c>
      <c r="Q59" s="245">
        <f t="shared" si="17"/>
        <v>4.7100000000000003E-2</v>
      </c>
      <c r="R59" s="246">
        <f t="shared" si="8"/>
        <v>4.7100000000000003E-2</v>
      </c>
      <c r="S59" s="247">
        <f t="shared" si="9"/>
        <v>75778.813200000004</v>
      </c>
    </row>
    <row r="60" spans="1:19" x14ac:dyDescent="0.25">
      <c r="A60" s="292" t="s">
        <v>89</v>
      </c>
      <c r="B60" s="289"/>
      <c r="C60" s="284">
        <v>1671519</v>
      </c>
      <c r="D60" s="275">
        <f>1-0.9395665</f>
        <v>6.0433500000000029E-2</v>
      </c>
      <c r="E60" s="247">
        <f t="shared" si="11"/>
        <v>101015.74348650005</v>
      </c>
      <c r="F60" s="255"/>
      <c r="G60" s="279">
        <f>IF(F60=0,D60,"SF")</f>
        <v>6.0433500000000029E-2</v>
      </c>
      <c r="H60" s="247">
        <f t="shared" si="13"/>
        <v>101015.74348650005</v>
      </c>
      <c r="I60" s="275">
        <v>0</v>
      </c>
      <c r="J60" s="247">
        <f t="shared" si="14"/>
        <v>0</v>
      </c>
      <c r="K60" s="272">
        <f>IF(Netvolumenmål!AJ61&lt;Netvolumenmål!$AA$134,Netvolumenmål!AJ61-Netvolumenmål!$AA$134,0)</f>
        <v>0</v>
      </c>
      <c r="L60" s="264">
        <f>Netvolumenmål!AK61*0.75</f>
        <v>0</v>
      </c>
      <c r="M60" s="261">
        <f t="shared" si="6"/>
        <v>0</v>
      </c>
      <c r="N60" s="247">
        <f t="shared" si="7"/>
        <v>0</v>
      </c>
      <c r="O60" s="255">
        <f t="shared" si="15"/>
        <v>1570503.2565134999</v>
      </c>
      <c r="P60" s="257">
        <f t="shared" si="16"/>
        <v>0</v>
      </c>
      <c r="Q60" s="245">
        <f t="shared" si="17"/>
        <v>0</v>
      </c>
      <c r="R60" s="246">
        <f t="shared" si="8"/>
        <v>0</v>
      </c>
      <c r="S60" s="247">
        <f t="shared" si="9"/>
        <v>0</v>
      </c>
    </row>
    <row r="61" spans="1:19" x14ac:dyDescent="0.25">
      <c r="A61" s="292" t="s">
        <v>90</v>
      </c>
      <c r="B61" s="289"/>
      <c r="C61" s="284">
        <v>1489706</v>
      </c>
      <c r="D61" s="275">
        <v>0.38326262515638598</v>
      </c>
      <c r="E61" s="247">
        <f t="shared" si="11"/>
        <v>570948.63227121916</v>
      </c>
      <c r="F61" s="255"/>
      <c r="G61" s="279">
        <f t="shared" si="12"/>
        <v>0.38326262515638598</v>
      </c>
      <c r="H61" s="247">
        <f t="shared" si="13"/>
        <v>570948.63227121916</v>
      </c>
      <c r="I61" s="275">
        <v>0.22259999999999999</v>
      </c>
      <c r="J61" s="247">
        <f t="shared" si="14"/>
        <v>331608.55559999996</v>
      </c>
      <c r="K61" s="272">
        <f>IF(Netvolumenmål!AJ62&lt;Netvolumenmål!$AA$134,Netvolumenmål!AJ62-Netvolumenmål!$AA$134,0)</f>
        <v>0</v>
      </c>
      <c r="L61" s="264">
        <f>Netvolumenmål!AK62*0.75</f>
        <v>0</v>
      </c>
      <c r="M61" s="261">
        <f t="shared" si="6"/>
        <v>0.22259999999999999</v>
      </c>
      <c r="N61" s="247">
        <f t="shared" si="7"/>
        <v>331608.55559999996</v>
      </c>
      <c r="O61" s="255">
        <f t="shared" si="15"/>
        <v>918757.36772878084</v>
      </c>
      <c r="P61" s="247">
        <f t="shared" si="16"/>
        <v>0</v>
      </c>
      <c r="Q61" s="245">
        <f t="shared" si="17"/>
        <v>5.5649999999999998E-2</v>
      </c>
      <c r="R61" s="246">
        <f t="shared" si="8"/>
        <v>0.05</v>
      </c>
      <c r="S61" s="247">
        <f t="shared" si="9"/>
        <v>74485.3</v>
      </c>
    </row>
    <row r="62" spans="1:19" x14ac:dyDescent="0.25">
      <c r="A62" s="292" t="s">
        <v>91</v>
      </c>
      <c r="B62" s="289"/>
      <c r="C62" s="284">
        <v>963805</v>
      </c>
      <c r="D62" s="275">
        <v>0.211627976736948</v>
      </c>
      <c r="E62" s="247">
        <f t="shared" si="11"/>
        <v>203968.10211895418</v>
      </c>
      <c r="F62" s="255"/>
      <c r="G62" s="279">
        <f t="shared" si="12"/>
        <v>0.211627976736948</v>
      </c>
      <c r="H62" s="247">
        <f t="shared" si="13"/>
        <v>203968.10211895418</v>
      </c>
      <c r="I62" s="275">
        <v>6.4299999999999996E-2</v>
      </c>
      <c r="J62" s="247">
        <f t="shared" si="14"/>
        <v>61972.661499999995</v>
      </c>
      <c r="K62" s="272">
        <f>IF(Netvolumenmål!AJ63&lt;Netvolumenmål!$AA$134,Netvolumenmål!AJ63-Netvolumenmål!$AA$134,0)</f>
        <v>0</v>
      </c>
      <c r="L62" s="264">
        <f>Netvolumenmål!AK63*0.75</f>
        <v>0</v>
      </c>
      <c r="M62" s="261">
        <f t="shared" si="6"/>
        <v>6.4299999999999996E-2</v>
      </c>
      <c r="N62" s="247">
        <f t="shared" si="7"/>
        <v>61972.661499999995</v>
      </c>
      <c r="O62" s="255">
        <f t="shared" si="15"/>
        <v>759836.89788104582</v>
      </c>
      <c r="P62" s="247">
        <f t="shared" si="16"/>
        <v>0</v>
      </c>
      <c r="Q62" s="245">
        <f t="shared" si="17"/>
        <v>1.6074999999999999E-2</v>
      </c>
      <c r="R62" s="246">
        <f t="shared" si="8"/>
        <v>1.6074999999999999E-2</v>
      </c>
      <c r="S62" s="247">
        <f t="shared" si="9"/>
        <v>15493.165374999999</v>
      </c>
    </row>
    <row r="63" spans="1:19" x14ac:dyDescent="0.25">
      <c r="A63" s="292" t="s">
        <v>92</v>
      </c>
      <c r="B63" s="289"/>
      <c r="C63" s="284">
        <v>911630</v>
      </c>
      <c r="D63" s="275">
        <v>5.3131709644358982E-2</v>
      </c>
      <c r="E63" s="247">
        <f t="shared" si="11"/>
        <v>48436.46046308698</v>
      </c>
      <c r="F63" s="255"/>
      <c r="G63" s="279">
        <f t="shared" si="12"/>
        <v>5.3131709644358982E-2</v>
      </c>
      <c r="H63" s="247">
        <f t="shared" si="13"/>
        <v>48436.46046308698</v>
      </c>
      <c r="I63" s="275">
        <v>0</v>
      </c>
      <c r="J63" s="247">
        <f t="shared" si="14"/>
        <v>0</v>
      </c>
      <c r="K63" s="272">
        <f>IF(Netvolumenmål!AJ64&lt;Netvolumenmål!$AA$134,Netvolumenmål!AJ64-Netvolumenmål!$AA$134,0)</f>
        <v>0</v>
      </c>
      <c r="L63" s="264">
        <f>Netvolumenmål!AK64*0.75</f>
        <v>0</v>
      </c>
      <c r="M63" s="261">
        <f t="shared" si="6"/>
        <v>0</v>
      </c>
      <c r="N63" s="247">
        <f t="shared" si="7"/>
        <v>0</v>
      </c>
      <c r="O63" s="255">
        <f t="shared" si="15"/>
        <v>863193.53953691304</v>
      </c>
      <c r="P63" s="247">
        <f t="shared" si="16"/>
        <v>0</v>
      </c>
      <c r="Q63" s="245">
        <f t="shared" si="17"/>
        <v>0</v>
      </c>
      <c r="R63" s="246">
        <f t="shared" si="8"/>
        <v>0</v>
      </c>
      <c r="S63" s="247">
        <f t="shared" si="9"/>
        <v>0</v>
      </c>
    </row>
    <row r="64" spans="1:19" x14ac:dyDescent="0.25">
      <c r="A64" s="293" t="s">
        <v>174</v>
      </c>
      <c r="B64" s="294"/>
      <c r="C64" s="285">
        <v>936140</v>
      </c>
      <c r="D64" s="262">
        <v>0.82830000000000004</v>
      </c>
      <c r="E64" s="250">
        <f t="shared" si="11"/>
        <v>775404.76199999999</v>
      </c>
      <c r="F64" s="258"/>
      <c r="G64" s="273">
        <f t="shared" si="12"/>
        <v>0.82830000000000004</v>
      </c>
      <c r="H64" s="250">
        <f t="shared" si="13"/>
        <v>775404.76199999999</v>
      </c>
      <c r="I64" s="262">
        <f>G64</f>
        <v>0.82830000000000004</v>
      </c>
      <c r="J64" s="250">
        <f t="shared" si="14"/>
        <v>775404.76199999999</v>
      </c>
      <c r="K64" s="273">
        <f>IF(Netvolumenmål!AJ65&lt;Netvolumenmål!$AA$134,Netvolumenmål!AJ65-Netvolumenmål!$AA$134,0)</f>
        <v>0</v>
      </c>
      <c r="L64" s="265">
        <f>Netvolumenmål!AK65*0.75</f>
        <v>0</v>
      </c>
      <c r="M64" s="262">
        <f t="shared" si="6"/>
        <v>0.82830000000000004</v>
      </c>
      <c r="N64" s="250">
        <f t="shared" si="7"/>
        <v>775404.76199999999</v>
      </c>
      <c r="O64" s="258"/>
      <c r="P64" s="250">
        <f t="shared" si="16"/>
        <v>0</v>
      </c>
      <c r="Q64" s="248">
        <f t="shared" si="17"/>
        <v>0.20707500000000001</v>
      </c>
      <c r="R64" s="249">
        <f t="shared" si="8"/>
        <v>0.05</v>
      </c>
      <c r="S64" s="250">
        <f t="shared" si="9"/>
        <v>46807</v>
      </c>
    </row>
    <row r="65" spans="1:19" x14ac:dyDescent="0.25">
      <c r="A65" s="292" t="s">
        <v>107</v>
      </c>
      <c r="B65" s="289"/>
      <c r="C65" s="284">
        <v>5359820</v>
      </c>
      <c r="D65" s="275">
        <v>0.496926987259175</v>
      </c>
      <c r="E65" s="247">
        <f t="shared" si="11"/>
        <v>2663439.2048514714</v>
      </c>
      <c r="F65" s="256">
        <v>1974107</v>
      </c>
      <c r="G65" s="279">
        <v>0.25843706903410602</v>
      </c>
      <c r="H65" s="247">
        <f t="shared" si="13"/>
        <v>1385176.171350382</v>
      </c>
      <c r="I65" s="275">
        <v>9.6558428020588005E-2</v>
      </c>
      <c r="J65" s="247">
        <f t="shared" si="14"/>
        <v>517535.79367330798</v>
      </c>
      <c r="K65" s="272">
        <f>IF(Netvolumenmål!AJ66&lt;Netvolumenmål!$AA$134,Netvolumenmål!AJ66-Netvolumenmål!$AA$134,0)</f>
        <v>0</v>
      </c>
      <c r="L65" s="264">
        <f>Netvolumenmål!AK66*0.75</f>
        <v>0</v>
      </c>
      <c r="M65" s="261">
        <f t="shared" si="6"/>
        <v>9.6558428020588005E-2</v>
      </c>
      <c r="N65" s="247">
        <f t="shared" si="7"/>
        <v>517535.79367330798</v>
      </c>
      <c r="O65" s="255">
        <f t="shared" si="15"/>
        <v>3974643.8286496177</v>
      </c>
      <c r="P65" s="247">
        <f t="shared" si="16"/>
        <v>0</v>
      </c>
      <c r="Q65" s="245">
        <f t="shared" si="17"/>
        <v>2.4139607005147001E-2</v>
      </c>
      <c r="R65" s="246">
        <f t="shared" si="8"/>
        <v>2.4139607005147001E-2</v>
      </c>
      <c r="S65" s="247">
        <f t="shared" si="9"/>
        <v>129383.948418327</v>
      </c>
    </row>
    <row r="66" spans="1:19" x14ac:dyDescent="0.25">
      <c r="A66" s="292" t="s">
        <v>93</v>
      </c>
      <c r="B66" s="289"/>
      <c r="C66" s="284">
        <v>2153229</v>
      </c>
      <c r="D66" s="275">
        <v>0</v>
      </c>
      <c r="E66" s="247">
        <f t="shared" si="11"/>
        <v>0</v>
      </c>
      <c r="F66" s="255"/>
      <c r="G66" s="279">
        <v>0</v>
      </c>
      <c r="H66" s="247">
        <f t="shared" si="13"/>
        <v>0</v>
      </c>
      <c r="I66" s="275">
        <v>0</v>
      </c>
      <c r="J66" s="247">
        <f t="shared" si="14"/>
        <v>0</v>
      </c>
      <c r="K66" s="272">
        <f>IF(Netvolumenmål!AJ67&lt;Netvolumenmål!$AA$134,Netvolumenmål!AJ67-Netvolumenmål!$AA$134,0)</f>
        <v>0</v>
      </c>
      <c r="L66" s="264">
        <f>Netvolumenmål!AK67*0.75</f>
        <v>0</v>
      </c>
      <c r="M66" s="261">
        <f t="shared" si="6"/>
        <v>0</v>
      </c>
      <c r="N66" s="247">
        <f t="shared" si="7"/>
        <v>0</v>
      </c>
      <c r="O66" s="256">
        <f>C66*1.143031</f>
        <v>2461207.497099</v>
      </c>
      <c r="P66" s="257">
        <f t="shared" si="16"/>
        <v>275680.06209900044</v>
      </c>
      <c r="Q66" s="245">
        <f t="shared" si="17"/>
        <v>0</v>
      </c>
      <c r="R66" s="246">
        <f t="shared" si="8"/>
        <v>0</v>
      </c>
      <c r="S66" s="247">
        <f t="shared" si="9"/>
        <v>0</v>
      </c>
    </row>
    <row r="67" spans="1:19" x14ac:dyDescent="0.25">
      <c r="A67" s="292" t="s">
        <v>112</v>
      </c>
      <c r="B67" s="289"/>
      <c r="C67" s="284">
        <v>1244104</v>
      </c>
      <c r="D67" s="275">
        <v>0.20935609773957398</v>
      </c>
      <c r="E67" s="247">
        <f t="shared" si="11"/>
        <v>260460.75862219493</v>
      </c>
      <c r="F67" s="255"/>
      <c r="G67" s="279">
        <f t="shared" si="12"/>
        <v>0.20935609773957398</v>
      </c>
      <c r="H67" s="247">
        <f t="shared" si="13"/>
        <v>260460.75862219493</v>
      </c>
      <c r="I67" s="275">
        <v>4.7500000000000001E-2</v>
      </c>
      <c r="J67" s="247">
        <f t="shared" si="14"/>
        <v>59094.94</v>
      </c>
      <c r="K67" s="272">
        <f>IF(Netvolumenmål!AJ68&lt;Netvolumenmål!$AA$134,Netvolumenmål!AJ68-Netvolumenmål!$AA$134,0)</f>
        <v>0</v>
      </c>
      <c r="L67" s="264">
        <f>Netvolumenmål!AK68*0.75</f>
        <v>0</v>
      </c>
      <c r="M67" s="261">
        <f t="shared" ref="M67:M126" si="18">IF(I67=0,0,IF(I67&lt;-L67,0,I67+L67))</f>
        <v>4.7500000000000001E-2</v>
      </c>
      <c r="N67" s="247">
        <f t="shared" ref="N67:N126" si="19">M67*C67</f>
        <v>59094.94</v>
      </c>
      <c r="O67" s="255">
        <f t="shared" si="15"/>
        <v>983643.24137780513</v>
      </c>
      <c r="P67" s="247">
        <f t="shared" si="16"/>
        <v>0</v>
      </c>
      <c r="Q67" s="245">
        <f t="shared" si="17"/>
        <v>1.1875E-2</v>
      </c>
      <c r="R67" s="246">
        <f t="shared" ref="R67:R126" si="20">IF(Q67&gt;0.01,IF(Q67&gt;0.05,0.05,Q67),0)</f>
        <v>1.1875E-2</v>
      </c>
      <c r="S67" s="247">
        <f t="shared" ref="S67:S126" si="21">R67*C67</f>
        <v>14773.735000000001</v>
      </c>
    </row>
    <row r="68" spans="1:19" x14ac:dyDescent="0.25">
      <c r="A68" s="292" t="s">
        <v>94</v>
      </c>
      <c r="B68" s="289"/>
      <c r="C68" s="284">
        <v>13785159</v>
      </c>
      <c r="D68" s="275">
        <v>0.56061494202913498</v>
      </c>
      <c r="E68" s="247">
        <f t="shared" si="11"/>
        <v>7728166.1136474079</v>
      </c>
      <c r="F68" s="255"/>
      <c r="G68" s="279">
        <f t="shared" si="12"/>
        <v>0.56061494202913498</v>
      </c>
      <c r="H68" s="247">
        <f t="shared" si="13"/>
        <v>7728166.1136474079</v>
      </c>
      <c r="I68" s="275">
        <v>0.3987</v>
      </c>
      <c r="J68" s="247">
        <f t="shared" si="14"/>
        <v>5496142.8932999996</v>
      </c>
      <c r="K68" s="272">
        <f>IF(Netvolumenmål!AJ69&lt;Netvolumenmål!$AA$134,Netvolumenmål!AJ69-Netvolumenmål!$AA$134,0)</f>
        <v>0</v>
      </c>
      <c r="L68" s="264">
        <f>Netvolumenmål!AK69*0.75</f>
        <v>0</v>
      </c>
      <c r="M68" s="261">
        <f t="shared" si="18"/>
        <v>0.3987</v>
      </c>
      <c r="N68" s="247">
        <f t="shared" si="19"/>
        <v>5496142.8932999996</v>
      </c>
      <c r="O68" s="255">
        <f t="shared" si="15"/>
        <v>6056992.8863525921</v>
      </c>
      <c r="P68" s="247">
        <f t="shared" si="16"/>
        <v>0</v>
      </c>
      <c r="Q68" s="245">
        <f t="shared" si="17"/>
        <v>9.9675E-2</v>
      </c>
      <c r="R68" s="246">
        <f t="shared" si="20"/>
        <v>0.05</v>
      </c>
      <c r="S68" s="247">
        <f t="shared" si="21"/>
        <v>689257.95000000007</v>
      </c>
    </row>
    <row r="69" spans="1:19" x14ac:dyDescent="0.25">
      <c r="A69" s="292" t="s">
        <v>95</v>
      </c>
      <c r="B69" s="289"/>
      <c r="C69" s="284">
        <v>4933979</v>
      </c>
      <c r="D69" s="275">
        <v>0.24740230731233903</v>
      </c>
      <c r="E69" s="247">
        <f t="shared" si="11"/>
        <v>1220677.7888306272</v>
      </c>
      <c r="F69" s="255">
        <f>304407+109604</f>
        <v>414011</v>
      </c>
      <c r="G69" s="279">
        <f>1-0.8085209</f>
        <v>0.19147910000000001</v>
      </c>
      <c r="H69" s="247">
        <f t="shared" si="13"/>
        <v>944753.85833890003</v>
      </c>
      <c r="I69" s="275">
        <v>3.9217289739747002E-2</v>
      </c>
      <c r="J69" s="247">
        <f t="shared" si="14"/>
        <v>193497.28401282718</v>
      </c>
      <c r="K69" s="272">
        <f>IF(Netvolumenmål!AJ70&lt;Netvolumenmål!$AA$134,Netvolumenmål!AJ70-Netvolumenmål!$AA$134,0)</f>
        <v>0</v>
      </c>
      <c r="L69" s="264">
        <f>Netvolumenmål!AK70*0.75</f>
        <v>0</v>
      </c>
      <c r="M69" s="261">
        <f t="shared" si="18"/>
        <v>3.9217289739747002E-2</v>
      </c>
      <c r="N69" s="247">
        <f t="shared" si="19"/>
        <v>193497.28401282718</v>
      </c>
      <c r="O69" s="255">
        <f t="shared" si="15"/>
        <v>3989225.1416611001</v>
      </c>
      <c r="P69" s="247">
        <f t="shared" si="16"/>
        <v>0</v>
      </c>
      <c r="Q69" s="245">
        <f t="shared" si="17"/>
        <v>9.8043224349367505E-3</v>
      </c>
      <c r="R69" s="246">
        <f t="shared" si="20"/>
        <v>0</v>
      </c>
      <c r="S69" s="247">
        <f t="shared" si="21"/>
        <v>0</v>
      </c>
    </row>
    <row r="70" spans="1:19" x14ac:dyDescent="0.25">
      <c r="A70" s="292" t="s">
        <v>97</v>
      </c>
      <c r="B70" s="289"/>
      <c r="C70" s="284">
        <v>1291573</v>
      </c>
      <c r="D70" s="275">
        <v>1.6323508182187974E-2</v>
      </c>
      <c r="E70" s="247">
        <f t="shared" si="11"/>
        <v>21083.002433393067</v>
      </c>
      <c r="F70" s="255"/>
      <c r="G70" s="279">
        <f t="shared" si="12"/>
        <v>1.6323508182187974E-2</v>
      </c>
      <c r="H70" s="247">
        <f t="shared" si="13"/>
        <v>21083.002433393067</v>
      </c>
      <c r="I70" s="275">
        <v>0</v>
      </c>
      <c r="J70" s="247">
        <f t="shared" si="14"/>
        <v>0</v>
      </c>
      <c r="K70" s="272">
        <f>IF(Netvolumenmål!AJ71&lt;Netvolumenmål!$AA$134,Netvolumenmål!AJ71-Netvolumenmål!$AA$134,0)</f>
        <v>0</v>
      </c>
      <c r="L70" s="264">
        <f>Netvolumenmål!AK71*0.75</f>
        <v>0</v>
      </c>
      <c r="M70" s="261">
        <f t="shared" si="18"/>
        <v>0</v>
      </c>
      <c r="N70" s="247">
        <f t="shared" si="19"/>
        <v>0</v>
      </c>
      <c r="O70" s="255">
        <f t="shared" si="15"/>
        <v>1270489.9975666068</v>
      </c>
      <c r="P70" s="247">
        <f t="shared" si="16"/>
        <v>0</v>
      </c>
      <c r="Q70" s="245">
        <f t="shared" si="17"/>
        <v>0</v>
      </c>
      <c r="R70" s="246">
        <f t="shared" si="20"/>
        <v>0</v>
      </c>
      <c r="S70" s="247">
        <f t="shared" si="21"/>
        <v>0</v>
      </c>
    </row>
    <row r="71" spans="1:19" x14ac:dyDescent="0.25">
      <c r="A71" s="292" t="s">
        <v>115</v>
      </c>
      <c r="B71" s="289"/>
      <c r="C71" s="287">
        <v>1319767</v>
      </c>
      <c r="D71" s="275">
        <v>0.34930714641459204</v>
      </c>
      <c r="E71" s="247">
        <f t="shared" si="11"/>
        <v>461004.0447021469</v>
      </c>
      <c r="F71" s="255"/>
      <c r="G71" s="279">
        <f t="shared" si="12"/>
        <v>0.34930714641459204</v>
      </c>
      <c r="H71" s="247">
        <f t="shared" si="13"/>
        <v>461004.0447021469</v>
      </c>
      <c r="I71" s="275">
        <v>0</v>
      </c>
      <c r="J71" s="247">
        <f t="shared" si="14"/>
        <v>0</v>
      </c>
      <c r="K71" s="272">
        <f>IF(Netvolumenmål!AJ72&lt;Netvolumenmål!$AA$134,Netvolumenmål!AJ72-Netvolumenmål!$AA$134,0)</f>
        <v>0</v>
      </c>
      <c r="L71" s="264">
        <f>Netvolumenmål!AK72*0.75</f>
        <v>0</v>
      </c>
      <c r="M71" s="261">
        <f t="shared" si="18"/>
        <v>0</v>
      </c>
      <c r="N71" s="247">
        <f t="shared" si="19"/>
        <v>0</v>
      </c>
      <c r="O71" s="255">
        <f t="shared" si="15"/>
        <v>858762.9552978531</v>
      </c>
      <c r="P71" s="247">
        <f t="shared" si="16"/>
        <v>0</v>
      </c>
      <c r="Q71" s="245">
        <f t="shared" si="17"/>
        <v>0</v>
      </c>
      <c r="R71" s="246">
        <f t="shared" si="20"/>
        <v>0</v>
      </c>
      <c r="S71" s="247">
        <f t="shared" si="21"/>
        <v>0</v>
      </c>
    </row>
    <row r="72" spans="1:19" x14ac:dyDescent="0.25">
      <c r="A72" s="292" t="s">
        <v>116</v>
      </c>
      <c r="B72" s="289"/>
      <c r="C72" s="284">
        <v>8274073</v>
      </c>
      <c r="D72" s="275">
        <v>0.17511064221522998</v>
      </c>
      <c r="E72" s="247">
        <f t="shared" si="11"/>
        <v>1448878.2367656946</v>
      </c>
      <c r="F72" s="255">
        <v>37080</v>
      </c>
      <c r="G72" s="279">
        <v>0.17223012370000002</v>
      </c>
      <c r="H72" s="247">
        <f t="shared" si="13"/>
        <v>1425044.6162928303</v>
      </c>
      <c r="I72" s="275">
        <f>1-0.988461801498</f>
        <v>1.1538198501999997E-2</v>
      </c>
      <c r="J72" s="247">
        <f t="shared" si="14"/>
        <v>95467.896694038616</v>
      </c>
      <c r="K72" s="272">
        <f>IF(Netvolumenmål!AJ73&lt;Netvolumenmål!$AA$134,Netvolumenmål!AJ73-Netvolumenmål!$AA$134,0)</f>
        <v>0</v>
      </c>
      <c r="L72" s="264">
        <f>Netvolumenmål!AK73*0.75</f>
        <v>0</v>
      </c>
      <c r="M72" s="261">
        <f t="shared" si="18"/>
        <v>1.1538198501999997E-2</v>
      </c>
      <c r="N72" s="247">
        <f t="shared" si="19"/>
        <v>95467.896694038616</v>
      </c>
      <c r="O72" s="255">
        <f t="shared" si="15"/>
        <v>6849028.3837071694</v>
      </c>
      <c r="P72" s="247">
        <f t="shared" si="16"/>
        <v>0</v>
      </c>
      <c r="Q72" s="245">
        <f t="shared" si="17"/>
        <v>2.8845496254999992E-3</v>
      </c>
      <c r="R72" s="246">
        <f t="shared" si="20"/>
        <v>0</v>
      </c>
      <c r="S72" s="247">
        <f t="shared" si="21"/>
        <v>0</v>
      </c>
    </row>
    <row r="73" spans="1:19" x14ac:dyDescent="0.25">
      <c r="A73" s="292" t="s">
        <v>99</v>
      </c>
      <c r="B73" s="289"/>
      <c r="C73" s="284">
        <v>935416</v>
      </c>
      <c r="D73" s="275">
        <v>0.11999599408491901</v>
      </c>
      <c r="E73" s="247">
        <f t="shared" si="11"/>
        <v>112246.1728029386</v>
      </c>
      <c r="F73" s="255"/>
      <c r="G73" s="279">
        <f t="shared" si="12"/>
        <v>0.11999599408491901</v>
      </c>
      <c r="H73" s="247">
        <f t="shared" si="13"/>
        <v>112246.1728029386</v>
      </c>
      <c r="I73" s="275">
        <v>0</v>
      </c>
      <c r="J73" s="247">
        <f t="shared" si="14"/>
        <v>0</v>
      </c>
      <c r="K73" s="272">
        <f>IF(Netvolumenmål!AJ74&lt;Netvolumenmål!$AA$134,Netvolumenmål!AJ74-Netvolumenmål!$AA$134,0)</f>
        <v>0</v>
      </c>
      <c r="L73" s="264">
        <f>Netvolumenmål!AK74*0.75</f>
        <v>0</v>
      </c>
      <c r="M73" s="261">
        <f t="shared" si="18"/>
        <v>0</v>
      </c>
      <c r="N73" s="247">
        <f t="shared" si="19"/>
        <v>0</v>
      </c>
      <c r="O73" s="255">
        <f t="shared" si="15"/>
        <v>823169.82719706139</v>
      </c>
      <c r="P73" s="247">
        <f t="shared" si="16"/>
        <v>0</v>
      </c>
      <c r="Q73" s="245">
        <f t="shared" si="17"/>
        <v>0</v>
      </c>
      <c r="R73" s="246">
        <f t="shared" si="20"/>
        <v>0</v>
      </c>
      <c r="S73" s="247">
        <f t="shared" si="21"/>
        <v>0</v>
      </c>
    </row>
    <row r="74" spans="1:19" x14ac:dyDescent="0.25">
      <c r="A74" s="292" t="s">
        <v>100</v>
      </c>
      <c r="B74" s="289"/>
      <c r="C74" s="284">
        <v>3868743</v>
      </c>
      <c r="D74" s="275">
        <v>0.10342177062093105</v>
      </c>
      <c r="E74" s="247">
        <f t="shared" si="11"/>
        <v>400112.25113733264</v>
      </c>
      <c r="F74" s="255"/>
      <c r="G74" s="279">
        <f t="shared" si="12"/>
        <v>0.10342177062093105</v>
      </c>
      <c r="H74" s="247">
        <f t="shared" si="13"/>
        <v>400112.25113733264</v>
      </c>
      <c r="I74" s="275">
        <v>0</v>
      </c>
      <c r="J74" s="247">
        <f t="shared" si="14"/>
        <v>0</v>
      </c>
      <c r="K74" s="272">
        <f>IF(Netvolumenmål!AJ75&lt;Netvolumenmål!$AA$134,Netvolumenmål!AJ75-Netvolumenmål!$AA$134,0)</f>
        <v>0</v>
      </c>
      <c r="L74" s="264">
        <f>Netvolumenmål!AK75*0.75</f>
        <v>0</v>
      </c>
      <c r="M74" s="261">
        <f t="shared" si="18"/>
        <v>0</v>
      </c>
      <c r="N74" s="247">
        <f t="shared" si="19"/>
        <v>0</v>
      </c>
      <c r="O74" s="255">
        <f t="shared" si="15"/>
        <v>3468630.7488626675</v>
      </c>
      <c r="P74" s="247">
        <f t="shared" si="16"/>
        <v>0</v>
      </c>
      <c r="Q74" s="245">
        <f t="shared" si="17"/>
        <v>0</v>
      </c>
      <c r="R74" s="246">
        <f t="shared" si="20"/>
        <v>0</v>
      </c>
      <c r="S74" s="247">
        <f t="shared" si="21"/>
        <v>0</v>
      </c>
    </row>
    <row r="75" spans="1:19" x14ac:dyDescent="0.25">
      <c r="A75" s="292" t="s">
        <v>101</v>
      </c>
      <c r="B75" s="289"/>
      <c r="C75" s="284">
        <v>1536296</v>
      </c>
      <c r="D75" s="275">
        <v>0.25018885512283995</v>
      </c>
      <c r="E75" s="247">
        <f t="shared" si="11"/>
        <v>384364.1373697985</v>
      </c>
      <c r="F75" s="255"/>
      <c r="G75" s="279">
        <f t="shared" si="12"/>
        <v>0.25018885512283995</v>
      </c>
      <c r="H75" s="247">
        <f t="shared" si="13"/>
        <v>384364.1373697985</v>
      </c>
      <c r="I75" s="275">
        <v>0.1021</v>
      </c>
      <c r="J75" s="247">
        <f t="shared" si="14"/>
        <v>156855.8216</v>
      </c>
      <c r="K75" s="272">
        <f>IF(Netvolumenmål!AJ76&lt;Netvolumenmål!$AA$134,Netvolumenmål!AJ76-Netvolumenmål!$AA$134,0)</f>
        <v>0</v>
      </c>
      <c r="L75" s="264">
        <f>Netvolumenmål!AK76*0.75</f>
        <v>0</v>
      </c>
      <c r="M75" s="261">
        <f t="shared" si="18"/>
        <v>0.1021</v>
      </c>
      <c r="N75" s="247">
        <f t="shared" si="19"/>
        <v>156855.8216</v>
      </c>
      <c r="O75" s="255">
        <f t="shared" si="15"/>
        <v>1151931.8626302015</v>
      </c>
      <c r="P75" s="247">
        <f t="shared" si="16"/>
        <v>0</v>
      </c>
      <c r="Q75" s="245">
        <f t="shared" si="17"/>
        <v>2.5524999999999999E-2</v>
      </c>
      <c r="R75" s="246">
        <f t="shared" si="20"/>
        <v>2.5524999999999999E-2</v>
      </c>
      <c r="S75" s="247">
        <f t="shared" si="21"/>
        <v>39213.955399999999</v>
      </c>
    </row>
    <row r="76" spans="1:19" x14ac:dyDescent="0.25">
      <c r="A76" s="292" t="s">
        <v>102</v>
      </c>
      <c r="B76" s="289"/>
      <c r="C76" s="284">
        <v>1533811</v>
      </c>
      <c r="D76" s="275">
        <v>0.20644299901362195</v>
      </c>
      <c r="E76" s="247">
        <f t="shared" si="11"/>
        <v>316644.54276008252</v>
      </c>
      <c r="F76" s="255"/>
      <c r="G76" s="279">
        <f t="shared" si="12"/>
        <v>0.20644299901362195</v>
      </c>
      <c r="H76" s="247">
        <f t="shared" si="13"/>
        <v>316644.54276008252</v>
      </c>
      <c r="I76" s="275">
        <v>5.8400000000000001E-2</v>
      </c>
      <c r="J76" s="247">
        <f t="shared" si="14"/>
        <v>89574.562399999995</v>
      </c>
      <c r="K76" s="272">
        <f>IF(Netvolumenmål!AJ77&lt;Netvolumenmål!$AA$134,Netvolumenmål!AJ77-Netvolumenmål!$AA$134,0)</f>
        <v>-2.2123149559574465E-2</v>
      </c>
      <c r="L76" s="264">
        <f>Netvolumenmål!AK77*0.75</f>
        <v>-1.2706430949541592E-2</v>
      </c>
      <c r="M76" s="261">
        <f t="shared" si="18"/>
        <v>4.5693569050458405E-2</v>
      </c>
      <c r="N76" s="247">
        <f t="shared" si="19"/>
        <v>70085.298838852657</v>
      </c>
      <c r="O76" s="255">
        <f t="shared" si="15"/>
        <v>1217166.4572399175</v>
      </c>
      <c r="P76" s="247">
        <f t="shared" si="16"/>
        <v>0</v>
      </c>
      <c r="Q76" s="245">
        <f t="shared" si="17"/>
        <v>1.1423392262614601E-2</v>
      </c>
      <c r="R76" s="246">
        <f t="shared" si="20"/>
        <v>1.1423392262614601E-2</v>
      </c>
      <c r="S76" s="247">
        <f t="shared" si="21"/>
        <v>17521.324709713164</v>
      </c>
    </row>
    <row r="77" spans="1:19" x14ac:dyDescent="0.25">
      <c r="A77" s="292" t="s">
        <v>123</v>
      </c>
      <c r="B77" s="289"/>
      <c r="C77" s="284">
        <v>771648</v>
      </c>
      <c r="D77" s="275">
        <v>0</v>
      </c>
      <c r="E77" s="247">
        <f t="shared" si="11"/>
        <v>0</v>
      </c>
      <c r="F77" s="282"/>
      <c r="G77" s="279">
        <f t="shared" si="12"/>
        <v>0</v>
      </c>
      <c r="H77" s="247">
        <f t="shared" si="13"/>
        <v>0</v>
      </c>
      <c r="I77" s="275">
        <v>0</v>
      </c>
      <c r="J77" s="247">
        <f t="shared" si="14"/>
        <v>0</v>
      </c>
      <c r="K77" s="272">
        <f>IF(Netvolumenmål!AJ78&lt;Netvolumenmål!$AA$134,Netvolumenmål!AJ78-Netvolumenmål!$AA$134,0)</f>
        <v>0</v>
      </c>
      <c r="L77" s="264">
        <f>Netvolumenmål!AK78*0.75</f>
        <v>0</v>
      </c>
      <c r="M77" s="261">
        <f t="shared" si="18"/>
        <v>0</v>
      </c>
      <c r="N77" s="247">
        <f t="shared" si="19"/>
        <v>0</v>
      </c>
      <c r="O77" s="256">
        <f>1.11635*C77</f>
        <v>861429.24479999999</v>
      </c>
      <c r="P77" s="257">
        <f t="shared" si="16"/>
        <v>78206.524800000014</v>
      </c>
      <c r="Q77" s="245">
        <f t="shared" si="17"/>
        <v>0</v>
      </c>
      <c r="R77" s="246">
        <f t="shared" si="20"/>
        <v>0</v>
      </c>
      <c r="S77" s="247">
        <f t="shared" si="21"/>
        <v>0</v>
      </c>
    </row>
    <row r="78" spans="1:19" x14ac:dyDescent="0.25">
      <c r="A78" s="292" t="s">
        <v>103</v>
      </c>
      <c r="B78" s="289"/>
      <c r="C78" s="284">
        <v>5377435</v>
      </c>
      <c r="D78" s="275">
        <v>6.5840394219114029E-2</v>
      </c>
      <c r="E78" s="247">
        <f t="shared" si="11"/>
        <v>354052.44028766145</v>
      </c>
      <c r="F78" s="255"/>
      <c r="G78" s="279">
        <f t="shared" si="12"/>
        <v>6.5840394219114029E-2</v>
      </c>
      <c r="H78" s="247">
        <f t="shared" si="13"/>
        <v>354052.44028766145</v>
      </c>
      <c r="I78" s="275">
        <v>0</v>
      </c>
      <c r="J78" s="247">
        <f t="shared" si="14"/>
        <v>0</v>
      </c>
      <c r="K78" s="272">
        <f>IF(Netvolumenmål!AJ79&lt;Netvolumenmål!$AA$134,Netvolumenmål!AJ79-Netvolumenmål!$AA$134,0)</f>
        <v>0</v>
      </c>
      <c r="L78" s="264">
        <f>Netvolumenmål!AK79*0.75</f>
        <v>0</v>
      </c>
      <c r="M78" s="261">
        <f t="shared" si="18"/>
        <v>0</v>
      </c>
      <c r="N78" s="247">
        <f t="shared" si="19"/>
        <v>0</v>
      </c>
      <c r="O78" s="256">
        <f t="shared" si="15"/>
        <v>5023382.5597123383</v>
      </c>
      <c r="P78" s="257">
        <f t="shared" si="16"/>
        <v>0</v>
      </c>
      <c r="Q78" s="245">
        <f t="shared" si="17"/>
        <v>0</v>
      </c>
      <c r="R78" s="246">
        <f t="shared" si="20"/>
        <v>0</v>
      </c>
      <c r="S78" s="247">
        <f t="shared" si="21"/>
        <v>0</v>
      </c>
    </row>
    <row r="79" spans="1:19" x14ac:dyDescent="0.25">
      <c r="A79" s="292" t="s">
        <v>104</v>
      </c>
      <c r="B79" s="289"/>
      <c r="C79" s="284">
        <v>738673</v>
      </c>
      <c r="D79" s="275">
        <v>2.6422593689440999E-2</v>
      </c>
      <c r="E79" s="247">
        <f t="shared" si="11"/>
        <v>19517.65654836045</v>
      </c>
      <c r="F79" s="255"/>
      <c r="G79" s="279">
        <f t="shared" si="12"/>
        <v>2.6422593689440999E-2</v>
      </c>
      <c r="H79" s="247">
        <f t="shared" si="13"/>
        <v>19517.65654836045</v>
      </c>
      <c r="I79" s="275">
        <v>0</v>
      </c>
      <c r="J79" s="247">
        <f t="shared" ref="J79:J112" si="22">I79*C79</f>
        <v>0</v>
      </c>
      <c r="K79" s="272">
        <f>IF(Netvolumenmål!AJ80&lt;Netvolumenmål!$AA$134,Netvolumenmål!AJ80-Netvolumenmål!$AA$134,0)</f>
        <v>0</v>
      </c>
      <c r="L79" s="264">
        <f>Netvolumenmål!AK80*0.75</f>
        <v>0</v>
      </c>
      <c r="M79" s="261">
        <f t="shared" si="18"/>
        <v>0</v>
      </c>
      <c r="N79" s="247">
        <f t="shared" si="19"/>
        <v>0</v>
      </c>
      <c r="O79" s="255">
        <f t="shared" si="15"/>
        <v>719155.34345163952</v>
      </c>
      <c r="P79" s="247">
        <f t="shared" ref="P79:P112" si="23">IF(O79&gt;C79*1.015,O79-C79*1.015,0)</f>
        <v>0</v>
      </c>
      <c r="Q79" s="245">
        <f t="shared" si="17"/>
        <v>0</v>
      </c>
      <c r="R79" s="246">
        <f t="shared" si="20"/>
        <v>0</v>
      </c>
      <c r="S79" s="247">
        <f t="shared" si="21"/>
        <v>0</v>
      </c>
    </row>
    <row r="80" spans="1:19" x14ac:dyDescent="0.25">
      <c r="A80" s="293" t="s">
        <v>127</v>
      </c>
      <c r="B80" s="294"/>
      <c r="C80" s="285">
        <v>1297482</v>
      </c>
      <c r="D80" s="262">
        <v>0.56279999999999997</v>
      </c>
      <c r="E80" s="250">
        <f t="shared" ref="E80:E112" si="24">C80*D80</f>
        <v>730222.86959999998</v>
      </c>
      <c r="F80" s="258"/>
      <c r="G80" s="273">
        <f t="shared" ref="G80:G112" si="25">IF(F80=0,D80,"SF")</f>
        <v>0.56279999999999997</v>
      </c>
      <c r="H80" s="250">
        <f t="shared" ref="H80:H112" si="26">G80*C80</f>
        <v>730222.86959999998</v>
      </c>
      <c r="I80" s="262">
        <f>G80</f>
        <v>0.56279999999999997</v>
      </c>
      <c r="J80" s="250">
        <f t="shared" si="22"/>
        <v>730222.86959999998</v>
      </c>
      <c r="K80" s="273">
        <f>IF(Netvolumenmål!AJ81&lt;Netvolumenmål!$AA$134,Netvolumenmål!AJ81-Netvolumenmål!$AA$134,0)</f>
        <v>0</v>
      </c>
      <c r="L80" s="265">
        <f>Netvolumenmål!AK81*0.75</f>
        <v>0</v>
      </c>
      <c r="M80" s="262">
        <f t="shared" si="18"/>
        <v>0.56279999999999997</v>
      </c>
      <c r="N80" s="250">
        <f t="shared" si="19"/>
        <v>730222.86959999998</v>
      </c>
      <c r="O80" s="258"/>
      <c r="P80" s="250">
        <f t="shared" si="23"/>
        <v>0</v>
      </c>
      <c r="Q80" s="248">
        <f t="shared" ref="Q80:Q112" si="27">M80/4</f>
        <v>0.14069999999999999</v>
      </c>
      <c r="R80" s="249">
        <f t="shared" si="20"/>
        <v>0.05</v>
      </c>
      <c r="S80" s="250">
        <f t="shared" si="21"/>
        <v>64874.100000000006</v>
      </c>
    </row>
    <row r="81" spans="1:19" x14ac:dyDescent="0.25">
      <c r="A81" s="292" t="s">
        <v>105</v>
      </c>
      <c r="B81" s="289"/>
      <c r="C81" s="284">
        <v>843115</v>
      </c>
      <c r="D81" s="275">
        <v>0.12161802488141704</v>
      </c>
      <c r="E81" s="247">
        <f t="shared" si="24"/>
        <v>102537.98104789593</v>
      </c>
      <c r="F81" s="255"/>
      <c r="G81" s="279">
        <f t="shared" si="25"/>
        <v>0.12161802488141704</v>
      </c>
      <c r="H81" s="247">
        <f t="shared" si="26"/>
        <v>102537.98104789593</v>
      </c>
      <c r="I81" s="275">
        <v>0</v>
      </c>
      <c r="J81" s="247">
        <f t="shared" si="22"/>
        <v>0</v>
      </c>
      <c r="K81" s="272">
        <f>IF(Netvolumenmål!AJ82&lt;Netvolumenmål!$AA$134,Netvolumenmål!AJ82-Netvolumenmål!$AA$134,0)</f>
        <v>0</v>
      </c>
      <c r="L81" s="264">
        <f>Netvolumenmål!AK82*0.75</f>
        <v>0</v>
      </c>
      <c r="M81" s="261">
        <f t="shared" si="18"/>
        <v>0</v>
      </c>
      <c r="N81" s="247">
        <f t="shared" si="19"/>
        <v>0</v>
      </c>
      <c r="O81" s="255">
        <f t="shared" ref="O81:O112" si="28">IF(G81&gt;0,C81-H81,"Over fronten")</f>
        <v>740577.01895210403</v>
      </c>
      <c r="P81" s="247">
        <f t="shared" si="23"/>
        <v>0</v>
      </c>
      <c r="Q81" s="245">
        <f t="shared" si="27"/>
        <v>0</v>
      </c>
      <c r="R81" s="246">
        <f t="shared" si="20"/>
        <v>0</v>
      </c>
      <c r="S81" s="247">
        <f t="shared" si="21"/>
        <v>0</v>
      </c>
    </row>
    <row r="82" spans="1:19" x14ac:dyDescent="0.25">
      <c r="A82" s="292" t="s">
        <v>131</v>
      </c>
      <c r="B82" s="289"/>
      <c r="C82" s="284">
        <v>2641446</v>
      </c>
      <c r="D82" s="275">
        <v>0.51415374476673992</v>
      </c>
      <c r="E82" s="247">
        <f t="shared" si="24"/>
        <v>1358109.352499126</v>
      </c>
      <c r="F82" s="255"/>
      <c r="G82" s="279">
        <f t="shared" si="25"/>
        <v>0.51415374476673992</v>
      </c>
      <c r="H82" s="247">
        <f t="shared" si="26"/>
        <v>1358109.352499126</v>
      </c>
      <c r="I82" s="275">
        <v>0.3609</v>
      </c>
      <c r="J82" s="247">
        <f t="shared" si="22"/>
        <v>953297.86140000005</v>
      </c>
      <c r="K82" s="272">
        <f>IF(Netvolumenmål!AJ83&lt;Netvolumenmål!$AA$134,Netvolumenmål!AJ83-Netvolumenmål!$AA$134,0)</f>
        <v>0</v>
      </c>
      <c r="L82" s="264">
        <f>Netvolumenmål!AK83*0.75</f>
        <v>0</v>
      </c>
      <c r="M82" s="261">
        <f t="shared" si="18"/>
        <v>0.3609</v>
      </c>
      <c r="N82" s="247">
        <f t="shared" si="19"/>
        <v>953297.86140000005</v>
      </c>
      <c r="O82" s="255">
        <f t="shared" si="28"/>
        <v>1283336.647500874</v>
      </c>
      <c r="P82" s="247">
        <f t="shared" si="23"/>
        <v>0</v>
      </c>
      <c r="Q82" s="245">
        <f t="shared" si="27"/>
        <v>9.0225E-2</v>
      </c>
      <c r="R82" s="246">
        <f t="shared" si="20"/>
        <v>0.05</v>
      </c>
      <c r="S82" s="247">
        <f t="shared" si="21"/>
        <v>132072.30000000002</v>
      </c>
    </row>
    <row r="83" spans="1:19" x14ac:dyDescent="0.25">
      <c r="A83" s="292" t="s">
        <v>106</v>
      </c>
      <c r="B83" s="289"/>
      <c r="C83" s="284">
        <v>1939212</v>
      </c>
      <c r="D83" s="275">
        <v>0.523889685040274</v>
      </c>
      <c r="E83" s="247">
        <f t="shared" si="24"/>
        <v>1015933.1639063199</v>
      </c>
      <c r="F83" s="255"/>
      <c r="G83" s="279">
        <f t="shared" si="25"/>
        <v>0.523889685040274</v>
      </c>
      <c r="H83" s="247">
        <f t="shared" si="26"/>
        <v>1015933.1639063199</v>
      </c>
      <c r="I83" s="275">
        <v>0.37059999999999998</v>
      </c>
      <c r="J83" s="247">
        <f t="shared" si="22"/>
        <v>718671.96719999996</v>
      </c>
      <c r="K83" s="272">
        <f>IF(Netvolumenmål!AJ84&lt;Netvolumenmål!$AA$134,Netvolumenmål!AJ84-Netvolumenmål!$AA$134,0)</f>
        <v>0</v>
      </c>
      <c r="L83" s="264">
        <f>Netvolumenmål!AK84*0.75</f>
        <v>0</v>
      </c>
      <c r="M83" s="261">
        <f t="shared" si="18"/>
        <v>0.37059999999999998</v>
      </c>
      <c r="N83" s="247">
        <f t="shared" si="19"/>
        <v>718671.96719999996</v>
      </c>
      <c r="O83" s="255">
        <f t="shared" si="28"/>
        <v>923278.83609368012</v>
      </c>
      <c r="P83" s="247">
        <f t="shared" si="23"/>
        <v>0</v>
      </c>
      <c r="Q83" s="245">
        <f t="shared" si="27"/>
        <v>9.2649999999999996E-2</v>
      </c>
      <c r="R83" s="246">
        <f t="shared" si="20"/>
        <v>0.05</v>
      </c>
      <c r="S83" s="247">
        <f t="shared" si="21"/>
        <v>96960.6</v>
      </c>
    </row>
    <row r="84" spans="1:19" x14ac:dyDescent="0.25">
      <c r="A84" s="292" t="s">
        <v>108</v>
      </c>
      <c r="B84" s="289"/>
      <c r="C84" s="284">
        <v>2895661</v>
      </c>
      <c r="D84" s="275">
        <v>0.25699855328911003</v>
      </c>
      <c r="E84" s="247">
        <f t="shared" si="24"/>
        <v>744180.68781569763</v>
      </c>
      <c r="F84" s="255"/>
      <c r="G84" s="279">
        <f t="shared" si="25"/>
        <v>0.25699855328911003</v>
      </c>
      <c r="H84" s="247">
        <f t="shared" si="26"/>
        <v>744180.68781569763</v>
      </c>
      <c r="I84" s="275">
        <v>0.109</v>
      </c>
      <c r="J84" s="247">
        <f t="shared" si="22"/>
        <v>315627.049</v>
      </c>
      <c r="K84" s="272">
        <f>IF(Netvolumenmål!AJ85&lt;Netvolumenmål!$AA$134,Netvolumenmål!AJ85-Netvolumenmål!$AA$134,0)</f>
        <v>-1.2796115118082249E-2</v>
      </c>
      <c r="L84" s="264">
        <f>Netvolumenmål!AK85*0.75</f>
        <v>-7.3494487180705403E-3</v>
      </c>
      <c r="M84" s="261">
        <f t="shared" si="18"/>
        <v>0.10165055128192946</v>
      </c>
      <c r="N84" s="247">
        <f t="shared" si="19"/>
        <v>294345.53697558312</v>
      </c>
      <c r="O84" s="255">
        <f t="shared" si="28"/>
        <v>2151480.3121843021</v>
      </c>
      <c r="P84" s="247">
        <f t="shared" si="23"/>
        <v>0</v>
      </c>
      <c r="Q84" s="245">
        <f t="shared" si="27"/>
        <v>2.5412637820482364E-2</v>
      </c>
      <c r="R84" s="246">
        <f t="shared" si="20"/>
        <v>2.5412637820482364E-2</v>
      </c>
      <c r="S84" s="247">
        <f t="shared" si="21"/>
        <v>73586.38424389578</v>
      </c>
    </row>
    <row r="85" spans="1:19" x14ac:dyDescent="0.25">
      <c r="A85" s="292" t="s">
        <v>134</v>
      </c>
      <c r="B85" s="289"/>
      <c r="C85" s="284">
        <v>4958085</v>
      </c>
      <c r="D85" s="275">
        <v>0.39255084002471197</v>
      </c>
      <c r="E85" s="247">
        <f t="shared" si="24"/>
        <v>1946300.4316639241</v>
      </c>
      <c r="F85" s="255">
        <v>198410</v>
      </c>
      <c r="G85" s="279">
        <f>1-0.6338414</f>
        <v>0.3661586</v>
      </c>
      <c r="H85" s="247">
        <f t="shared" si="26"/>
        <v>1815445.4622810001</v>
      </c>
      <c r="I85" s="275">
        <v>0.20842188445389601</v>
      </c>
      <c r="J85" s="247">
        <f t="shared" si="22"/>
        <v>1033373.418982595</v>
      </c>
      <c r="K85" s="272">
        <f>IF(Netvolumenmål!AJ86&lt;Netvolumenmål!$AA$134,Netvolumenmål!AJ86-Netvolumenmål!$AA$134,0)</f>
        <v>0</v>
      </c>
      <c r="L85" s="264">
        <f>Netvolumenmål!AK86*0.75</f>
        <v>0</v>
      </c>
      <c r="M85" s="261">
        <f t="shared" si="18"/>
        <v>0.20842188445389601</v>
      </c>
      <c r="N85" s="247">
        <f t="shared" si="19"/>
        <v>1033373.418982595</v>
      </c>
      <c r="O85" s="255">
        <f t="shared" si="28"/>
        <v>3142639.5377190001</v>
      </c>
      <c r="P85" s="247">
        <f t="shared" si="23"/>
        <v>0</v>
      </c>
      <c r="Q85" s="245">
        <f t="shared" si="27"/>
        <v>5.2105471113474001E-2</v>
      </c>
      <c r="R85" s="246">
        <f t="shared" si="20"/>
        <v>0.05</v>
      </c>
      <c r="S85" s="247">
        <f t="shared" si="21"/>
        <v>247904.25</v>
      </c>
    </row>
    <row r="86" spans="1:19" x14ac:dyDescent="0.25">
      <c r="A86" s="292" t="s">
        <v>109</v>
      </c>
      <c r="B86" s="289"/>
      <c r="C86" s="284">
        <v>1870531</v>
      </c>
      <c r="D86" s="275">
        <v>0.40789259599780903</v>
      </c>
      <c r="E86" s="247">
        <f t="shared" si="24"/>
        <v>762975.74548437772</v>
      </c>
      <c r="F86" s="255"/>
      <c r="G86" s="279">
        <f t="shared" si="25"/>
        <v>0.40789259599780903</v>
      </c>
      <c r="H86" s="247">
        <f t="shared" si="26"/>
        <v>762975.74548437772</v>
      </c>
      <c r="I86" s="275">
        <v>0.2465</v>
      </c>
      <c r="J86" s="247">
        <f t="shared" si="22"/>
        <v>461085.89149999997</v>
      </c>
      <c r="K86" s="272">
        <f>IF(Netvolumenmål!AJ87&lt;Netvolumenmål!$AA$134,Netvolumenmål!AJ87-Netvolumenmål!$AA$134,0)</f>
        <v>0</v>
      </c>
      <c r="L86" s="264">
        <f>Netvolumenmål!AK87*0.75</f>
        <v>0</v>
      </c>
      <c r="M86" s="261">
        <f t="shared" si="18"/>
        <v>0.2465</v>
      </c>
      <c r="N86" s="247">
        <f t="shared" si="19"/>
        <v>461085.89149999997</v>
      </c>
      <c r="O86" s="255">
        <f t="shared" si="28"/>
        <v>1107555.2545156223</v>
      </c>
      <c r="P86" s="247">
        <f t="shared" si="23"/>
        <v>0</v>
      </c>
      <c r="Q86" s="245">
        <f t="shared" si="27"/>
        <v>6.1624999999999999E-2</v>
      </c>
      <c r="R86" s="246">
        <f t="shared" si="20"/>
        <v>0.05</v>
      </c>
      <c r="S86" s="247">
        <f t="shared" si="21"/>
        <v>93526.55</v>
      </c>
    </row>
    <row r="87" spans="1:19" x14ac:dyDescent="0.25">
      <c r="A87" s="292" t="s">
        <v>110</v>
      </c>
      <c r="B87" s="289"/>
      <c r="C87" s="284">
        <v>1502925</v>
      </c>
      <c r="D87" s="275">
        <v>0</v>
      </c>
      <c r="E87" s="247">
        <f t="shared" si="24"/>
        <v>0</v>
      </c>
      <c r="F87" s="255"/>
      <c r="G87" s="279">
        <f t="shared" si="25"/>
        <v>0</v>
      </c>
      <c r="H87" s="247">
        <f t="shared" si="26"/>
        <v>0</v>
      </c>
      <c r="I87" s="275">
        <v>0</v>
      </c>
      <c r="J87" s="247">
        <f t="shared" si="22"/>
        <v>0</v>
      </c>
      <c r="K87" s="272">
        <f>IF(Netvolumenmål!AJ88&lt;Netvolumenmål!$AA$134,Netvolumenmål!AJ88-Netvolumenmål!$AA$134,0)</f>
        <v>0</v>
      </c>
      <c r="L87" s="264">
        <f>Netvolumenmål!AK88*0.75</f>
        <v>0</v>
      </c>
      <c r="M87" s="261">
        <f t="shared" si="18"/>
        <v>0</v>
      </c>
      <c r="N87" s="247">
        <f t="shared" si="19"/>
        <v>0</v>
      </c>
      <c r="O87" s="255">
        <f>1.013872*C87</f>
        <v>1523773.5756000001</v>
      </c>
      <c r="P87" s="247">
        <f t="shared" si="23"/>
        <v>0</v>
      </c>
      <c r="Q87" s="245">
        <f t="shared" si="27"/>
        <v>0</v>
      </c>
      <c r="R87" s="246">
        <f t="shared" si="20"/>
        <v>0</v>
      </c>
      <c r="S87" s="247">
        <f t="shared" si="21"/>
        <v>0</v>
      </c>
    </row>
    <row r="88" spans="1:19" x14ac:dyDescent="0.25">
      <c r="A88" s="292" t="s">
        <v>111</v>
      </c>
      <c r="B88" s="289"/>
      <c r="C88" s="284">
        <v>2524076</v>
      </c>
      <c r="D88" s="275">
        <v>0.26698905624936697</v>
      </c>
      <c r="E88" s="247">
        <f t="shared" si="24"/>
        <v>673900.66914167721</v>
      </c>
      <c r="F88" s="255"/>
      <c r="G88" s="279">
        <f t="shared" si="25"/>
        <v>0.26698905624936697</v>
      </c>
      <c r="H88" s="247">
        <f t="shared" si="26"/>
        <v>673900.66914167721</v>
      </c>
      <c r="I88" s="275">
        <v>0.10630000000000001</v>
      </c>
      <c r="J88" s="247">
        <f t="shared" si="22"/>
        <v>268309.27880000003</v>
      </c>
      <c r="K88" s="272">
        <f>IF(Netvolumenmål!AJ89&lt;Netvolumenmål!$AA$134,Netvolumenmål!AJ89-Netvolumenmål!$AA$134,0)</f>
        <v>0</v>
      </c>
      <c r="L88" s="264">
        <f>Netvolumenmål!AK89*0.75</f>
        <v>0</v>
      </c>
      <c r="M88" s="261">
        <f t="shared" si="18"/>
        <v>0.10630000000000001</v>
      </c>
      <c r="N88" s="247">
        <f t="shared" si="19"/>
        <v>268309.27880000003</v>
      </c>
      <c r="O88" s="256">
        <f t="shared" si="28"/>
        <v>1850175.3308583228</v>
      </c>
      <c r="P88" s="257">
        <f t="shared" si="23"/>
        <v>0</v>
      </c>
      <c r="Q88" s="245">
        <f t="shared" si="27"/>
        <v>2.6575000000000001E-2</v>
      </c>
      <c r="R88" s="246">
        <f t="shared" si="20"/>
        <v>2.6575000000000001E-2</v>
      </c>
      <c r="S88" s="247">
        <f t="shared" si="21"/>
        <v>67077.319700000007</v>
      </c>
    </row>
    <row r="89" spans="1:19" x14ac:dyDescent="0.25">
      <c r="A89" s="292" t="s">
        <v>113</v>
      </c>
      <c r="B89" s="289"/>
      <c r="C89" s="284">
        <v>15966</v>
      </c>
      <c r="D89" s="275">
        <v>0</v>
      </c>
      <c r="E89" s="247">
        <f t="shared" si="24"/>
        <v>0</v>
      </c>
      <c r="F89" s="255"/>
      <c r="G89" s="279">
        <f t="shared" si="25"/>
        <v>0</v>
      </c>
      <c r="H89" s="247">
        <f t="shared" si="26"/>
        <v>0</v>
      </c>
      <c r="I89" s="275">
        <v>0</v>
      </c>
      <c r="J89" s="247">
        <f t="shared" si="22"/>
        <v>0</v>
      </c>
      <c r="K89" s="272">
        <f>IF(Netvolumenmål!AJ90&lt;Netvolumenmål!$AA$134,Netvolumenmål!AJ90-Netvolumenmål!$AA$134,0)</f>
        <v>0</v>
      </c>
      <c r="L89" s="264">
        <f>Netvolumenmål!AK90*0.75</f>
        <v>0</v>
      </c>
      <c r="M89" s="261">
        <f t="shared" si="18"/>
        <v>0</v>
      </c>
      <c r="N89" s="247">
        <f t="shared" si="19"/>
        <v>0</v>
      </c>
      <c r="O89" s="256">
        <f>1.235897*C89</f>
        <v>19732.331502000001</v>
      </c>
      <c r="P89" s="257">
        <f t="shared" si="23"/>
        <v>3526.8415020000029</v>
      </c>
      <c r="Q89" s="245">
        <f t="shared" si="27"/>
        <v>0</v>
      </c>
      <c r="R89" s="246">
        <f t="shared" si="20"/>
        <v>0</v>
      </c>
      <c r="S89" s="247">
        <f t="shared" si="21"/>
        <v>0</v>
      </c>
    </row>
    <row r="90" spans="1:19" x14ac:dyDescent="0.25">
      <c r="A90" s="292" t="s">
        <v>114</v>
      </c>
      <c r="B90" s="289"/>
      <c r="C90" s="284">
        <v>14813950</v>
      </c>
      <c r="D90" s="275">
        <v>0.16292345350422999</v>
      </c>
      <c r="E90" s="247">
        <f t="shared" si="24"/>
        <v>2413539.8940389878</v>
      </c>
      <c r="F90" s="255">
        <v>475414</v>
      </c>
      <c r="G90" s="279">
        <f>1-0.8577045</f>
        <v>0.14229550000000002</v>
      </c>
      <c r="H90" s="247">
        <f t="shared" si="26"/>
        <v>2107958.4222250003</v>
      </c>
      <c r="I90" s="275">
        <v>0</v>
      </c>
      <c r="J90" s="247">
        <f t="shared" si="22"/>
        <v>0</v>
      </c>
      <c r="K90" s="272">
        <f>IF(Netvolumenmål!AJ91&lt;Netvolumenmål!$AA$134,Netvolumenmål!AJ91-Netvolumenmål!$AA$134,0)</f>
        <v>0</v>
      </c>
      <c r="L90" s="264">
        <f>Netvolumenmål!AK91*0.75</f>
        <v>0</v>
      </c>
      <c r="M90" s="261">
        <f t="shared" si="18"/>
        <v>0</v>
      </c>
      <c r="N90" s="247">
        <f t="shared" si="19"/>
        <v>0</v>
      </c>
      <c r="O90" s="256">
        <f t="shared" si="28"/>
        <v>12705991.577775</v>
      </c>
      <c r="P90" s="257">
        <f t="shared" si="23"/>
        <v>0</v>
      </c>
      <c r="Q90" s="245">
        <f t="shared" si="27"/>
        <v>0</v>
      </c>
      <c r="R90" s="246">
        <f t="shared" si="20"/>
        <v>0</v>
      </c>
      <c r="S90" s="247">
        <f t="shared" si="21"/>
        <v>0</v>
      </c>
    </row>
    <row r="91" spans="1:19" x14ac:dyDescent="0.25">
      <c r="A91" s="292" t="s">
        <v>117</v>
      </c>
      <c r="B91" s="289"/>
      <c r="C91" s="284">
        <v>1596001</v>
      </c>
      <c r="D91" s="275">
        <v>0.41065467040863901</v>
      </c>
      <c r="E91" s="247">
        <f t="shared" si="24"/>
        <v>655405.26462685829</v>
      </c>
      <c r="F91" s="255"/>
      <c r="G91" s="279">
        <f t="shared" si="25"/>
        <v>0.41065467040863901</v>
      </c>
      <c r="H91" s="247">
        <f t="shared" si="26"/>
        <v>655405.26462685829</v>
      </c>
      <c r="I91" s="275">
        <v>0.24879999999999999</v>
      </c>
      <c r="J91" s="247">
        <f t="shared" si="22"/>
        <v>397085.04879999999</v>
      </c>
      <c r="K91" s="272">
        <f>IF(Netvolumenmål!AJ92&lt;Netvolumenmål!$AA$134,Netvolumenmål!AJ92-Netvolumenmål!$AA$134,0)</f>
        <v>0</v>
      </c>
      <c r="L91" s="264">
        <f>Netvolumenmål!AK92*0.75</f>
        <v>0</v>
      </c>
      <c r="M91" s="261">
        <f t="shared" si="18"/>
        <v>0.24879999999999999</v>
      </c>
      <c r="N91" s="247">
        <f t="shared" si="19"/>
        <v>397085.04879999999</v>
      </c>
      <c r="O91" s="256">
        <f t="shared" si="28"/>
        <v>940595.73537314171</v>
      </c>
      <c r="P91" s="257">
        <f t="shared" si="23"/>
        <v>0</v>
      </c>
      <c r="Q91" s="245">
        <f t="shared" si="27"/>
        <v>6.2199999999999998E-2</v>
      </c>
      <c r="R91" s="246">
        <f t="shared" si="20"/>
        <v>0.05</v>
      </c>
      <c r="S91" s="247">
        <f t="shared" si="21"/>
        <v>79800.05</v>
      </c>
    </row>
    <row r="92" spans="1:19" x14ac:dyDescent="0.25">
      <c r="A92" s="292" t="s">
        <v>118</v>
      </c>
      <c r="B92" s="289"/>
      <c r="C92" s="284">
        <v>716381</v>
      </c>
      <c r="D92" s="275">
        <v>0</v>
      </c>
      <c r="E92" s="247">
        <f t="shared" si="24"/>
        <v>0</v>
      </c>
      <c r="F92" s="255"/>
      <c r="G92" s="279">
        <f t="shared" si="25"/>
        <v>0</v>
      </c>
      <c r="H92" s="247">
        <f t="shared" si="26"/>
        <v>0</v>
      </c>
      <c r="I92" s="275">
        <v>0</v>
      </c>
      <c r="J92" s="247">
        <f t="shared" si="22"/>
        <v>0</v>
      </c>
      <c r="K92" s="272">
        <f>IF(Netvolumenmål!AJ93&lt;Netvolumenmål!$AA$134,Netvolumenmål!AJ93-Netvolumenmål!$AA$134,0)</f>
        <v>0</v>
      </c>
      <c r="L92" s="264">
        <f>Netvolumenmål!AK93*0.75</f>
        <v>0</v>
      </c>
      <c r="M92" s="261">
        <f t="shared" si="18"/>
        <v>0</v>
      </c>
      <c r="N92" s="247">
        <f t="shared" si="19"/>
        <v>0</v>
      </c>
      <c r="O92" s="256">
        <f>1.045567*C92</f>
        <v>749024.33302699996</v>
      </c>
      <c r="P92" s="257">
        <f t="shared" si="23"/>
        <v>21897.61802699999</v>
      </c>
      <c r="Q92" s="245">
        <f t="shared" si="27"/>
        <v>0</v>
      </c>
      <c r="R92" s="246">
        <f t="shared" si="20"/>
        <v>0</v>
      </c>
      <c r="S92" s="247">
        <f t="shared" si="21"/>
        <v>0</v>
      </c>
    </row>
    <row r="93" spans="1:19" x14ac:dyDescent="0.25">
      <c r="A93" s="292" t="s">
        <v>119</v>
      </c>
      <c r="B93" s="289"/>
      <c r="C93" s="284">
        <v>1914225</v>
      </c>
      <c r="D93" s="275">
        <v>0.23707979806471602</v>
      </c>
      <c r="E93" s="247">
        <f t="shared" si="24"/>
        <v>453824.07645043102</v>
      </c>
      <c r="F93" s="255"/>
      <c r="G93" s="279">
        <f t="shared" si="25"/>
        <v>0.23707979806471602</v>
      </c>
      <c r="H93" s="247">
        <f t="shared" si="26"/>
        <v>453824.07645043102</v>
      </c>
      <c r="I93" s="275">
        <v>9.4E-2</v>
      </c>
      <c r="J93" s="247">
        <f t="shared" si="22"/>
        <v>179937.15</v>
      </c>
      <c r="K93" s="272">
        <f>IF(Netvolumenmål!AJ94&lt;Netvolumenmål!$AA$134,Netvolumenmål!AJ94-Netvolumenmål!$AA$134,0)</f>
        <v>0</v>
      </c>
      <c r="L93" s="264">
        <f>Netvolumenmål!AK94*0.75</f>
        <v>0</v>
      </c>
      <c r="M93" s="261">
        <f t="shared" si="18"/>
        <v>9.4E-2</v>
      </c>
      <c r="N93" s="247">
        <f t="shared" si="19"/>
        <v>179937.15</v>
      </c>
      <c r="O93" s="255">
        <f t="shared" si="28"/>
        <v>1460400.923549569</v>
      </c>
      <c r="P93" s="247">
        <f t="shared" si="23"/>
        <v>0</v>
      </c>
      <c r="Q93" s="245">
        <f t="shared" si="27"/>
        <v>2.35E-2</v>
      </c>
      <c r="R93" s="246">
        <f t="shared" si="20"/>
        <v>2.35E-2</v>
      </c>
      <c r="S93" s="247">
        <f t="shared" si="21"/>
        <v>44984.287499999999</v>
      </c>
    </row>
    <row r="94" spans="1:19" x14ac:dyDescent="0.25">
      <c r="A94" s="292" t="s">
        <v>146</v>
      </c>
      <c r="B94" s="289"/>
      <c r="C94" s="284">
        <v>5779823</v>
      </c>
      <c r="D94" s="275">
        <v>0.23239602527454795</v>
      </c>
      <c r="E94" s="247">
        <f t="shared" si="24"/>
        <v>1343207.8919904134</v>
      </c>
      <c r="F94" s="255">
        <v>281714</v>
      </c>
      <c r="G94" s="279">
        <f>1-0.800561833</f>
        <v>0.19943816700000006</v>
      </c>
      <c r="H94" s="247">
        <f t="shared" si="26"/>
        <v>1152717.3047044412</v>
      </c>
      <c r="I94" s="275">
        <v>4.4431693391015999E-2</v>
      </c>
      <c r="J94" s="247">
        <f t="shared" si="22"/>
        <v>256807.32339034227</v>
      </c>
      <c r="K94" s="272">
        <f>IF(Netvolumenmål!AJ95&lt;Netvolumenmål!$AA$134,Netvolumenmål!AJ95-Netvolumenmål!$AA$134,0)</f>
        <v>0</v>
      </c>
      <c r="L94" s="264">
        <f>Netvolumenmål!AK95*0.75</f>
        <v>0</v>
      </c>
      <c r="M94" s="261">
        <f t="shared" si="18"/>
        <v>4.4431693391015999E-2</v>
      </c>
      <c r="N94" s="247">
        <f t="shared" si="19"/>
        <v>256807.32339034227</v>
      </c>
      <c r="O94" s="255">
        <f t="shared" si="28"/>
        <v>4627105.6952955592</v>
      </c>
      <c r="P94" s="247">
        <f t="shared" si="23"/>
        <v>0</v>
      </c>
      <c r="Q94" s="245">
        <f t="shared" si="27"/>
        <v>1.1107923347754E-2</v>
      </c>
      <c r="R94" s="246">
        <f t="shared" si="20"/>
        <v>1.1107923347754E-2</v>
      </c>
      <c r="S94" s="247">
        <f t="shared" si="21"/>
        <v>64201.830847585567</v>
      </c>
    </row>
    <row r="95" spans="1:19" x14ac:dyDescent="0.25">
      <c r="A95" s="293" t="s">
        <v>175</v>
      </c>
      <c r="B95" s="294"/>
      <c r="C95" s="285">
        <v>1170160</v>
      </c>
      <c r="D95" s="262">
        <v>0.62949999999999995</v>
      </c>
      <c r="E95" s="250">
        <f t="shared" si="24"/>
        <v>736615.72</v>
      </c>
      <c r="F95" s="258"/>
      <c r="G95" s="273">
        <f t="shared" si="25"/>
        <v>0.62949999999999995</v>
      </c>
      <c r="H95" s="250">
        <f t="shared" si="26"/>
        <v>736615.72</v>
      </c>
      <c r="I95" s="262">
        <f>G95</f>
        <v>0.62949999999999995</v>
      </c>
      <c r="J95" s="250">
        <f t="shared" si="22"/>
        <v>736615.72</v>
      </c>
      <c r="K95" s="273">
        <f>IF(Netvolumenmål!AJ96&lt;Netvolumenmål!$AA$134,Netvolumenmål!AJ96-Netvolumenmål!$AA$134,0)</f>
        <v>0</v>
      </c>
      <c r="L95" s="265">
        <f>Netvolumenmål!AK96*0.75</f>
        <v>0</v>
      </c>
      <c r="M95" s="262">
        <f t="shared" si="18"/>
        <v>0.62949999999999995</v>
      </c>
      <c r="N95" s="250">
        <f t="shared" si="19"/>
        <v>736615.72</v>
      </c>
      <c r="O95" s="258"/>
      <c r="P95" s="250">
        <f t="shared" si="23"/>
        <v>0</v>
      </c>
      <c r="Q95" s="248">
        <f t="shared" si="27"/>
        <v>0.15737499999999999</v>
      </c>
      <c r="R95" s="249">
        <f t="shared" si="20"/>
        <v>0.05</v>
      </c>
      <c r="S95" s="250">
        <f t="shared" si="21"/>
        <v>58508</v>
      </c>
    </row>
    <row r="96" spans="1:19" x14ac:dyDescent="0.25">
      <c r="A96" s="292" t="s">
        <v>120</v>
      </c>
      <c r="B96" s="289"/>
      <c r="C96" s="284">
        <v>1550808</v>
      </c>
      <c r="D96" s="275">
        <v>4.863716123517603E-2</v>
      </c>
      <c r="E96" s="247">
        <f t="shared" si="24"/>
        <v>75426.898740800869</v>
      </c>
      <c r="F96" s="255"/>
      <c r="G96" s="279">
        <f t="shared" si="25"/>
        <v>4.863716123517603E-2</v>
      </c>
      <c r="H96" s="247">
        <f t="shared" si="26"/>
        <v>75426.898740800869</v>
      </c>
      <c r="I96" s="275">
        <v>0</v>
      </c>
      <c r="J96" s="247">
        <f t="shared" si="22"/>
        <v>0</v>
      </c>
      <c r="K96" s="272">
        <f>IF(Netvolumenmål!AJ97&lt;Netvolumenmål!$AA$134,Netvolumenmål!AJ97-Netvolumenmål!$AA$134,0)</f>
        <v>0</v>
      </c>
      <c r="L96" s="264">
        <f>Netvolumenmål!AK97*0.75</f>
        <v>0</v>
      </c>
      <c r="M96" s="261">
        <f t="shared" si="18"/>
        <v>0</v>
      </c>
      <c r="N96" s="247">
        <f t="shared" si="19"/>
        <v>0</v>
      </c>
      <c r="O96" s="255">
        <f t="shared" si="28"/>
        <v>1475381.1012591992</v>
      </c>
      <c r="P96" s="247">
        <f t="shared" si="23"/>
        <v>0</v>
      </c>
      <c r="Q96" s="245">
        <f t="shared" si="27"/>
        <v>0</v>
      </c>
      <c r="R96" s="246">
        <f t="shared" si="20"/>
        <v>0</v>
      </c>
      <c r="S96" s="247">
        <f t="shared" si="21"/>
        <v>0</v>
      </c>
    </row>
    <row r="97" spans="1:19" x14ac:dyDescent="0.25">
      <c r="A97" s="292" t="s">
        <v>121</v>
      </c>
      <c r="B97" s="289"/>
      <c r="C97" s="284">
        <v>1278656</v>
      </c>
      <c r="D97" s="275">
        <v>0.21472006494500895</v>
      </c>
      <c r="E97" s="247">
        <f t="shared" si="24"/>
        <v>274553.09936232539</v>
      </c>
      <c r="F97" s="255"/>
      <c r="G97" s="279">
        <f t="shared" si="25"/>
        <v>0.21472006494500895</v>
      </c>
      <c r="H97" s="247">
        <f t="shared" si="26"/>
        <v>274553.09936232539</v>
      </c>
      <c r="I97" s="275">
        <v>5.3999999999999999E-2</v>
      </c>
      <c r="J97" s="247">
        <f t="shared" si="22"/>
        <v>69047.423999999999</v>
      </c>
      <c r="K97" s="272">
        <f>IF(Netvolumenmål!AJ98&lt;Netvolumenmål!$AA$134,Netvolumenmål!AJ98-Netvolumenmål!$AA$134,0)</f>
        <v>0</v>
      </c>
      <c r="L97" s="264">
        <f>Netvolumenmål!AK98*0.75</f>
        <v>0</v>
      </c>
      <c r="M97" s="261">
        <f t="shared" si="18"/>
        <v>5.3999999999999999E-2</v>
      </c>
      <c r="N97" s="247">
        <f t="shared" si="19"/>
        <v>69047.423999999999</v>
      </c>
      <c r="O97" s="255">
        <f t="shared" si="28"/>
        <v>1004102.9006376746</v>
      </c>
      <c r="P97" s="247">
        <f t="shared" si="23"/>
        <v>0</v>
      </c>
      <c r="Q97" s="245">
        <f t="shared" si="27"/>
        <v>1.35E-2</v>
      </c>
      <c r="R97" s="246">
        <f t="shared" si="20"/>
        <v>1.35E-2</v>
      </c>
      <c r="S97" s="247">
        <f t="shared" si="21"/>
        <v>17261.856</v>
      </c>
    </row>
    <row r="98" spans="1:19" x14ac:dyDescent="0.25">
      <c r="A98" s="292" t="s">
        <v>147</v>
      </c>
      <c r="B98" s="289"/>
      <c r="C98" s="284">
        <v>5663481</v>
      </c>
      <c r="D98" s="275">
        <v>0.11652388431767702</v>
      </c>
      <c r="E98" s="247">
        <f t="shared" si="24"/>
        <v>659930.80487936176</v>
      </c>
      <c r="F98" s="255"/>
      <c r="G98" s="279">
        <f t="shared" si="25"/>
        <v>0.11652388431767702</v>
      </c>
      <c r="H98" s="247">
        <f t="shared" si="26"/>
        <v>659930.80487936176</v>
      </c>
      <c r="I98" s="275">
        <v>0</v>
      </c>
      <c r="J98" s="247">
        <f t="shared" si="22"/>
        <v>0</v>
      </c>
      <c r="K98" s="272">
        <f>IF(Netvolumenmål!AJ99&lt;Netvolumenmål!$AA$134,Netvolumenmål!AJ99-Netvolumenmål!$AA$134,0)</f>
        <v>0</v>
      </c>
      <c r="L98" s="264">
        <f>Netvolumenmål!AK99*0.75</f>
        <v>0</v>
      </c>
      <c r="M98" s="261">
        <f t="shared" si="18"/>
        <v>0</v>
      </c>
      <c r="N98" s="247">
        <f t="shared" si="19"/>
        <v>0</v>
      </c>
      <c r="O98" s="255">
        <f t="shared" si="28"/>
        <v>5003550.1951206382</v>
      </c>
      <c r="P98" s="247">
        <f t="shared" si="23"/>
        <v>0</v>
      </c>
      <c r="Q98" s="245">
        <f t="shared" si="27"/>
        <v>0</v>
      </c>
      <c r="R98" s="246">
        <f t="shared" si="20"/>
        <v>0</v>
      </c>
      <c r="S98" s="247">
        <f t="shared" si="21"/>
        <v>0</v>
      </c>
    </row>
    <row r="99" spans="1:19" x14ac:dyDescent="0.25">
      <c r="A99" s="292" t="s">
        <v>122</v>
      </c>
      <c r="B99" s="289"/>
      <c r="C99" s="284">
        <v>797382</v>
      </c>
      <c r="D99" s="275">
        <v>0.32959282546600899</v>
      </c>
      <c r="E99" s="247">
        <f t="shared" si="24"/>
        <v>262811.38635573717</v>
      </c>
      <c r="F99" s="255"/>
      <c r="G99" s="279">
        <f t="shared" si="25"/>
        <v>0.32959282546600899</v>
      </c>
      <c r="H99" s="247">
        <f t="shared" si="26"/>
        <v>262811.38635573717</v>
      </c>
      <c r="I99" s="275">
        <v>0.16889999999999999</v>
      </c>
      <c r="J99" s="247">
        <f t="shared" si="22"/>
        <v>134677.8198</v>
      </c>
      <c r="K99" s="272">
        <f>IF(Netvolumenmål!AJ100&lt;Netvolumenmål!$AA$134,Netvolumenmål!AJ100-Netvolumenmål!$AA$134,0)</f>
        <v>0</v>
      </c>
      <c r="L99" s="264">
        <f>Netvolumenmål!AK100*0.75</f>
        <v>0</v>
      </c>
      <c r="M99" s="261">
        <f t="shared" si="18"/>
        <v>0.16889999999999999</v>
      </c>
      <c r="N99" s="247">
        <f t="shared" si="19"/>
        <v>134677.8198</v>
      </c>
      <c r="O99" s="255">
        <f t="shared" si="28"/>
        <v>534570.61364426278</v>
      </c>
      <c r="P99" s="247">
        <f t="shared" si="23"/>
        <v>0</v>
      </c>
      <c r="Q99" s="245">
        <f t="shared" si="27"/>
        <v>4.2224999999999999E-2</v>
      </c>
      <c r="R99" s="246">
        <f t="shared" si="20"/>
        <v>4.2224999999999999E-2</v>
      </c>
      <c r="S99" s="247">
        <f t="shared" si="21"/>
        <v>33669.454949999999</v>
      </c>
    </row>
    <row r="100" spans="1:19" x14ac:dyDescent="0.25">
      <c r="A100" s="292" t="s">
        <v>124</v>
      </c>
      <c r="B100" s="289"/>
      <c r="C100" s="284">
        <v>1462712</v>
      </c>
      <c r="D100" s="275">
        <v>0.54742412913754801</v>
      </c>
      <c r="E100" s="247">
        <f t="shared" si="24"/>
        <v>800723.84277904115</v>
      </c>
      <c r="F100" s="255"/>
      <c r="G100" s="279">
        <f t="shared" si="25"/>
        <v>0.54742412913754801</v>
      </c>
      <c r="H100" s="247">
        <f t="shared" si="26"/>
        <v>800723.84277904115</v>
      </c>
      <c r="I100" s="275">
        <v>0.39939999999999998</v>
      </c>
      <c r="J100" s="247">
        <f t="shared" si="22"/>
        <v>584207.17279999994</v>
      </c>
      <c r="K100" s="272">
        <f>IF(Netvolumenmål!AJ101&lt;Netvolumenmål!$AA$134,Netvolumenmål!AJ101-Netvolumenmål!$AA$134,0)</f>
        <v>-0.16292218001855796</v>
      </c>
      <c r="L100" s="264">
        <f>Netvolumenmål!AK101*0.75</f>
        <v>-9.3574354093658774E-2</v>
      </c>
      <c r="M100" s="261">
        <f t="shared" si="18"/>
        <v>0.3058256459063412</v>
      </c>
      <c r="N100" s="247">
        <f t="shared" si="19"/>
        <v>447334.84217495617</v>
      </c>
      <c r="O100" s="255">
        <f t="shared" si="28"/>
        <v>661988.15722095885</v>
      </c>
      <c r="P100" s="247">
        <f t="shared" si="23"/>
        <v>0</v>
      </c>
      <c r="Q100" s="245">
        <f t="shared" si="27"/>
        <v>7.6456411476585301E-2</v>
      </c>
      <c r="R100" s="246">
        <f t="shared" si="20"/>
        <v>0.05</v>
      </c>
      <c r="S100" s="247">
        <f t="shared" si="21"/>
        <v>73135.600000000006</v>
      </c>
    </row>
    <row r="101" spans="1:19" x14ac:dyDescent="0.25">
      <c r="A101" s="292" t="s">
        <v>125</v>
      </c>
      <c r="B101" s="289"/>
      <c r="C101" s="284">
        <v>1216289</v>
      </c>
      <c r="D101" s="275">
        <v>3.9738229729516017E-2</v>
      </c>
      <c r="E101" s="247">
        <f t="shared" si="24"/>
        <v>48333.171699483304</v>
      </c>
      <c r="F101" s="255"/>
      <c r="G101" s="279">
        <f t="shared" si="25"/>
        <v>3.9738229729516017E-2</v>
      </c>
      <c r="H101" s="247">
        <f t="shared" si="26"/>
        <v>48333.171699483304</v>
      </c>
      <c r="I101" s="275">
        <v>0</v>
      </c>
      <c r="J101" s="247">
        <f t="shared" si="22"/>
        <v>0</v>
      </c>
      <c r="K101" s="272">
        <f>IF(Netvolumenmål!AJ102&lt;Netvolumenmål!$AA$134,Netvolumenmål!AJ102-Netvolumenmål!$AA$134,0)</f>
        <v>0</v>
      </c>
      <c r="L101" s="264">
        <f>Netvolumenmål!AK102*0.75</f>
        <v>0</v>
      </c>
      <c r="M101" s="261">
        <f t="shared" si="18"/>
        <v>0</v>
      </c>
      <c r="N101" s="247">
        <f t="shared" si="19"/>
        <v>0</v>
      </c>
      <c r="O101" s="255">
        <f t="shared" si="28"/>
        <v>1167955.8283005166</v>
      </c>
      <c r="P101" s="247">
        <f t="shared" si="23"/>
        <v>0</v>
      </c>
      <c r="Q101" s="245">
        <f t="shared" si="27"/>
        <v>0</v>
      </c>
      <c r="R101" s="246">
        <f t="shared" si="20"/>
        <v>0</v>
      </c>
      <c r="S101" s="247">
        <f t="shared" si="21"/>
        <v>0</v>
      </c>
    </row>
    <row r="102" spans="1:19" x14ac:dyDescent="0.25">
      <c r="A102" s="292" t="s">
        <v>148</v>
      </c>
      <c r="B102" s="289"/>
      <c r="C102" s="284">
        <v>14142835</v>
      </c>
      <c r="D102" s="275">
        <v>0.34598939457465105</v>
      </c>
      <c r="E102" s="247">
        <f t="shared" si="24"/>
        <v>4893270.9192191847</v>
      </c>
      <c r="F102" s="255"/>
      <c r="G102" s="279">
        <f t="shared" si="25"/>
        <v>0.34598939457465105</v>
      </c>
      <c r="H102" s="247">
        <f t="shared" si="26"/>
        <v>4893270.9192191847</v>
      </c>
      <c r="I102" s="275">
        <v>0.18410000000000001</v>
      </c>
      <c r="J102" s="247">
        <f t="shared" si="22"/>
        <v>2603695.9235</v>
      </c>
      <c r="K102" s="272">
        <f>IF(Netvolumenmål!AJ103&lt;Netvolumenmål!$AA$134,Netvolumenmål!AJ103-Netvolumenmål!$AA$134,0)</f>
        <v>0</v>
      </c>
      <c r="L102" s="264">
        <f>Netvolumenmål!AK103*0.75</f>
        <v>0</v>
      </c>
      <c r="M102" s="261">
        <f t="shared" si="18"/>
        <v>0.18410000000000001</v>
      </c>
      <c r="N102" s="247">
        <f t="shared" si="19"/>
        <v>2603695.9235</v>
      </c>
      <c r="O102" s="255">
        <f t="shared" si="28"/>
        <v>9249564.0807808153</v>
      </c>
      <c r="P102" s="247">
        <f t="shared" si="23"/>
        <v>0</v>
      </c>
      <c r="Q102" s="245">
        <f t="shared" si="27"/>
        <v>4.6025000000000003E-2</v>
      </c>
      <c r="R102" s="246">
        <f t="shared" si="20"/>
        <v>4.6025000000000003E-2</v>
      </c>
      <c r="S102" s="247">
        <f t="shared" si="21"/>
        <v>650923.98087500001</v>
      </c>
    </row>
    <row r="103" spans="1:19" x14ac:dyDescent="0.25">
      <c r="A103" s="292" t="s">
        <v>126</v>
      </c>
      <c r="B103" s="289"/>
      <c r="C103" s="284">
        <v>1643246</v>
      </c>
      <c r="D103" s="275">
        <v>0.19429386302247298</v>
      </c>
      <c r="E103" s="247">
        <f t="shared" si="24"/>
        <v>319272.61323622661</v>
      </c>
      <c r="F103" s="255"/>
      <c r="G103" s="279">
        <f t="shared" si="25"/>
        <v>0.19429386302247298</v>
      </c>
      <c r="H103" s="247">
        <f t="shared" si="26"/>
        <v>319272.61323622661</v>
      </c>
      <c r="I103" s="275">
        <v>4.0899999999999999E-2</v>
      </c>
      <c r="J103" s="247">
        <f t="shared" si="22"/>
        <v>67208.761400000003</v>
      </c>
      <c r="K103" s="272">
        <f>IF(Netvolumenmål!AJ104&lt;Netvolumenmål!$AA$134,Netvolumenmål!AJ104-Netvolumenmål!$AA$134,0)</f>
        <v>0</v>
      </c>
      <c r="L103" s="264">
        <f>Netvolumenmål!AK104*0.75</f>
        <v>0</v>
      </c>
      <c r="M103" s="261">
        <f t="shared" si="18"/>
        <v>4.0899999999999999E-2</v>
      </c>
      <c r="N103" s="247">
        <f t="shared" si="19"/>
        <v>67208.761400000003</v>
      </c>
      <c r="O103" s="255">
        <f t="shared" si="28"/>
        <v>1323973.3867637734</v>
      </c>
      <c r="P103" s="247">
        <f t="shared" si="23"/>
        <v>0</v>
      </c>
      <c r="Q103" s="245">
        <f t="shared" si="27"/>
        <v>1.0225E-2</v>
      </c>
      <c r="R103" s="246">
        <f t="shared" si="20"/>
        <v>1.0225E-2</v>
      </c>
      <c r="S103" s="247">
        <f t="shared" si="21"/>
        <v>16802.190350000001</v>
      </c>
    </row>
    <row r="104" spans="1:19" x14ac:dyDescent="0.25">
      <c r="A104" s="293" t="s">
        <v>128</v>
      </c>
      <c r="B104" s="294"/>
      <c r="C104" s="285">
        <v>738133</v>
      </c>
      <c r="D104" s="262">
        <v>0.63890000000000002</v>
      </c>
      <c r="E104" s="250">
        <f t="shared" si="24"/>
        <v>471593.17370000004</v>
      </c>
      <c r="F104" s="258"/>
      <c r="G104" s="273">
        <f t="shared" si="25"/>
        <v>0.63890000000000002</v>
      </c>
      <c r="H104" s="250">
        <f t="shared" si="26"/>
        <v>471593.17370000004</v>
      </c>
      <c r="I104" s="262">
        <v>0.29242420000000002</v>
      </c>
      <c r="J104" s="250">
        <f t="shared" si="22"/>
        <v>215847.95201860002</v>
      </c>
      <c r="K104" s="273">
        <f>IF(Netvolumenmål!AJ105&lt;Netvolumenmål!$AA$134,Netvolumenmål!AJ105-Netvolumenmål!$AA$134,0)</f>
        <v>0</v>
      </c>
      <c r="L104" s="265">
        <f>Netvolumenmål!AK105*0.75</f>
        <v>0</v>
      </c>
      <c r="M104" s="262">
        <f t="shared" si="18"/>
        <v>0.29242420000000002</v>
      </c>
      <c r="N104" s="250">
        <f t="shared" si="19"/>
        <v>215847.95201860002</v>
      </c>
      <c r="O104" s="258"/>
      <c r="P104" s="250">
        <f t="shared" si="23"/>
        <v>0</v>
      </c>
      <c r="Q104" s="248">
        <f t="shared" si="27"/>
        <v>7.3106050000000006E-2</v>
      </c>
      <c r="R104" s="249">
        <f t="shared" si="20"/>
        <v>0.05</v>
      </c>
      <c r="S104" s="250">
        <f t="shared" si="21"/>
        <v>36906.65</v>
      </c>
    </row>
    <row r="105" spans="1:19" x14ac:dyDescent="0.25">
      <c r="A105" s="292" t="s">
        <v>129</v>
      </c>
      <c r="B105" s="289"/>
      <c r="C105" s="284">
        <v>17311917</v>
      </c>
      <c r="D105" s="275">
        <v>0.45657999999999999</v>
      </c>
      <c r="E105" s="247">
        <f t="shared" si="24"/>
        <v>7904275.0638600001</v>
      </c>
      <c r="F105" s="255">
        <v>93294</v>
      </c>
      <c r="G105" s="279">
        <v>0.45311620000000002</v>
      </c>
      <c r="H105" s="247">
        <f t="shared" si="26"/>
        <v>7844310.0457554003</v>
      </c>
      <c r="I105" s="275">
        <v>0.29242420000000002</v>
      </c>
      <c r="J105" s="247">
        <f t="shared" si="22"/>
        <v>5062423.4791914001</v>
      </c>
      <c r="K105" s="272">
        <f>IF(Netvolumenmål!AJ106&lt;Netvolumenmål!$AA$134,Netvolumenmål!AJ106-Netvolumenmål!$AA$134,0)</f>
        <v>0</v>
      </c>
      <c r="L105" s="264">
        <f>Netvolumenmål!AK106*0.75</f>
        <v>0</v>
      </c>
      <c r="M105" s="261">
        <f t="shared" si="18"/>
        <v>0.29242420000000002</v>
      </c>
      <c r="N105" s="247">
        <f t="shared" si="19"/>
        <v>5062423.4791914001</v>
      </c>
      <c r="O105" s="255">
        <f>IF(G105&gt;0,C105-H105,"Over fronten")</f>
        <v>9467606.9542445987</v>
      </c>
      <c r="P105" s="247">
        <f t="shared" si="23"/>
        <v>0</v>
      </c>
      <c r="Q105" s="245">
        <f t="shared" si="27"/>
        <v>7.3106050000000006E-2</v>
      </c>
      <c r="R105" s="246">
        <f t="shared" si="20"/>
        <v>0.05</v>
      </c>
      <c r="S105" s="247">
        <f t="shared" si="21"/>
        <v>865595.85000000009</v>
      </c>
    </row>
    <row r="106" spans="1:19" x14ac:dyDescent="0.25">
      <c r="A106" s="292" t="s">
        <v>130</v>
      </c>
      <c r="B106" s="289"/>
      <c r="C106" s="284">
        <v>1316501</v>
      </c>
      <c r="D106" s="275">
        <v>0.13288920964640205</v>
      </c>
      <c r="E106" s="247">
        <f t="shared" si="24"/>
        <v>174948.77738869796</v>
      </c>
      <c r="F106" s="255"/>
      <c r="G106" s="279">
        <f t="shared" si="25"/>
        <v>0.13288920964640205</v>
      </c>
      <c r="H106" s="247">
        <f t="shared" si="26"/>
        <v>174948.77738869796</v>
      </c>
      <c r="I106" s="275">
        <v>0</v>
      </c>
      <c r="J106" s="247">
        <f t="shared" si="22"/>
        <v>0</v>
      </c>
      <c r="K106" s="272">
        <f>IF(Netvolumenmål!AJ107&lt;Netvolumenmål!$AA$134,Netvolumenmål!AJ107-Netvolumenmål!$AA$134,0)</f>
        <v>0</v>
      </c>
      <c r="L106" s="264">
        <f>Netvolumenmål!AK107*0.75</f>
        <v>0</v>
      </c>
      <c r="M106" s="261">
        <f t="shared" si="18"/>
        <v>0</v>
      </c>
      <c r="N106" s="247">
        <f t="shared" si="19"/>
        <v>0</v>
      </c>
      <c r="O106" s="255">
        <f t="shared" si="28"/>
        <v>1141552.222611302</v>
      </c>
      <c r="P106" s="247">
        <f t="shared" si="23"/>
        <v>0</v>
      </c>
      <c r="Q106" s="245">
        <f t="shared" si="27"/>
        <v>0</v>
      </c>
      <c r="R106" s="246">
        <f t="shared" si="20"/>
        <v>0</v>
      </c>
      <c r="S106" s="247">
        <f t="shared" si="21"/>
        <v>0</v>
      </c>
    </row>
    <row r="107" spans="1:19" x14ac:dyDescent="0.25">
      <c r="A107" s="292" t="s">
        <v>170</v>
      </c>
      <c r="B107" s="289"/>
      <c r="C107" s="284">
        <v>450839</v>
      </c>
      <c r="D107" s="275">
        <v>0</v>
      </c>
      <c r="E107" s="247">
        <f t="shared" si="24"/>
        <v>0</v>
      </c>
      <c r="F107" s="255"/>
      <c r="G107" s="279">
        <f t="shared" si="25"/>
        <v>0</v>
      </c>
      <c r="H107" s="247">
        <f t="shared" si="26"/>
        <v>0</v>
      </c>
      <c r="I107" s="275">
        <v>0</v>
      </c>
      <c r="J107" s="247">
        <f t="shared" si="22"/>
        <v>0</v>
      </c>
      <c r="K107" s="272">
        <f>IF(Netvolumenmål!AJ108&lt;Netvolumenmål!$AA$134,Netvolumenmål!AJ108-Netvolumenmål!$AA$134,0)</f>
        <v>0</v>
      </c>
      <c r="L107" s="264">
        <f>Netvolumenmål!AK108*0.75</f>
        <v>0</v>
      </c>
      <c r="M107" s="261">
        <f t="shared" si="18"/>
        <v>0</v>
      </c>
      <c r="N107" s="247">
        <f t="shared" si="19"/>
        <v>0</v>
      </c>
      <c r="O107" s="256">
        <f>C107*1.212091</f>
        <v>546457.89434900007</v>
      </c>
      <c r="P107" s="257">
        <f t="shared" si="23"/>
        <v>88856.309349000105</v>
      </c>
      <c r="Q107" s="245">
        <f t="shared" si="27"/>
        <v>0</v>
      </c>
      <c r="R107" s="246">
        <f t="shared" si="20"/>
        <v>0</v>
      </c>
      <c r="S107" s="247">
        <f t="shared" si="21"/>
        <v>0</v>
      </c>
    </row>
    <row r="108" spans="1:19" x14ac:dyDescent="0.25">
      <c r="A108" s="293" t="s">
        <v>176</v>
      </c>
      <c r="B108" s="294"/>
      <c r="C108" s="285">
        <v>1283207</v>
      </c>
      <c r="D108" s="262">
        <v>0.28649999999999998</v>
      </c>
      <c r="E108" s="250">
        <f t="shared" si="24"/>
        <v>367638.80549999996</v>
      </c>
      <c r="F108" s="258"/>
      <c r="G108" s="273">
        <f t="shared" si="25"/>
        <v>0.28649999999999998</v>
      </c>
      <c r="H108" s="250">
        <f t="shared" si="26"/>
        <v>367638.80549999996</v>
      </c>
      <c r="I108" s="262">
        <f>G108</f>
        <v>0.28649999999999998</v>
      </c>
      <c r="J108" s="250">
        <f t="shared" si="22"/>
        <v>367638.80549999996</v>
      </c>
      <c r="K108" s="273">
        <f>IF(Netvolumenmål!AJ109&lt;Netvolumenmål!$AA$134,Netvolumenmål!AJ109-Netvolumenmål!$AA$134,0)</f>
        <v>0</v>
      </c>
      <c r="L108" s="265">
        <f>Netvolumenmål!AK109*0.75</f>
        <v>0</v>
      </c>
      <c r="M108" s="262">
        <f t="shared" si="18"/>
        <v>0.28649999999999998</v>
      </c>
      <c r="N108" s="250">
        <f t="shared" si="19"/>
        <v>367638.80549999996</v>
      </c>
      <c r="O108" s="258"/>
      <c r="P108" s="250">
        <f t="shared" si="23"/>
        <v>0</v>
      </c>
      <c r="Q108" s="248">
        <f t="shared" si="27"/>
        <v>7.1624999999999994E-2</v>
      </c>
      <c r="R108" s="249">
        <f t="shared" si="20"/>
        <v>0.05</v>
      </c>
      <c r="S108" s="250">
        <f t="shared" si="21"/>
        <v>64160.350000000006</v>
      </c>
    </row>
    <row r="109" spans="1:19" x14ac:dyDescent="0.25">
      <c r="A109" s="292" t="s">
        <v>171</v>
      </c>
      <c r="B109" s="289"/>
      <c r="C109" s="284">
        <v>1443971</v>
      </c>
      <c r="D109" s="275">
        <v>0.34906263465189202</v>
      </c>
      <c r="E109" s="247">
        <f t="shared" si="24"/>
        <v>504036.32162092719</v>
      </c>
      <c r="F109" s="255"/>
      <c r="G109" s="279">
        <f t="shared" si="25"/>
        <v>0.34906263465189202</v>
      </c>
      <c r="H109" s="247">
        <f t="shared" si="26"/>
        <v>504036.32162092719</v>
      </c>
      <c r="I109" s="275">
        <v>0.20100000000000001</v>
      </c>
      <c r="J109" s="247">
        <f t="shared" si="22"/>
        <v>290238.17100000003</v>
      </c>
      <c r="K109" s="272">
        <f>IF(Netvolumenmål!AJ110&lt;Netvolumenmål!$AA$134,Netvolumenmål!AJ110-Netvolumenmål!$AA$134,0)</f>
        <v>0</v>
      </c>
      <c r="L109" s="264">
        <f>Netvolumenmål!AK110*0.75</f>
        <v>0</v>
      </c>
      <c r="M109" s="261">
        <f t="shared" si="18"/>
        <v>0.20100000000000001</v>
      </c>
      <c r="N109" s="247">
        <f t="shared" si="19"/>
        <v>290238.17100000003</v>
      </c>
      <c r="O109" s="255">
        <f t="shared" si="28"/>
        <v>939934.67837907281</v>
      </c>
      <c r="P109" s="247">
        <f t="shared" si="23"/>
        <v>0</v>
      </c>
      <c r="Q109" s="245">
        <f t="shared" si="27"/>
        <v>5.0250000000000003E-2</v>
      </c>
      <c r="R109" s="246">
        <f t="shared" si="20"/>
        <v>0.05</v>
      </c>
      <c r="S109" s="247">
        <f t="shared" si="21"/>
        <v>72198.55</v>
      </c>
    </row>
    <row r="110" spans="1:19" x14ac:dyDescent="0.25">
      <c r="A110" s="293" t="s">
        <v>149</v>
      </c>
      <c r="B110" s="294"/>
      <c r="C110" s="285">
        <v>1167983</v>
      </c>
      <c r="D110" s="262">
        <v>0.40010000000000001</v>
      </c>
      <c r="E110" s="250">
        <f t="shared" si="24"/>
        <v>467309.99830000004</v>
      </c>
      <c r="F110" s="258"/>
      <c r="G110" s="273">
        <f t="shared" si="25"/>
        <v>0.40010000000000001</v>
      </c>
      <c r="H110" s="250">
        <f t="shared" si="26"/>
        <v>467309.99830000004</v>
      </c>
      <c r="I110" s="262">
        <f>G110</f>
        <v>0.40010000000000001</v>
      </c>
      <c r="J110" s="250">
        <f t="shared" si="22"/>
        <v>467309.99830000004</v>
      </c>
      <c r="K110" s="273">
        <f>IF(Netvolumenmål!AJ111&lt;Netvolumenmål!$AA$134,Netvolumenmål!AJ111-Netvolumenmål!$AA$134,0)</f>
        <v>0</v>
      </c>
      <c r="L110" s="265">
        <f>Netvolumenmål!AK111*0.75</f>
        <v>0</v>
      </c>
      <c r="M110" s="262">
        <f t="shared" si="18"/>
        <v>0.40010000000000001</v>
      </c>
      <c r="N110" s="250">
        <f t="shared" si="19"/>
        <v>467309.99830000004</v>
      </c>
      <c r="O110" s="258"/>
      <c r="P110" s="250">
        <f t="shared" si="23"/>
        <v>0</v>
      </c>
      <c r="Q110" s="248">
        <f t="shared" si="27"/>
        <v>0.100025</v>
      </c>
      <c r="R110" s="249">
        <f t="shared" si="20"/>
        <v>0.05</v>
      </c>
      <c r="S110" s="250">
        <f t="shared" si="21"/>
        <v>58399.15</v>
      </c>
    </row>
    <row r="111" spans="1:19" x14ac:dyDescent="0.25">
      <c r="A111" s="292" t="s">
        <v>132</v>
      </c>
      <c r="B111" s="289"/>
      <c r="C111" s="284">
        <v>4162208</v>
      </c>
      <c r="D111" s="275">
        <v>0.52759772427982199</v>
      </c>
      <c r="E111" s="247">
        <f t="shared" si="24"/>
        <v>2195971.4687792691</v>
      </c>
      <c r="F111" s="255"/>
      <c r="G111" s="279">
        <f t="shared" si="25"/>
        <v>0.52759772427982199</v>
      </c>
      <c r="H111" s="247">
        <f t="shared" si="26"/>
        <v>2195971.4687792691</v>
      </c>
      <c r="I111" s="275">
        <v>0.37440000000000001</v>
      </c>
      <c r="J111" s="247">
        <f t="shared" si="22"/>
        <v>1558330.6751999999</v>
      </c>
      <c r="K111" s="272">
        <f>IF(Netvolumenmål!AJ112&lt;Netvolumenmål!$AA$134,Netvolumenmål!AJ112-Netvolumenmål!$AA$134,0)</f>
        <v>-4.0503261335115712E-2</v>
      </c>
      <c r="L111" s="264">
        <f>Netvolumenmål!AK112*0.75</f>
        <v>-2.326304814782371E-2</v>
      </c>
      <c r="M111" s="261">
        <f t="shared" si="18"/>
        <v>0.3511369518521763</v>
      </c>
      <c r="N111" s="247">
        <f t="shared" si="19"/>
        <v>1461505.030094743</v>
      </c>
      <c r="O111" s="255">
        <f t="shared" si="28"/>
        <v>1966236.5312207309</v>
      </c>
      <c r="P111" s="247">
        <f t="shared" si="23"/>
        <v>0</v>
      </c>
      <c r="Q111" s="245">
        <f t="shared" si="27"/>
        <v>8.7784237963044076E-2</v>
      </c>
      <c r="R111" s="246">
        <f t="shared" si="20"/>
        <v>0.05</v>
      </c>
      <c r="S111" s="247">
        <f t="shared" si="21"/>
        <v>208110.40000000002</v>
      </c>
    </row>
    <row r="112" spans="1:19" x14ac:dyDescent="0.25">
      <c r="A112" s="292" t="s">
        <v>133</v>
      </c>
      <c r="B112" s="289"/>
      <c r="C112" s="284">
        <v>2032696</v>
      </c>
      <c r="D112" s="275">
        <v>0.18171809161261598</v>
      </c>
      <c r="E112" s="247">
        <f t="shared" si="24"/>
        <v>369377.63794859807</v>
      </c>
      <c r="F112" s="255"/>
      <c r="G112" s="279">
        <f t="shared" si="25"/>
        <v>0.18171809161261598</v>
      </c>
      <c r="H112" s="247">
        <f t="shared" si="26"/>
        <v>369377.63794859807</v>
      </c>
      <c r="I112" s="275">
        <v>3.49E-2</v>
      </c>
      <c r="J112" s="247">
        <f t="shared" si="22"/>
        <v>70941.090400000001</v>
      </c>
      <c r="K112" s="272">
        <f>IF(Netvolumenmål!AJ113&lt;Netvolumenmål!$AA$134,Netvolumenmål!AJ113-Netvolumenmål!$AA$134,0)</f>
        <v>0</v>
      </c>
      <c r="L112" s="264">
        <f>Netvolumenmål!AK113*0.75</f>
        <v>0</v>
      </c>
      <c r="M112" s="261">
        <f t="shared" si="18"/>
        <v>3.49E-2</v>
      </c>
      <c r="N112" s="247">
        <f t="shared" si="19"/>
        <v>70941.090400000001</v>
      </c>
      <c r="O112" s="255">
        <f t="shared" si="28"/>
        <v>1663318.362051402</v>
      </c>
      <c r="P112" s="247">
        <f t="shared" si="23"/>
        <v>0</v>
      </c>
      <c r="Q112" s="245">
        <f t="shared" si="27"/>
        <v>8.7250000000000001E-3</v>
      </c>
      <c r="R112" s="246">
        <f t="shared" si="20"/>
        <v>0</v>
      </c>
      <c r="S112" s="247">
        <f t="shared" si="21"/>
        <v>0</v>
      </c>
    </row>
    <row r="113" spans="1:19" x14ac:dyDescent="0.25">
      <c r="A113" s="292" t="s">
        <v>135</v>
      </c>
      <c r="B113" s="289"/>
      <c r="C113" s="284">
        <v>6765631</v>
      </c>
      <c r="D113" s="275">
        <v>0.29341132706370698</v>
      </c>
      <c r="E113" s="247">
        <f t="shared" ref="E113:E126" si="29">C113*D113</f>
        <v>1985112.7701333549</v>
      </c>
      <c r="F113" s="255">
        <v>240015</v>
      </c>
      <c r="G113" s="279">
        <v>0.26925770000000004</v>
      </c>
      <c r="H113" s="247">
        <f t="shared" ref="H113:H126" si="30">G113*C113</f>
        <v>1821698.2421087003</v>
      </c>
      <c r="I113" s="275">
        <v>0.116013854898682</v>
      </c>
      <c r="J113" s="247">
        <f t="shared" ref="J113:J126" si="31">I113*C113</f>
        <v>784906.93313202483</v>
      </c>
      <c r="K113" s="272">
        <f>IF(Netvolumenmål!AJ114&lt;Netvolumenmål!$AA$134,Netvolumenmål!AJ114-Netvolumenmål!$AA$134,0)</f>
        <v>0</v>
      </c>
      <c r="L113" s="264">
        <f>Netvolumenmål!AK114*0.75</f>
        <v>0</v>
      </c>
      <c r="M113" s="261">
        <f t="shared" si="18"/>
        <v>0.116013854898682</v>
      </c>
      <c r="N113" s="247">
        <f t="shared" si="19"/>
        <v>784906.93313202483</v>
      </c>
      <c r="O113" s="255">
        <f t="shared" ref="O113:O126" si="32">IF(G113&gt;0,C113-H113,"Over fronten")</f>
        <v>4943932.7578912992</v>
      </c>
      <c r="P113" s="247">
        <f t="shared" ref="P113:P126" si="33">IF(O113&gt;C113*1.015,O113-C113*1.015,0)</f>
        <v>0</v>
      </c>
      <c r="Q113" s="245">
        <f t="shared" ref="Q113:Q126" si="34">M113/4</f>
        <v>2.9003463724670501E-2</v>
      </c>
      <c r="R113" s="246">
        <f t="shared" si="20"/>
        <v>2.9003463724670501E-2</v>
      </c>
      <c r="S113" s="247">
        <f t="shared" si="21"/>
        <v>196226.73328300621</v>
      </c>
    </row>
    <row r="114" spans="1:19" x14ac:dyDescent="0.25">
      <c r="A114" s="292" t="s">
        <v>136</v>
      </c>
      <c r="B114" s="289"/>
      <c r="C114" s="284">
        <v>53361193</v>
      </c>
      <c r="D114" s="275">
        <v>0.17395482236293802</v>
      </c>
      <c r="E114" s="247">
        <f t="shared" si="29"/>
        <v>9282436.8493894525</v>
      </c>
      <c r="F114" s="255"/>
      <c r="G114" s="279">
        <f t="shared" ref="G114:G126" si="35">IF(F114=0,D114,"SF")</f>
        <v>0.17395482236293802</v>
      </c>
      <c r="H114" s="247">
        <f t="shared" si="30"/>
        <v>9282436.8493894525</v>
      </c>
      <c r="I114" s="275">
        <v>2.5899999999999999E-2</v>
      </c>
      <c r="J114" s="247">
        <f t="shared" si="31"/>
        <v>1382054.8987</v>
      </c>
      <c r="K114" s="272">
        <f>IF(Netvolumenmål!AJ115&lt;Netvolumenmål!$AA$134,Netvolumenmål!AJ115-Netvolumenmål!$AA$134,0)</f>
        <v>0</v>
      </c>
      <c r="L114" s="264">
        <f>Netvolumenmål!AK115*0.75</f>
        <v>0</v>
      </c>
      <c r="M114" s="261">
        <f t="shared" si="18"/>
        <v>2.5899999999999999E-2</v>
      </c>
      <c r="N114" s="247">
        <f t="shared" si="19"/>
        <v>1382054.8987</v>
      </c>
      <c r="O114" s="255">
        <f t="shared" si="32"/>
        <v>44078756.150610551</v>
      </c>
      <c r="P114" s="247">
        <f t="shared" si="33"/>
        <v>0</v>
      </c>
      <c r="Q114" s="245">
        <f t="shared" si="34"/>
        <v>6.4749999999999999E-3</v>
      </c>
      <c r="R114" s="246">
        <f t="shared" si="20"/>
        <v>0</v>
      </c>
      <c r="S114" s="247">
        <f t="shared" si="21"/>
        <v>0</v>
      </c>
    </row>
    <row r="115" spans="1:19" x14ac:dyDescent="0.25">
      <c r="A115" s="292" t="s">
        <v>137</v>
      </c>
      <c r="B115" s="289"/>
      <c r="C115" s="284">
        <v>648439</v>
      </c>
      <c r="D115" s="275">
        <v>0.30731869940294398</v>
      </c>
      <c r="E115" s="247">
        <f t="shared" si="29"/>
        <v>199277.4301221456</v>
      </c>
      <c r="F115" s="255"/>
      <c r="G115" s="279">
        <f t="shared" si="35"/>
        <v>0.30731869940294398</v>
      </c>
      <c r="H115" s="247">
        <f t="shared" si="30"/>
        <v>199277.4301221456</v>
      </c>
      <c r="I115" s="275">
        <v>0.14660000000000001</v>
      </c>
      <c r="J115" s="247">
        <f t="shared" si="31"/>
        <v>95061.157400000011</v>
      </c>
      <c r="K115" s="272">
        <f>IF(Netvolumenmål!AJ116&lt;Netvolumenmål!$AA$134,Netvolumenmål!AJ116-Netvolumenmål!$AA$134,0)</f>
        <v>0</v>
      </c>
      <c r="L115" s="264">
        <f>Netvolumenmål!AK116*0.75</f>
        <v>0</v>
      </c>
      <c r="M115" s="261">
        <f t="shared" si="18"/>
        <v>0.14660000000000001</v>
      </c>
      <c r="N115" s="247">
        <f t="shared" si="19"/>
        <v>95061.157400000011</v>
      </c>
      <c r="O115" s="255">
        <f t="shared" si="32"/>
        <v>449161.56987785443</v>
      </c>
      <c r="P115" s="247">
        <f t="shared" si="33"/>
        <v>0</v>
      </c>
      <c r="Q115" s="245">
        <f t="shared" si="34"/>
        <v>3.6650000000000002E-2</v>
      </c>
      <c r="R115" s="246">
        <f t="shared" si="20"/>
        <v>3.6650000000000002E-2</v>
      </c>
      <c r="S115" s="247">
        <f t="shared" si="21"/>
        <v>23765.289350000003</v>
      </c>
    </row>
    <row r="116" spans="1:19" x14ac:dyDescent="0.25">
      <c r="A116" s="292" t="s">
        <v>138</v>
      </c>
      <c r="B116" s="289"/>
      <c r="C116" s="284">
        <v>1349229</v>
      </c>
      <c r="D116" s="275">
        <v>0.25400579666115797</v>
      </c>
      <c r="E116" s="247">
        <f t="shared" si="29"/>
        <v>342711.98702333751</v>
      </c>
      <c r="F116" s="255"/>
      <c r="G116" s="279">
        <f t="shared" si="35"/>
        <v>0.25400579666115797</v>
      </c>
      <c r="H116" s="247">
        <f t="shared" si="30"/>
        <v>342711.98702333751</v>
      </c>
      <c r="I116" s="275">
        <v>9.3299999999999994E-2</v>
      </c>
      <c r="J116" s="247">
        <f t="shared" si="31"/>
        <v>125883.06569999999</v>
      </c>
      <c r="K116" s="272">
        <f>IF(Netvolumenmål!AJ117&lt;Netvolumenmål!$AA$134,Netvolumenmål!AJ117-Netvolumenmål!$AA$134,0)</f>
        <v>0</v>
      </c>
      <c r="L116" s="264">
        <f>Netvolumenmål!AK117*0.75</f>
        <v>0</v>
      </c>
      <c r="M116" s="261">
        <f t="shared" si="18"/>
        <v>9.3299999999999994E-2</v>
      </c>
      <c r="N116" s="247">
        <f t="shared" si="19"/>
        <v>125883.06569999999</v>
      </c>
      <c r="O116" s="255">
        <f t="shared" si="32"/>
        <v>1006517.0129766625</v>
      </c>
      <c r="P116" s="247">
        <f t="shared" si="33"/>
        <v>0</v>
      </c>
      <c r="Q116" s="245">
        <f t="shared" si="34"/>
        <v>2.3324999999999999E-2</v>
      </c>
      <c r="R116" s="246">
        <f t="shared" si="20"/>
        <v>2.3324999999999999E-2</v>
      </c>
      <c r="S116" s="247">
        <f t="shared" si="21"/>
        <v>31470.766424999998</v>
      </c>
    </row>
    <row r="117" spans="1:19" x14ac:dyDescent="0.25">
      <c r="A117" s="292" t="s">
        <v>139</v>
      </c>
      <c r="B117" s="289"/>
      <c r="C117" s="284">
        <v>4299014</v>
      </c>
      <c r="D117" s="275">
        <v>0.92771690324683442</v>
      </c>
      <c r="E117" s="247">
        <f t="shared" si="29"/>
        <v>3988267.9550947868</v>
      </c>
      <c r="F117" s="255">
        <v>710512.02554480254</v>
      </c>
      <c r="G117" s="279">
        <v>0.82148460000000001</v>
      </c>
      <c r="H117" s="247">
        <f t="shared" si="30"/>
        <v>3531573.7961844001</v>
      </c>
      <c r="I117" s="275">
        <v>0.66079270000000001</v>
      </c>
      <c r="J117" s="247">
        <f t="shared" si="31"/>
        <v>2840757.0683978</v>
      </c>
      <c r="K117" s="272">
        <f>IF(Netvolumenmål!AJ118&lt;Netvolumenmål!$AA$134,Netvolumenmål!AJ118-Netvolumenmål!$AA$134,0)</f>
        <v>0</v>
      </c>
      <c r="L117" s="264">
        <f>Netvolumenmål!AK118*0.75</f>
        <v>0</v>
      </c>
      <c r="M117" s="261">
        <f t="shared" si="18"/>
        <v>0.66079270000000001</v>
      </c>
      <c r="N117" s="247">
        <f t="shared" si="19"/>
        <v>2840757.0683978</v>
      </c>
      <c r="O117" s="255">
        <f t="shared" si="32"/>
        <v>767440.2038155999</v>
      </c>
      <c r="P117" s="247">
        <f t="shared" si="33"/>
        <v>0</v>
      </c>
      <c r="Q117" s="245">
        <f t="shared" si="34"/>
        <v>0.165198175</v>
      </c>
      <c r="R117" s="246">
        <f t="shared" si="20"/>
        <v>0.05</v>
      </c>
      <c r="S117" s="247">
        <f t="shared" si="21"/>
        <v>214950.7</v>
      </c>
    </row>
    <row r="118" spans="1:19" x14ac:dyDescent="0.25">
      <c r="A118" s="292" t="s">
        <v>140</v>
      </c>
      <c r="B118" s="289"/>
      <c r="C118" s="284">
        <v>2289306</v>
      </c>
      <c r="D118" s="275">
        <v>0.52389396825101398</v>
      </c>
      <c r="E118" s="247">
        <f t="shared" si="29"/>
        <v>1199353.6048808559</v>
      </c>
      <c r="F118" s="255"/>
      <c r="G118" s="279">
        <f t="shared" si="35"/>
        <v>0.52389396825101398</v>
      </c>
      <c r="H118" s="247">
        <f t="shared" si="30"/>
        <v>1199353.6048808559</v>
      </c>
      <c r="I118" s="275">
        <v>0.37590000000000001</v>
      </c>
      <c r="J118" s="247">
        <f t="shared" si="31"/>
        <v>860550.12540000002</v>
      </c>
      <c r="K118" s="272">
        <f>IF(Netvolumenmål!AJ119&lt;Netvolumenmål!$AA$134,Netvolumenmål!AJ119-Netvolumenmål!$AA$134,0)</f>
        <v>0</v>
      </c>
      <c r="L118" s="264">
        <f>Netvolumenmål!AK119*0.75</f>
        <v>0</v>
      </c>
      <c r="M118" s="261">
        <f t="shared" si="18"/>
        <v>0.37590000000000001</v>
      </c>
      <c r="N118" s="247">
        <f t="shared" si="19"/>
        <v>860550.12540000002</v>
      </c>
      <c r="O118" s="255">
        <f t="shared" si="32"/>
        <v>1089952.3951191441</v>
      </c>
      <c r="P118" s="247">
        <f t="shared" si="33"/>
        <v>0</v>
      </c>
      <c r="Q118" s="245">
        <f t="shared" si="34"/>
        <v>9.3975000000000003E-2</v>
      </c>
      <c r="R118" s="246">
        <f t="shared" si="20"/>
        <v>0.05</v>
      </c>
      <c r="S118" s="247">
        <f t="shared" si="21"/>
        <v>114465.3</v>
      </c>
    </row>
    <row r="119" spans="1:19" x14ac:dyDescent="0.25">
      <c r="A119" s="292" t="s">
        <v>141</v>
      </c>
      <c r="B119" s="289"/>
      <c r="C119" s="284">
        <v>7824756</v>
      </c>
      <c r="D119" s="275">
        <v>0.26129879552097601</v>
      </c>
      <c r="E119" s="247">
        <f t="shared" si="29"/>
        <v>2044599.3180455302</v>
      </c>
      <c r="F119" s="255"/>
      <c r="G119" s="279">
        <f t="shared" si="35"/>
        <v>0.26129879552097601</v>
      </c>
      <c r="H119" s="247">
        <f t="shared" si="30"/>
        <v>2044599.3180455302</v>
      </c>
      <c r="I119" s="275">
        <v>0.10059999999999999</v>
      </c>
      <c r="J119" s="247">
        <f t="shared" si="31"/>
        <v>787170.45360000001</v>
      </c>
      <c r="K119" s="272">
        <f>IF(Netvolumenmål!AJ120&lt;Netvolumenmål!$AA$134,Netvolumenmål!AJ120-Netvolumenmål!$AA$134,0)</f>
        <v>0</v>
      </c>
      <c r="L119" s="264">
        <f>Netvolumenmål!AK120*0.75</f>
        <v>0</v>
      </c>
      <c r="M119" s="261">
        <f t="shared" si="18"/>
        <v>0.10059999999999999</v>
      </c>
      <c r="N119" s="247">
        <f t="shared" si="19"/>
        <v>787170.45360000001</v>
      </c>
      <c r="O119" s="255">
        <f t="shared" si="32"/>
        <v>5780156.6819544695</v>
      </c>
      <c r="P119" s="247">
        <f t="shared" si="33"/>
        <v>0</v>
      </c>
      <c r="Q119" s="245">
        <f t="shared" si="34"/>
        <v>2.5149999999999999E-2</v>
      </c>
      <c r="R119" s="246">
        <f t="shared" si="20"/>
        <v>2.5149999999999999E-2</v>
      </c>
      <c r="S119" s="247">
        <f t="shared" si="21"/>
        <v>196792.6134</v>
      </c>
    </row>
    <row r="120" spans="1:19" x14ac:dyDescent="0.25">
      <c r="A120" s="292" t="s">
        <v>150</v>
      </c>
      <c r="B120" s="289"/>
      <c r="C120" s="284">
        <v>11491058</v>
      </c>
      <c r="D120" s="275">
        <v>0.13103171178841799</v>
      </c>
      <c r="E120" s="247">
        <f t="shared" si="29"/>
        <v>1505692.9999999949</v>
      </c>
      <c r="F120" s="255"/>
      <c r="G120" s="279">
        <f t="shared" si="35"/>
        <v>0.13103171178841799</v>
      </c>
      <c r="H120" s="247">
        <f t="shared" si="30"/>
        <v>1505692.9999999949</v>
      </c>
      <c r="I120" s="275">
        <v>0</v>
      </c>
      <c r="J120" s="247">
        <f t="shared" si="31"/>
        <v>0</v>
      </c>
      <c r="K120" s="272">
        <f>IF(Netvolumenmål!AJ121&lt;Netvolumenmål!$AA$134,Netvolumenmål!AJ121-Netvolumenmål!$AA$134,0)</f>
        <v>0</v>
      </c>
      <c r="L120" s="264">
        <f>Netvolumenmål!AK121*0.75</f>
        <v>0</v>
      </c>
      <c r="M120" s="261">
        <f t="shared" si="18"/>
        <v>0</v>
      </c>
      <c r="N120" s="247">
        <f t="shared" si="19"/>
        <v>0</v>
      </c>
      <c r="O120" s="255">
        <f t="shared" si="32"/>
        <v>9985365.0000000056</v>
      </c>
      <c r="P120" s="247">
        <f t="shared" si="33"/>
        <v>0</v>
      </c>
      <c r="Q120" s="245">
        <f t="shared" si="34"/>
        <v>0</v>
      </c>
      <c r="R120" s="246">
        <f t="shared" si="20"/>
        <v>0</v>
      </c>
      <c r="S120" s="247">
        <f t="shared" si="21"/>
        <v>0</v>
      </c>
    </row>
    <row r="121" spans="1:19" x14ac:dyDescent="0.25">
      <c r="A121" s="292" t="s">
        <v>142</v>
      </c>
      <c r="B121" s="289"/>
      <c r="C121" s="284">
        <v>14808642</v>
      </c>
      <c r="D121" s="275">
        <v>4.2796749558099978E-2</v>
      </c>
      <c r="E121" s="247">
        <f t="shared" si="29"/>
        <v>633761.74296956079</v>
      </c>
      <c r="F121" s="255">
        <v>14585</v>
      </c>
      <c r="G121" s="279">
        <f>1-0.9578363</f>
        <v>4.2163700000000026E-2</v>
      </c>
      <c r="H121" s="247">
        <f t="shared" si="30"/>
        <v>624387.13869540044</v>
      </c>
      <c r="I121" s="275">
        <v>0</v>
      </c>
      <c r="J121" s="247">
        <f t="shared" si="31"/>
        <v>0</v>
      </c>
      <c r="K121" s="272">
        <f>IF(Netvolumenmål!AJ122&lt;Netvolumenmål!$AA$134,Netvolumenmål!AJ122-Netvolumenmål!$AA$134,0)</f>
        <v>0</v>
      </c>
      <c r="L121" s="264">
        <f>Netvolumenmål!AK122*0.75</f>
        <v>0</v>
      </c>
      <c r="M121" s="261">
        <f t="shared" si="18"/>
        <v>0</v>
      </c>
      <c r="N121" s="247">
        <f t="shared" si="19"/>
        <v>0</v>
      </c>
      <c r="O121" s="255">
        <f>IF(G121&gt;0,C121-H121,"Over fronten")</f>
        <v>14184254.8613046</v>
      </c>
      <c r="P121" s="247">
        <f t="shared" si="33"/>
        <v>0</v>
      </c>
      <c r="Q121" s="245">
        <f t="shared" si="34"/>
        <v>0</v>
      </c>
      <c r="R121" s="246">
        <f t="shared" si="20"/>
        <v>0</v>
      </c>
      <c r="S121" s="247">
        <f t="shared" si="21"/>
        <v>0</v>
      </c>
    </row>
    <row r="122" spans="1:19" x14ac:dyDescent="0.25">
      <c r="A122" s="292" t="s">
        <v>151</v>
      </c>
      <c r="B122" s="289"/>
      <c r="C122" s="284">
        <v>2244892</v>
      </c>
      <c r="D122" s="275">
        <v>0.229845646242954</v>
      </c>
      <c r="E122" s="247">
        <f t="shared" si="29"/>
        <v>515978.65248563752</v>
      </c>
      <c r="F122" s="255">
        <v>135834</v>
      </c>
      <c r="G122" s="279">
        <f>1-0.809047</f>
        <v>0.19095300000000004</v>
      </c>
      <c r="H122" s="247">
        <f t="shared" si="30"/>
        <v>428668.86207600008</v>
      </c>
      <c r="I122" s="275">
        <f>1-0.969739</f>
        <v>3.0260999999999982E-2</v>
      </c>
      <c r="J122" s="247">
        <f t="shared" si="31"/>
        <v>67932.676811999962</v>
      </c>
      <c r="K122" s="272">
        <f>IF(Netvolumenmål!AJ123&lt;Netvolumenmål!$AA$134,Netvolumenmål!AJ123-Netvolumenmål!$AA$134,0)</f>
        <v>0</v>
      </c>
      <c r="L122" s="264">
        <f>Netvolumenmål!AK123*0.75</f>
        <v>0</v>
      </c>
      <c r="M122" s="261">
        <f t="shared" si="18"/>
        <v>3.0260999999999982E-2</v>
      </c>
      <c r="N122" s="247">
        <f t="shared" si="19"/>
        <v>67932.676811999962</v>
      </c>
      <c r="O122" s="255">
        <f t="shared" si="32"/>
        <v>1816223.1379239999</v>
      </c>
      <c r="P122" s="247">
        <f t="shared" si="33"/>
        <v>0</v>
      </c>
      <c r="Q122" s="245">
        <f t="shared" si="34"/>
        <v>7.5652499999999956E-3</v>
      </c>
      <c r="R122" s="246">
        <f t="shared" si="20"/>
        <v>0</v>
      </c>
      <c r="S122" s="247">
        <f t="shared" si="21"/>
        <v>0</v>
      </c>
    </row>
    <row r="123" spans="1:19" x14ac:dyDescent="0.25">
      <c r="A123" s="291" t="s">
        <v>143</v>
      </c>
      <c r="B123" s="289"/>
      <c r="C123" s="284">
        <v>1290624</v>
      </c>
      <c r="D123" s="275">
        <v>0.327196221976915</v>
      </c>
      <c r="E123" s="247">
        <f t="shared" si="29"/>
        <v>422287.29679273395</v>
      </c>
      <c r="F123" s="255"/>
      <c r="G123" s="279">
        <f t="shared" si="35"/>
        <v>0.327196221976915</v>
      </c>
      <c r="H123" s="247">
        <f t="shared" si="30"/>
        <v>422287.29679273395</v>
      </c>
      <c r="I123" s="275">
        <v>0.18410000000000001</v>
      </c>
      <c r="J123" s="247">
        <f t="shared" si="31"/>
        <v>237603.87840000002</v>
      </c>
      <c r="K123" s="272">
        <f>IF(Netvolumenmål!AJ124&lt;Netvolumenmål!$AA$134,Netvolumenmål!AJ124-Netvolumenmål!$AA$134,0)</f>
        <v>0</v>
      </c>
      <c r="L123" s="264">
        <f>Netvolumenmål!AK124*0.75</f>
        <v>0</v>
      </c>
      <c r="M123" s="261">
        <f t="shared" si="18"/>
        <v>0.18410000000000001</v>
      </c>
      <c r="N123" s="247">
        <f t="shared" si="19"/>
        <v>237603.87840000002</v>
      </c>
      <c r="O123" s="255">
        <f t="shared" si="32"/>
        <v>868336.70320726605</v>
      </c>
      <c r="P123" s="247">
        <f t="shared" si="33"/>
        <v>0</v>
      </c>
      <c r="Q123" s="245">
        <f t="shared" si="34"/>
        <v>4.6025000000000003E-2</v>
      </c>
      <c r="R123" s="246">
        <f t="shared" si="20"/>
        <v>4.6025000000000003E-2</v>
      </c>
      <c r="S123" s="247">
        <f t="shared" si="21"/>
        <v>59400.969600000004</v>
      </c>
    </row>
    <row r="124" spans="1:19" x14ac:dyDescent="0.25">
      <c r="A124" s="294" t="s">
        <v>177</v>
      </c>
      <c r="B124" s="294"/>
      <c r="C124" s="285">
        <v>624561</v>
      </c>
      <c r="D124" s="262">
        <v>0.80179999999999996</v>
      </c>
      <c r="E124" s="250">
        <f t="shared" si="29"/>
        <v>500773.0098</v>
      </c>
      <c r="F124" s="258"/>
      <c r="G124" s="273">
        <f t="shared" si="35"/>
        <v>0.80179999999999996</v>
      </c>
      <c r="H124" s="250">
        <f t="shared" si="30"/>
        <v>500773.0098</v>
      </c>
      <c r="I124" s="262">
        <f>G124</f>
        <v>0.80179999999999996</v>
      </c>
      <c r="J124" s="250">
        <f t="shared" si="31"/>
        <v>500773.0098</v>
      </c>
      <c r="K124" s="273">
        <f>IF(Netvolumenmål!AJ125&lt;Netvolumenmål!$AA$134,Netvolumenmål!AJ125-Netvolumenmål!$AA$134,0)</f>
        <v>0</v>
      </c>
      <c r="L124" s="265">
        <f>Netvolumenmål!AK125*0.75</f>
        <v>0</v>
      </c>
      <c r="M124" s="262">
        <f t="shared" si="18"/>
        <v>0.80179999999999996</v>
      </c>
      <c r="N124" s="250">
        <f t="shared" si="19"/>
        <v>500773.0098</v>
      </c>
      <c r="O124" s="258"/>
      <c r="P124" s="250">
        <f t="shared" si="33"/>
        <v>0</v>
      </c>
      <c r="Q124" s="248">
        <f t="shared" si="34"/>
        <v>0.20044999999999999</v>
      </c>
      <c r="R124" s="249">
        <f t="shared" si="20"/>
        <v>0.05</v>
      </c>
      <c r="S124" s="250">
        <f t="shared" si="21"/>
        <v>31228.050000000003</v>
      </c>
    </row>
    <row r="125" spans="1:19" x14ac:dyDescent="0.25">
      <c r="A125" s="291" t="s">
        <v>144</v>
      </c>
      <c r="B125" s="289"/>
      <c r="C125" s="284">
        <v>1692514</v>
      </c>
      <c r="D125" s="275">
        <v>0.22917884158220303</v>
      </c>
      <c r="E125" s="247">
        <f t="shared" si="29"/>
        <v>387888.39788166079</v>
      </c>
      <c r="F125" s="255"/>
      <c r="G125" s="279">
        <f t="shared" si="35"/>
        <v>0.22917884158220303</v>
      </c>
      <c r="H125" s="247">
        <f t="shared" si="30"/>
        <v>387888.39788166079</v>
      </c>
      <c r="I125" s="275">
        <v>6.8500000000000005E-2</v>
      </c>
      <c r="J125" s="247">
        <f t="shared" si="31"/>
        <v>115937.209</v>
      </c>
      <c r="K125" s="272">
        <f>IF(Netvolumenmål!AJ126&lt;Netvolumenmål!$AA$134,Netvolumenmål!AJ126-Netvolumenmål!$AA$134,0)</f>
        <v>0</v>
      </c>
      <c r="L125" s="264">
        <f>Netvolumenmål!AK126*0.75</f>
        <v>0</v>
      </c>
      <c r="M125" s="261">
        <f t="shared" si="18"/>
        <v>6.8500000000000005E-2</v>
      </c>
      <c r="N125" s="247">
        <f t="shared" si="19"/>
        <v>115937.209</v>
      </c>
      <c r="O125" s="255">
        <f t="shared" si="32"/>
        <v>1304625.6021183392</v>
      </c>
      <c r="P125" s="247">
        <f t="shared" si="33"/>
        <v>0</v>
      </c>
      <c r="Q125" s="245">
        <f t="shared" si="34"/>
        <v>1.7125000000000001E-2</v>
      </c>
      <c r="R125" s="246">
        <f t="shared" si="20"/>
        <v>1.7125000000000001E-2</v>
      </c>
      <c r="S125" s="247">
        <f t="shared" si="21"/>
        <v>28984.302250000001</v>
      </c>
    </row>
    <row r="126" spans="1:19" ht="15.75" thickBot="1" x14ac:dyDescent="0.3">
      <c r="A126" s="295" t="s">
        <v>145</v>
      </c>
      <c r="B126" s="290"/>
      <c r="C126" s="288">
        <v>265589</v>
      </c>
      <c r="D126" s="278">
        <v>7.8458984480304972E-2</v>
      </c>
      <c r="E126" s="254">
        <f t="shared" si="29"/>
        <v>20837.843229139718</v>
      </c>
      <c r="F126" s="260"/>
      <c r="G126" s="283">
        <f t="shared" si="35"/>
        <v>7.8458984480304972E-2</v>
      </c>
      <c r="H126" s="254">
        <f t="shared" si="30"/>
        <v>20837.843229139718</v>
      </c>
      <c r="I126" s="278">
        <v>0</v>
      </c>
      <c r="J126" s="254">
        <f t="shared" si="31"/>
        <v>0</v>
      </c>
      <c r="K126" s="274">
        <f>IF(Netvolumenmål!AJ127&lt;Netvolumenmål!$AA$134,Netvolumenmål!AJ127-Netvolumenmål!$AA$134,0)</f>
        <v>0</v>
      </c>
      <c r="L126" s="266">
        <f>Netvolumenmål!AK127*0.75</f>
        <v>0</v>
      </c>
      <c r="M126" s="263">
        <f t="shared" si="18"/>
        <v>0</v>
      </c>
      <c r="N126" s="254">
        <f t="shared" si="19"/>
        <v>0</v>
      </c>
      <c r="O126" s="260">
        <f t="shared" si="32"/>
        <v>244751.15677086028</v>
      </c>
      <c r="P126" s="254">
        <f t="shared" si="33"/>
        <v>0</v>
      </c>
      <c r="Q126" s="252">
        <f t="shared" si="34"/>
        <v>0</v>
      </c>
      <c r="R126" s="253">
        <f t="shared" si="20"/>
        <v>0</v>
      </c>
      <c r="S126" s="254">
        <f t="shared" si="21"/>
        <v>0</v>
      </c>
    </row>
    <row r="128" spans="1:19" x14ac:dyDescent="0.25">
      <c r="A128" s="54" t="s">
        <v>204</v>
      </c>
    </row>
  </sheetData>
  <customSheetViews>
    <customSheetView guid="{FBBE7246-40DD-42AB-86B1-0191774D1FB8}">
      <pane xSplit="1" ySplit="2" topLeftCell="B3" activePane="bottomRight" state="frozen"/>
      <selection pane="bottomRight" activeCell="C1" sqref="C1:C1048576"/>
      <pageMargins left="0.7" right="0.7" top="0.75" bottom="0.75" header="0.3" footer="0.3"/>
      <pageSetup paperSize="9" orientation="portrait" r:id="rId1"/>
    </customSheetView>
    <customSheetView guid="{63D1720F-4071-49FA-85F9-136B4284D4AA}">
      <pane xSplit="1" ySplit="2" topLeftCell="B7" activePane="bottomRight" state="frozen"/>
      <selection pane="bottomRight" activeCell="G11" sqref="G11"/>
      <pageMargins left="0.7" right="0.7" top="0.75" bottom="0.75" header="0.3" footer="0.3"/>
      <pageSetup paperSize="9" orientation="portrait" r:id="rId2"/>
    </customSheetView>
    <customSheetView guid="{91CAE626-C22B-43EE-8559-3D995B6A9B34}">
      <pane xSplit="1" ySplit="2" topLeftCell="B3" activePane="bottomRight" state="frozen"/>
      <selection pane="bottomRight" activeCell="F6" sqref="F6"/>
      <pageMargins left="0.7" right="0.7" top="0.75" bottom="0.75" header="0.3" footer="0.3"/>
      <pageSetup paperSize="9" orientation="portrait" r:id="rId3"/>
    </customSheetView>
    <customSheetView guid="{937D496E-72A5-40F1-952C-5E35A20ED697}">
      <pane xSplit="1" ySplit="2" topLeftCell="B3" activePane="bottomRight" state="frozen"/>
      <selection pane="bottomRight" activeCell="H12" sqref="H12"/>
      <pageMargins left="0.7" right="0.7" top="0.75" bottom="0.75" header="0.3" footer="0.3"/>
      <pageSetup paperSize="9" orientation="portrait" r:id="rId4"/>
    </customSheetView>
    <customSheetView guid="{68BED3F3-B66D-4BDF-B289-CEB7B90BD70C}" scale="85">
      <pane xSplit="1" ySplit="2" topLeftCell="E213" activePane="bottomRight" state="frozen"/>
      <selection pane="bottomRight" activeCell="N216" sqref="N216"/>
      <pageMargins left="0.7" right="0.7" top="0.75" bottom="0.75" header="0.3" footer="0.3"/>
      <pageSetup paperSize="9" orientation="portrait" r:id="rId5"/>
    </customSheetView>
    <customSheetView guid="{66AAE60A-A1F0-42D3-9B00-B3E131221C26}">
      <pane xSplit="1" ySplit="2" topLeftCell="B44" activePane="bottomRight" state="frozen"/>
      <selection pane="bottomRight" activeCell="F45" sqref="F45"/>
      <pageMargins left="0.7" right="0.7" top="0.75" bottom="0.75" header="0.3" footer="0.3"/>
      <pageSetup paperSize="9" orientation="portrait" r:id="rId6"/>
    </customSheetView>
    <customSheetView guid="{4DF14E47-3879-4E88-BE38-529244598D27}" scale="85">
      <pane xSplit="1" ySplit="2" topLeftCell="C210" activePane="bottomRight" state="frozen"/>
      <selection pane="bottomRight" activeCell="P35" sqref="P35"/>
      <pageMargins left="0.7" right="0.7" top="0.75" bottom="0.75" header="0.3" footer="0.3"/>
      <pageSetup paperSize="9" orientation="portrait" r:id="rId7"/>
    </customSheetView>
    <customSheetView guid="{BB5CC8CF-3004-46A6-928F-22EA17328835}">
      <pane xSplit="1" ySplit="2" topLeftCell="B175" activePane="bottomRight" state="frozen"/>
      <selection pane="bottomRight" activeCell="C196" sqref="C196"/>
      <pageMargins left="0.7" right="0.7" top="0.75" bottom="0.75" header="0.3" footer="0.3"/>
      <pageSetup paperSize="9" orientation="portrait" r:id="rId8"/>
    </customSheetView>
    <customSheetView guid="{FEEC711D-7441-45C2-BE37-0D81F72CC105}">
      <pane xSplit="1" ySplit="2" topLeftCell="B122" activePane="bottomRight" state="frozen"/>
      <selection pane="bottomRight" activeCell="L59" sqref="L59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1"/>
  <sheetViews>
    <sheetView tabSelected="1" zoomScale="85" zoomScaleNormal="100" workbookViewId="0">
      <pane xSplit="1" ySplit="2" topLeftCell="F38" activePane="bottomRight" state="frozen"/>
      <selection pane="topRight" activeCell="B1" sqref="B1"/>
      <selection pane="bottomLeft" activeCell="A3" sqref="A3"/>
      <selection pane="bottomRight" activeCell="S39" sqref="S39"/>
    </sheetView>
  </sheetViews>
  <sheetFormatPr defaultRowHeight="15" x14ac:dyDescent="0.25"/>
  <cols>
    <col min="1" max="1" width="32.85546875" style="52" customWidth="1"/>
    <col min="2" max="2" width="10.28515625" customWidth="1"/>
    <col min="3" max="3" width="10.85546875" customWidth="1"/>
    <col min="4" max="4" width="9.28515625" customWidth="1"/>
    <col min="5" max="5" width="10.7109375" customWidth="1"/>
    <col min="6" max="6" width="10.28515625" customWidth="1"/>
    <col min="7" max="7" width="9.28515625" customWidth="1"/>
    <col min="8" max="8" width="9.5703125" customWidth="1"/>
    <col min="9" max="9" width="9.140625" customWidth="1"/>
    <col min="10" max="11" width="16.5703125" style="45" customWidth="1"/>
    <col min="12" max="15" width="17.85546875" style="45" customWidth="1"/>
    <col min="16" max="16" width="16.140625" style="45" customWidth="1"/>
    <col min="17" max="17" width="16.28515625" style="45" customWidth="1"/>
    <col min="18" max="18" width="20.42578125" style="45" customWidth="1"/>
    <col min="19" max="19" width="12.42578125" customWidth="1"/>
    <col min="20" max="20" width="15.28515625" customWidth="1"/>
    <col min="21" max="21" width="25" customWidth="1"/>
    <col min="22" max="22" width="8.5703125" customWidth="1"/>
    <col min="23" max="23" width="11.85546875" customWidth="1"/>
    <col min="24" max="24" width="11.7109375" customWidth="1"/>
    <col min="25" max="25" width="11" customWidth="1"/>
    <col min="26" max="26" width="7.140625" customWidth="1"/>
    <col min="27" max="27" width="7.42578125" customWidth="1"/>
    <col min="28" max="29" width="9.140625" customWidth="1"/>
    <col min="30" max="30" width="12" customWidth="1"/>
    <col min="31" max="31" width="11.42578125" customWidth="1"/>
    <col min="32" max="32" width="10.28515625" customWidth="1"/>
    <col min="33" max="34" width="9.140625" customWidth="1"/>
    <col min="35" max="35" width="10.28515625" customWidth="1"/>
    <col min="36" max="36" width="12.28515625" customWidth="1"/>
    <col min="37" max="37" width="9.5703125" customWidth="1"/>
  </cols>
  <sheetData>
    <row r="1" spans="1:37" ht="18.75" customHeight="1" thickBot="1" x14ac:dyDescent="0.3">
      <c r="A1" s="47"/>
      <c r="B1" s="348" t="s">
        <v>153</v>
      </c>
      <c r="C1" s="349"/>
      <c r="D1" s="349"/>
      <c r="E1" s="349"/>
      <c r="F1" s="349"/>
      <c r="G1" s="350"/>
      <c r="H1" s="2" t="s">
        <v>162</v>
      </c>
      <c r="I1" s="2" t="s">
        <v>163</v>
      </c>
      <c r="J1" s="351" t="s">
        <v>158</v>
      </c>
      <c r="K1" s="352"/>
      <c r="L1" s="353"/>
      <c r="M1" s="351" t="s">
        <v>158</v>
      </c>
      <c r="N1" s="352"/>
      <c r="O1" s="353"/>
      <c r="P1" s="351" t="s">
        <v>158</v>
      </c>
      <c r="Q1" s="352"/>
      <c r="R1" s="353"/>
      <c r="S1" s="345" t="s">
        <v>216</v>
      </c>
      <c r="T1" s="347"/>
      <c r="V1" s="345" t="s">
        <v>188</v>
      </c>
      <c r="W1" s="346"/>
      <c r="X1" s="346"/>
      <c r="Y1" s="346"/>
      <c r="Z1" s="346"/>
      <c r="AA1" s="347"/>
      <c r="AC1" s="345" t="s">
        <v>178</v>
      </c>
      <c r="AD1" s="346"/>
      <c r="AE1" s="346"/>
      <c r="AF1" s="346"/>
      <c r="AG1" s="346"/>
      <c r="AH1" s="347"/>
    </row>
    <row r="2" spans="1:37" ht="54" customHeight="1" thickBot="1" x14ac:dyDescent="0.3">
      <c r="A2" s="48" t="s">
        <v>0</v>
      </c>
      <c r="B2" s="301" t="s">
        <v>154</v>
      </c>
      <c r="C2" s="302" t="s">
        <v>155</v>
      </c>
      <c r="D2" s="302" t="s">
        <v>156</v>
      </c>
      <c r="E2" s="303" t="s">
        <v>157</v>
      </c>
      <c r="F2" s="302" t="s">
        <v>5</v>
      </c>
      <c r="G2" s="304" t="s">
        <v>6</v>
      </c>
      <c r="H2" s="305" t="s">
        <v>162</v>
      </c>
      <c r="I2" s="306" t="s">
        <v>164</v>
      </c>
      <c r="J2" s="37" t="s">
        <v>159</v>
      </c>
      <c r="K2" s="38" t="s">
        <v>160</v>
      </c>
      <c r="L2" s="39" t="s">
        <v>161</v>
      </c>
      <c r="M2" s="37" t="s">
        <v>200</v>
      </c>
      <c r="N2" s="38" t="s">
        <v>201</v>
      </c>
      <c r="O2" s="39" t="s">
        <v>202</v>
      </c>
      <c r="P2" s="37" t="s">
        <v>197</v>
      </c>
      <c r="Q2" s="38" t="s">
        <v>198</v>
      </c>
      <c r="R2" s="39" t="s">
        <v>199</v>
      </c>
      <c r="S2" s="306" t="s">
        <v>152</v>
      </c>
      <c r="T2" s="306" t="s">
        <v>166</v>
      </c>
      <c r="V2" s="22" t="s">
        <v>154</v>
      </c>
      <c r="W2" s="21" t="s">
        <v>179</v>
      </c>
      <c r="X2" s="4" t="s">
        <v>217</v>
      </c>
      <c r="Y2" s="4" t="s">
        <v>157</v>
      </c>
      <c r="Z2" s="4" t="s">
        <v>5</v>
      </c>
      <c r="AA2" s="26" t="s">
        <v>6</v>
      </c>
      <c r="AC2" s="298" t="s">
        <v>154</v>
      </c>
      <c r="AD2" s="299" t="s">
        <v>179</v>
      </c>
      <c r="AE2" s="299" t="s">
        <v>217</v>
      </c>
      <c r="AF2" s="299" t="s">
        <v>157</v>
      </c>
      <c r="AG2" s="299" t="s">
        <v>5</v>
      </c>
      <c r="AH2" s="300" t="s">
        <v>6</v>
      </c>
      <c r="AI2" s="5"/>
      <c r="AJ2" s="233" t="s">
        <v>189</v>
      </c>
      <c r="AK2" s="234" t="s">
        <v>180</v>
      </c>
    </row>
    <row r="3" spans="1:37" x14ac:dyDescent="0.25">
      <c r="A3" s="307" t="s">
        <v>39</v>
      </c>
      <c r="B3" s="200">
        <f>VLOOKUP($A3,Costdrivere!$A$1:$G$128,2,FALSE)</f>
        <v>866849.73210493068</v>
      </c>
      <c r="C3" s="201">
        <f>VLOOKUP($A3,Costdrivere!$A$1:$G$128,3,FALSE)</f>
        <v>2155380.9279999998</v>
      </c>
      <c r="D3" s="201">
        <f>VLOOKUP($A3,Costdrivere!$A$1:$G$128,4,FALSE)</f>
        <v>822927</v>
      </c>
      <c r="E3" s="201">
        <f>VLOOKUP($A3,Costdrivere!$A$1:$G$128,5,FALSE)</f>
        <v>1060314</v>
      </c>
      <c r="F3" s="201">
        <f>VLOOKUP($A3,Costdrivere!$A$1:$G$128,6,FALSE)</f>
        <v>1036289.8</v>
      </c>
      <c r="G3" s="201">
        <f>VLOOKUP($A3,Costdrivere!$A$1:$G$128,7,FALSE)</f>
        <v>1047551.4</v>
      </c>
      <c r="H3" s="19">
        <v>31.1012681840526</v>
      </c>
      <c r="I3" s="27">
        <f>VLOOKUP(A3,Costdrivere!$A$1:$H$128,8,FALSE)</f>
        <v>2.669083969465649E-2</v>
      </c>
      <c r="J3" s="40">
        <f t="shared" ref="J3:J46" si="0">SUM(B3:G3)</f>
        <v>6989312.8601049306</v>
      </c>
      <c r="K3" s="41">
        <f t="shared" ref="K3:K46" si="1">(0.575+0.018*H3)*J3</f>
        <v>7931631.780879016</v>
      </c>
      <c r="L3" s="41">
        <f t="shared" ref="L3:L46" si="2">(0.711+13.544*I3)*J3</f>
        <v>7496043.1644017342</v>
      </c>
      <c r="M3" s="40">
        <f>J3+'Potentialer og krav'!F2</f>
        <v>6989312.8601049306</v>
      </c>
      <c r="N3" s="41">
        <f t="shared" ref="N3:N43" si="3">(0.575+0.018*H3)*M3</f>
        <v>7931631.780879016</v>
      </c>
      <c r="O3" s="42">
        <f t="shared" ref="O3:O43" si="4">(0.711+13.544*I3)*M3</f>
        <v>7496043.1644017342</v>
      </c>
      <c r="P3" s="41">
        <f>M3+(0.25*'Potentialer og krav'!$C2)</f>
        <v>9012908.6101049297</v>
      </c>
      <c r="Q3" s="41">
        <f>N3+(0.25*'Potentialer og krav'!$C2)</f>
        <v>9955227.530879017</v>
      </c>
      <c r="R3" s="41">
        <f>O3+(0.25*'Potentialer og krav'!$C2)</f>
        <v>9519638.9144017342</v>
      </c>
      <c r="S3" s="18">
        <v>8799678</v>
      </c>
      <c r="T3" s="18">
        <f t="shared" ref="T3:T46" si="5">1.031*S3</f>
        <v>9072468.0179999992</v>
      </c>
      <c r="V3" s="222">
        <f t="shared" ref="V3:V11" si="6">B3/(SUM($B3:$G3))</f>
        <v>0.1240250292776158</v>
      </c>
      <c r="W3" s="223">
        <f t="shared" ref="W3:W11" si="7">C3/(SUM($B3:$G3))</f>
        <v>0.3083823790895005</v>
      </c>
      <c r="X3" s="223">
        <f t="shared" ref="X3:X11" si="8">D3/(SUM($B3:$G3))</f>
        <v>0.11774075885159981</v>
      </c>
      <c r="Y3" s="223">
        <f t="shared" ref="Y3:Y11" si="9">E3/(SUM($B3:$G3))</f>
        <v>0.15170504185787465</v>
      </c>
      <c r="Z3" s="223">
        <f t="shared" ref="Z3:Z11" si="10">F3/(SUM($B3:$G3))</f>
        <v>0.14826776547880019</v>
      </c>
      <c r="AA3" s="224">
        <f t="shared" ref="AA3:AA11" si="11">G3/(SUM($B3:$G3))</f>
        <v>0.14987902544460904</v>
      </c>
      <c r="AC3" s="222">
        <f t="shared" ref="AC3:AC11" si="12">V$131-V3</f>
        <v>-6.7357475969798408E-3</v>
      </c>
      <c r="AD3" s="223">
        <f t="shared" ref="AD3:AD11" si="13">W$131-W3</f>
        <v>-1.3759118908081791E-2</v>
      </c>
      <c r="AE3" s="223">
        <f t="shared" ref="AE3:AE11" si="14">X$131-X3</f>
        <v>-7.096894125843102E-2</v>
      </c>
      <c r="AF3" s="223">
        <f t="shared" ref="AF3:AF11" si="15">Y$131-Y3</f>
        <v>7.6753927411213757E-2</v>
      </c>
      <c r="AG3" s="223">
        <f t="shared" ref="AG3:AG11" si="16">Z$131-Z3</f>
        <v>-2.0276953456346836E-4</v>
      </c>
      <c r="AH3" s="224">
        <f t="shared" ref="AH3:AH11" si="17">AA$131-AA3</f>
        <v>1.343524163796378E-2</v>
      </c>
      <c r="AI3" s="11"/>
      <c r="AJ3" s="235">
        <f t="shared" ref="AJ3:AJ11" si="18">$AA$131-AA3</f>
        <v>1.343524163796378E-2</v>
      </c>
      <c r="AK3" s="236">
        <f t="shared" ref="AK3:AK11" si="19">IF(AJ3&lt;$AA$134,(AJ3-$AA$134)*0.7658,0)</f>
        <v>0</v>
      </c>
    </row>
    <row r="4" spans="1:37" x14ac:dyDescent="0.25">
      <c r="A4" s="210" t="s">
        <v>40</v>
      </c>
      <c r="B4" s="202">
        <f>VLOOKUP($A4,Costdrivere!$A$1:$G$128,2,FALSE)</f>
        <v>473515.65456411819</v>
      </c>
      <c r="C4" s="203">
        <f>VLOOKUP($A4,Costdrivere!$A$1:$G$128,3,FALSE)</f>
        <v>1178422.314</v>
      </c>
      <c r="D4" s="203">
        <f>VLOOKUP($A4,Costdrivere!$A$1:$G$128,4,FALSE)</f>
        <v>254750</v>
      </c>
      <c r="E4" s="203">
        <f>VLOOKUP($A4,Costdrivere!$A$1:$G$128,5,FALSE)</f>
        <v>505875</v>
      </c>
      <c r="F4" s="203">
        <f>VLOOKUP($A4,Costdrivere!$A$1:$G$128,6,FALSE)</f>
        <v>526089.20000000007</v>
      </c>
      <c r="G4" s="203">
        <f>VLOOKUP($A4,Costdrivere!$A$1:$G$128,7,FALSE)</f>
        <v>562948.4</v>
      </c>
      <c r="H4" s="25">
        <v>31.084537889076561</v>
      </c>
      <c r="I4" s="15">
        <f>VLOOKUP(A4,Costdrivere!$A$1:$H$128,8,FALSE)</f>
        <v>3.0064E-2</v>
      </c>
      <c r="J4" s="32">
        <f>SUM(B4:G4)</f>
        <v>3501600.5685641184</v>
      </c>
      <c r="K4" s="33">
        <f t="shared" si="1"/>
        <v>3972641.7667513485</v>
      </c>
      <c r="L4" s="33">
        <f t="shared" si="2"/>
        <v>3915443.5906665009</v>
      </c>
      <c r="M4" s="32">
        <f>J4+'Potentialer og krav'!F3</f>
        <v>3689556.5685641184</v>
      </c>
      <c r="N4" s="33">
        <f t="shared" si="3"/>
        <v>4185881.9240139755</v>
      </c>
      <c r="O4" s="43">
        <f t="shared" si="4"/>
        <v>4125613.5118545969</v>
      </c>
      <c r="P4" s="33">
        <f>M4+(0.25*'Potentialer og krav'!$C3)</f>
        <v>4562153.3185641188</v>
      </c>
      <c r="Q4" s="33">
        <f>N4+(0.25*'Potentialer og krav'!$C3)</f>
        <v>5058478.674013976</v>
      </c>
      <c r="R4" s="33">
        <f>O4+(0.25*'Potentialer og krav'!$C3)</f>
        <v>4998210.2618545964</v>
      </c>
      <c r="S4" s="24">
        <v>3040995</v>
      </c>
      <c r="T4" s="24">
        <f t="shared" si="5"/>
        <v>3135265.8449999997</v>
      </c>
      <c r="V4" s="216">
        <f t="shared" si="6"/>
        <v>0.13522834637826497</v>
      </c>
      <c r="W4" s="217">
        <f t="shared" si="7"/>
        <v>0.33653818901543903</v>
      </c>
      <c r="X4" s="217">
        <f t="shared" si="8"/>
        <v>7.275244420709695E-2</v>
      </c>
      <c r="Y4" s="217">
        <f t="shared" si="9"/>
        <v>0.14446964754961794</v>
      </c>
      <c r="Z4" s="217">
        <f t="shared" si="10"/>
        <v>0.15024249331091769</v>
      </c>
      <c r="AA4" s="218">
        <f t="shared" si="11"/>
        <v>0.1607688795386634</v>
      </c>
      <c r="AC4" s="216">
        <f t="shared" si="12"/>
        <v>-1.7939064697629015E-2</v>
      </c>
      <c r="AD4" s="217">
        <f t="shared" si="13"/>
        <v>-4.1914928834020315E-2</v>
      </c>
      <c r="AE4" s="217">
        <f t="shared" si="14"/>
        <v>-2.5980626613928165E-2</v>
      </c>
      <c r="AF4" s="217">
        <f t="shared" si="15"/>
        <v>8.3989321719470461E-2</v>
      </c>
      <c r="AG4" s="217">
        <f t="shared" si="16"/>
        <v>-2.1774973666809638E-3</v>
      </c>
      <c r="AH4" s="218">
        <f t="shared" si="17"/>
        <v>2.5453875439094276E-3</v>
      </c>
      <c r="AI4" s="11"/>
      <c r="AJ4" s="214">
        <f t="shared" si="18"/>
        <v>2.5453875439094276E-3</v>
      </c>
      <c r="AK4" s="215">
        <f t="shared" si="19"/>
        <v>0</v>
      </c>
    </row>
    <row r="5" spans="1:37" x14ac:dyDescent="0.25">
      <c r="A5" s="210" t="s">
        <v>41</v>
      </c>
      <c r="B5" s="202">
        <f>VLOOKUP($A5,Costdrivere!$A$1:$G$128,2,FALSE)</f>
        <v>497044.48293894879</v>
      </c>
      <c r="C5" s="203">
        <f>VLOOKUP($A5,Costdrivere!$A$1:$G$128,3,FALSE)</f>
        <v>1292045.26</v>
      </c>
      <c r="D5" s="203">
        <f>VLOOKUP($A5,Costdrivere!$A$1:$G$128,4,FALSE)</f>
        <v>493031</v>
      </c>
      <c r="E5" s="203">
        <f>VLOOKUP($A5,Costdrivere!$A$1:$G$128,5,FALSE)</f>
        <v>659661</v>
      </c>
      <c r="F5" s="203">
        <f>VLOOKUP($A5,Costdrivere!$A$1:$G$128,6,FALSE)</f>
        <v>513731.4</v>
      </c>
      <c r="G5" s="203">
        <f>VLOOKUP($A5,Costdrivere!$A$1:$G$128,7,FALSE)</f>
        <v>566693.4</v>
      </c>
      <c r="H5" s="25">
        <v>22.600501726338567</v>
      </c>
      <c r="I5" s="15">
        <f>VLOOKUP(A5,Costdrivere!$A$1:$H$128,8,FALSE)</f>
        <v>2.3208588957055215E-2</v>
      </c>
      <c r="J5" s="32">
        <f t="shared" si="0"/>
        <v>4022206.5429389486</v>
      </c>
      <c r="K5" s="33">
        <f t="shared" si="1"/>
        <v>3949038.708702771</v>
      </c>
      <c r="L5" s="33">
        <f t="shared" si="2"/>
        <v>4124117.7083157818</v>
      </c>
      <c r="M5" s="32">
        <f>J5+'Potentialer og krav'!F4</f>
        <v>4022206.5429389486</v>
      </c>
      <c r="N5" s="33">
        <f t="shared" si="3"/>
        <v>3949038.708702771</v>
      </c>
      <c r="O5" s="43">
        <f t="shared" si="4"/>
        <v>4124117.7083157818</v>
      </c>
      <c r="P5" s="33">
        <f>M5+(0.25*'Potentialer og krav'!$C4)</f>
        <v>4831469.0429389486</v>
      </c>
      <c r="Q5" s="33">
        <f>N5+(0.25*'Potentialer og krav'!$C4)</f>
        <v>4758301.208702771</v>
      </c>
      <c r="R5" s="33">
        <f>O5+(0.25*'Potentialer og krav'!$C4)</f>
        <v>4933380.2083157822</v>
      </c>
      <c r="S5" s="24">
        <v>2660316</v>
      </c>
      <c r="T5" s="24">
        <f t="shared" si="5"/>
        <v>2742785.7959999996</v>
      </c>
      <c r="V5" s="216">
        <f t="shared" si="6"/>
        <v>0.12357507692177537</v>
      </c>
      <c r="W5" s="217">
        <f t="shared" si="7"/>
        <v>0.32122797429888511</v>
      </c>
      <c r="X5" s="217">
        <f t="shared" si="8"/>
        <v>0.1225772457820507</v>
      </c>
      <c r="Y5" s="217">
        <f t="shared" si="9"/>
        <v>0.16400475533958991</v>
      </c>
      <c r="Z5" s="217">
        <f t="shared" si="10"/>
        <v>0.12772377413135688</v>
      </c>
      <c r="AA5" s="218">
        <f t="shared" si="11"/>
        <v>0.14089117352634212</v>
      </c>
      <c r="AC5" s="216">
        <f t="shared" si="12"/>
        <v>-6.2857952411394108E-3</v>
      </c>
      <c r="AD5" s="217">
        <f t="shared" si="13"/>
        <v>-2.6604714117466399E-2</v>
      </c>
      <c r="AE5" s="217">
        <f t="shared" si="14"/>
        <v>-7.5805428188881918E-2</v>
      </c>
      <c r="AF5" s="217">
        <f t="shared" si="15"/>
        <v>6.4454213929498488E-2</v>
      </c>
      <c r="AG5" s="217">
        <f t="shared" si="16"/>
        <v>2.0341221812879839E-2</v>
      </c>
      <c r="AH5" s="218">
        <f t="shared" si="17"/>
        <v>2.2423093556230705E-2</v>
      </c>
      <c r="AI5" s="11"/>
      <c r="AJ5" s="214">
        <f t="shared" si="18"/>
        <v>2.2423093556230705E-2</v>
      </c>
      <c r="AK5" s="215">
        <f t="shared" si="19"/>
        <v>0</v>
      </c>
    </row>
    <row r="6" spans="1:37" x14ac:dyDescent="0.25">
      <c r="A6" s="210" t="s">
        <v>45</v>
      </c>
      <c r="B6" s="202">
        <f>VLOOKUP($A6,Costdrivere!$A$1:$G$128,2,FALSE)</f>
        <v>335532.45651936403</v>
      </c>
      <c r="C6" s="203">
        <f>VLOOKUP($A6,Costdrivere!$A$1:$G$128,3,FALSE)</f>
        <v>873818.55500000005</v>
      </c>
      <c r="D6" s="203">
        <f>VLOOKUP($A6,Costdrivere!$A$1:$G$128,4,FALSE)</f>
        <v>251132</v>
      </c>
      <c r="E6" s="203">
        <f>VLOOKUP($A6,Costdrivere!$A$1:$G$128,5,FALSE)</f>
        <v>332663.40000000002</v>
      </c>
      <c r="F6" s="203">
        <f>VLOOKUP($A6,Costdrivere!$A$1:$G$128,6,FALSE)</f>
        <v>420165.2</v>
      </c>
      <c r="G6" s="203">
        <f>VLOOKUP($A6,Costdrivere!$A$1:$G$128,7,FALSE)</f>
        <v>468274.80000000005</v>
      </c>
      <c r="H6" s="25">
        <v>31.685719118904352</v>
      </c>
      <c r="I6" s="15">
        <f>VLOOKUP(A6,Costdrivere!$A$1:$H$128,8,FALSE)</f>
        <v>3.8029197080291968E-2</v>
      </c>
      <c r="J6" s="32">
        <f t="shared" si="0"/>
        <v>2681586.4115193645</v>
      </c>
      <c r="K6" s="33">
        <f t="shared" si="1"/>
        <v>3071336.0755361528</v>
      </c>
      <c r="L6" s="33">
        <f t="shared" si="2"/>
        <v>3287805.8008033419</v>
      </c>
      <c r="M6" s="32">
        <f>J6+'Potentialer og krav'!F5</f>
        <v>2681586.4115193645</v>
      </c>
      <c r="N6" s="33">
        <f t="shared" si="3"/>
        <v>3071336.0755361528</v>
      </c>
      <c r="O6" s="43">
        <f t="shared" si="4"/>
        <v>3287805.8008033419</v>
      </c>
      <c r="P6" s="33">
        <f>M6+(0.25*'Potentialer og krav'!$C5)</f>
        <v>3256177.4115193645</v>
      </c>
      <c r="Q6" s="33">
        <f>N6+(0.25*'Potentialer og krav'!$C5)</f>
        <v>3645927.0755361528</v>
      </c>
      <c r="R6" s="33">
        <f>O6+(0.25*'Potentialer og krav'!$C5)</f>
        <v>3862396.8008033419</v>
      </c>
      <c r="S6" s="24">
        <v>3168184</v>
      </c>
      <c r="T6" s="24">
        <f t="shared" si="5"/>
        <v>3266397.7039999999</v>
      </c>
      <c r="V6" s="216">
        <f t="shared" si="6"/>
        <v>0.12512461096834621</v>
      </c>
      <c r="W6" s="217">
        <f t="shared" si="7"/>
        <v>0.32585880926540861</v>
      </c>
      <c r="X6" s="217">
        <f t="shared" si="8"/>
        <v>9.3650534221535936E-2</v>
      </c>
      <c r="Y6" s="217">
        <f t="shared" si="9"/>
        <v>0.12405470081850382</v>
      </c>
      <c r="Z6" s="217">
        <f t="shared" si="10"/>
        <v>0.15668531067844199</v>
      </c>
      <c r="AA6" s="218">
        <f t="shared" si="11"/>
        <v>0.17462603404776333</v>
      </c>
      <c r="AC6" s="216">
        <f t="shared" si="12"/>
        <v>-7.8353292877102465E-3</v>
      </c>
      <c r="AD6" s="217">
        <f t="shared" si="13"/>
        <v>-3.12355490839899E-2</v>
      </c>
      <c r="AE6" s="217">
        <f t="shared" si="14"/>
        <v>-4.6878716628367151E-2</v>
      </c>
      <c r="AF6" s="217">
        <f t="shared" si="15"/>
        <v>0.10440426845058458</v>
      </c>
      <c r="AG6" s="217">
        <f t="shared" si="16"/>
        <v>-8.6203147342052699E-3</v>
      </c>
      <c r="AH6" s="218">
        <f t="shared" si="17"/>
        <v>-1.1311766965190512E-2</v>
      </c>
      <c r="AI6" s="11"/>
      <c r="AJ6" s="214">
        <f t="shared" si="18"/>
        <v>-1.1311766965190512E-2</v>
      </c>
      <c r="AK6" s="215">
        <f t="shared" si="19"/>
        <v>0</v>
      </c>
    </row>
    <row r="7" spans="1:37" x14ac:dyDescent="0.25">
      <c r="A7" s="210" t="s">
        <v>42</v>
      </c>
      <c r="B7" s="202">
        <f>VLOOKUP($A7,Costdrivere!$A$1:$G$128,2,FALSE)</f>
        <v>317576.53925909195</v>
      </c>
      <c r="C7" s="203">
        <f>VLOOKUP($A7,Costdrivere!$A$1:$G$128,3,FALSE)</f>
        <v>807296.82200000004</v>
      </c>
      <c r="D7" s="203">
        <f>VLOOKUP($A7,Costdrivere!$A$1:$G$128,4,FALSE)</f>
        <v>141812</v>
      </c>
      <c r="E7" s="203">
        <f>VLOOKUP($A7,Costdrivere!$A$1:$G$128,5,FALSE)</f>
        <v>44517</v>
      </c>
      <c r="F7" s="203">
        <f>VLOOKUP($A7,Costdrivere!$A$1:$G$128,6,FALSE)</f>
        <v>0</v>
      </c>
      <c r="G7" s="203">
        <f>VLOOKUP($A7,Costdrivere!$A$1:$G$128,7,FALSE)</f>
        <v>1797.6000000000001</v>
      </c>
      <c r="H7" s="25">
        <v>9</v>
      </c>
      <c r="I7" s="15">
        <f>VLOOKUP(A7,Costdrivere!$A$1:$H$128,8,FALSE)</f>
        <v>1.090909090909091E-3</v>
      </c>
      <c r="J7" s="32">
        <f t="shared" si="0"/>
        <v>1312999.9612590922</v>
      </c>
      <c r="K7" s="33">
        <f t="shared" si="1"/>
        <v>967680.97144795081</v>
      </c>
      <c r="L7" s="33">
        <f t="shared" si="2"/>
        <v>952942.90497371613</v>
      </c>
      <c r="M7" s="32">
        <f>J7+'Potentialer og krav'!F6</f>
        <v>1312999.9612590922</v>
      </c>
      <c r="N7" s="33">
        <f t="shared" si="3"/>
        <v>967680.97144795081</v>
      </c>
      <c r="O7" s="43">
        <f t="shared" si="4"/>
        <v>952942.90497371613</v>
      </c>
      <c r="P7" s="33">
        <f>M7+(0.25*'Potentialer og krav'!$C6)</f>
        <v>1525836.4612590922</v>
      </c>
      <c r="Q7" s="33">
        <f>N7+(0.25*'Potentialer og krav'!$C6)</f>
        <v>1180517.4714479507</v>
      </c>
      <c r="R7" s="33">
        <f>O7+(0.25*'Potentialer og krav'!$C6)</f>
        <v>1165779.404973716</v>
      </c>
      <c r="S7" s="24">
        <v>549400</v>
      </c>
      <c r="T7" s="24">
        <f t="shared" si="5"/>
        <v>566431.39999999991</v>
      </c>
      <c r="V7" s="216">
        <f t="shared" si="6"/>
        <v>0.24187094335825732</v>
      </c>
      <c r="W7" s="217">
        <f t="shared" si="7"/>
        <v>0.61484908287875983</v>
      </c>
      <c r="X7" s="217">
        <f t="shared" si="8"/>
        <v>0.10800609610377319</v>
      </c>
      <c r="Y7" s="217">
        <f t="shared" si="9"/>
        <v>3.3904799172507764E-2</v>
      </c>
      <c r="Z7" s="217">
        <f t="shared" si="10"/>
        <v>0</v>
      </c>
      <c r="AA7" s="218">
        <f t="shared" si="11"/>
        <v>1.3690784867017088E-3</v>
      </c>
      <c r="AC7" s="216">
        <f t="shared" si="12"/>
        <v>-0.12458166167762136</v>
      </c>
      <c r="AD7" s="217">
        <f t="shared" si="13"/>
        <v>-0.32022582269734112</v>
      </c>
      <c r="AE7" s="217">
        <f t="shared" si="14"/>
        <v>-6.1234278510604409E-2</v>
      </c>
      <c r="AF7" s="217">
        <f t="shared" si="15"/>
        <v>0.19455417009658063</v>
      </c>
      <c r="AG7" s="217">
        <f t="shared" si="16"/>
        <v>0.14806499594423672</v>
      </c>
      <c r="AH7" s="218">
        <f t="shared" si="17"/>
        <v>0.16194518859587112</v>
      </c>
      <c r="AI7" s="11"/>
      <c r="AJ7" s="214">
        <f t="shared" si="18"/>
        <v>0.16194518859587112</v>
      </c>
      <c r="AK7" s="215">
        <f t="shared" si="19"/>
        <v>0</v>
      </c>
    </row>
    <row r="8" spans="1:37" x14ac:dyDescent="0.25">
      <c r="A8" s="210" t="s">
        <v>43</v>
      </c>
      <c r="B8" s="202">
        <f>VLOOKUP($A8,Costdrivere!$A$1:$G$128,2,FALSE)</f>
        <v>172016.39318815171</v>
      </c>
      <c r="C8" s="203">
        <f>VLOOKUP($A8,Costdrivere!$A$1:$G$128,3,FALSE)</f>
        <v>418696.08799999999</v>
      </c>
      <c r="D8" s="203">
        <f>VLOOKUP($A8,Costdrivere!$A$1:$G$128,4,FALSE)</f>
        <v>0</v>
      </c>
      <c r="E8" s="203">
        <f>VLOOKUP($A8,Costdrivere!$A$1:$G$128,5,FALSE)</f>
        <v>234726</v>
      </c>
      <c r="F8" s="203">
        <f>VLOOKUP($A8,Costdrivere!$A$1:$G$128,6,FALSE)</f>
        <v>247699.20000000001</v>
      </c>
      <c r="G8" s="203">
        <f>VLOOKUP($A8,Costdrivere!$A$1:$G$128,7,FALSE)</f>
        <v>277729.2</v>
      </c>
      <c r="H8" s="25">
        <v>34.247535540013985</v>
      </c>
      <c r="I8" s="15">
        <f>VLOOKUP(A8,Costdrivere!$A$1:$H$128,8,FALSE)</f>
        <v>3.1965517241379311E-2</v>
      </c>
      <c r="J8" s="32">
        <f>SUM(B8:G8)</f>
        <v>1350866.8811881517</v>
      </c>
      <c r="K8" s="33">
        <f t="shared" si="1"/>
        <v>1609497.9641029304</v>
      </c>
      <c r="L8" s="33">
        <f t="shared" si="2"/>
        <v>1545311.9643516389</v>
      </c>
      <c r="M8" s="32">
        <f>J8+'Potentialer og krav'!F7</f>
        <v>1350866.8811881517</v>
      </c>
      <c r="N8" s="33">
        <f t="shared" si="3"/>
        <v>1609497.9641029304</v>
      </c>
      <c r="O8" s="43">
        <f t="shared" si="4"/>
        <v>1545311.9643516389</v>
      </c>
      <c r="P8" s="33">
        <f>M8+(0.25*'Potentialer og krav'!$C7)</f>
        <v>1849912.6311881517</v>
      </c>
      <c r="Q8" s="33">
        <f>N8+(0.25*'Potentialer og krav'!$C7)</f>
        <v>2108543.7141029304</v>
      </c>
      <c r="R8" s="33">
        <f>O8+(0.25*'Potentialer og krav'!$C7)</f>
        <v>2044357.7143516389</v>
      </c>
      <c r="S8" s="24">
        <v>1843774</v>
      </c>
      <c r="T8" s="24">
        <f t="shared" si="5"/>
        <v>1900930.9939999999</v>
      </c>
      <c r="V8" s="216">
        <f t="shared" si="6"/>
        <v>0.12733778256289408</v>
      </c>
      <c r="W8" s="217">
        <f t="shared" si="7"/>
        <v>0.30994622329606369</v>
      </c>
      <c r="X8" s="217">
        <f t="shared" si="8"/>
        <v>0</v>
      </c>
      <c r="Y8" s="217">
        <f t="shared" si="9"/>
        <v>0.17375953416930862</v>
      </c>
      <c r="Z8" s="217">
        <f t="shared" si="10"/>
        <v>0.18336314513990956</v>
      </c>
      <c r="AA8" s="218">
        <f t="shared" si="11"/>
        <v>0.20559331483182411</v>
      </c>
      <c r="AC8" s="216">
        <f t="shared" si="12"/>
        <v>-1.0048500882258116E-2</v>
      </c>
      <c r="AD8" s="217">
        <f t="shared" si="13"/>
        <v>-1.5322963114644983E-2</v>
      </c>
      <c r="AE8" s="217">
        <f t="shared" si="14"/>
        <v>4.6771817593168785E-2</v>
      </c>
      <c r="AF8" s="217">
        <f t="shared" si="15"/>
        <v>5.4699435099779786E-2</v>
      </c>
      <c r="AG8" s="217">
        <f t="shared" si="16"/>
        <v>-3.529814919567284E-2</v>
      </c>
      <c r="AH8" s="218">
        <f t="shared" si="17"/>
        <v>-4.2279047749251286E-2</v>
      </c>
      <c r="AI8" s="11"/>
      <c r="AJ8" s="214">
        <f t="shared" si="18"/>
        <v>-4.2279047749251286E-2</v>
      </c>
      <c r="AK8" s="215">
        <f t="shared" si="19"/>
        <v>0</v>
      </c>
    </row>
    <row r="9" spans="1:37" x14ac:dyDescent="0.25">
      <c r="A9" s="210" t="s">
        <v>44</v>
      </c>
      <c r="B9" s="202">
        <f>VLOOKUP($A9,Costdrivere!$A$1:$G$128,2,FALSE)</f>
        <v>173509.36415847405</v>
      </c>
      <c r="C9" s="203">
        <f>VLOOKUP($A9,Costdrivere!$A$1:$G$128,3,FALSE)</f>
        <v>430671</v>
      </c>
      <c r="D9" s="203">
        <f>VLOOKUP($A9,Costdrivere!$A$1:$G$128,4,FALSE)</f>
        <v>35453</v>
      </c>
      <c r="E9" s="203">
        <f>VLOOKUP($A9,Costdrivere!$A$1:$G$128,5,FALSE)</f>
        <v>259008</v>
      </c>
      <c r="F9" s="203">
        <f>VLOOKUP($A9,Costdrivere!$A$1:$G$128,6,FALSE)</f>
        <v>101714.20000000001</v>
      </c>
      <c r="G9" s="203">
        <f>VLOOKUP($A9,Costdrivere!$A$1:$G$128,7,FALSE)</f>
        <v>112350.00000000001</v>
      </c>
      <c r="H9" s="25">
        <v>23.033103746709457</v>
      </c>
      <c r="I9" s="15">
        <f>VLOOKUP(A9,Costdrivere!$A$1:$H$128,8,FALSE)</f>
        <v>1.171875E-2</v>
      </c>
      <c r="J9" s="32">
        <f t="shared" si="0"/>
        <v>1112705.5641584741</v>
      </c>
      <c r="K9" s="33">
        <f t="shared" si="1"/>
        <v>1101128.8279695767</v>
      </c>
      <c r="L9" s="33">
        <f t="shared" si="2"/>
        <v>967740.89237795293</v>
      </c>
      <c r="M9" s="32">
        <f>J9+'Potentialer og krav'!F8</f>
        <v>1112705.5641584741</v>
      </c>
      <c r="N9" s="33">
        <f t="shared" si="3"/>
        <v>1101128.8279695767</v>
      </c>
      <c r="O9" s="43">
        <f t="shared" si="4"/>
        <v>967740.89237795293</v>
      </c>
      <c r="P9" s="33">
        <f>M9+(0.25*'Potentialer og krav'!$C8)</f>
        <v>1262227.8141584741</v>
      </c>
      <c r="Q9" s="33">
        <f>N9+(0.25*'Potentialer og krav'!$C8)</f>
        <v>1250651.0779695767</v>
      </c>
      <c r="R9" s="33">
        <f>O9+(0.25*'Potentialer og krav'!$C8)</f>
        <v>1117263.142377953</v>
      </c>
      <c r="S9" s="24">
        <v>639854</v>
      </c>
      <c r="T9" s="24">
        <f t="shared" si="5"/>
        <v>659689.47399999993</v>
      </c>
      <c r="V9" s="216">
        <f t="shared" si="6"/>
        <v>0.15593466029775552</v>
      </c>
      <c r="W9" s="217">
        <f t="shared" si="7"/>
        <v>0.3870484824309397</v>
      </c>
      <c r="X9" s="217">
        <f t="shared" si="8"/>
        <v>3.1861977815139872E-2</v>
      </c>
      <c r="Y9" s="217">
        <f t="shared" si="9"/>
        <v>0.23277316870063883</v>
      </c>
      <c r="Z9" s="217">
        <f t="shared" si="10"/>
        <v>9.141160364100924E-2</v>
      </c>
      <c r="AA9" s="218">
        <f t="shared" si="11"/>
        <v>0.10097010711451683</v>
      </c>
      <c r="AC9" s="216">
        <f t="shared" si="12"/>
        <v>-3.8645378617119558E-2</v>
      </c>
      <c r="AD9" s="217">
        <f t="shared" si="13"/>
        <v>-9.2425222249520989E-2</v>
      </c>
      <c r="AE9" s="217">
        <f t="shared" si="14"/>
        <v>1.4909839778028913E-2</v>
      </c>
      <c r="AF9" s="217">
        <f t="shared" si="15"/>
        <v>-4.3141994315504251E-3</v>
      </c>
      <c r="AG9" s="217">
        <f t="shared" si="16"/>
        <v>5.6653392303227482E-2</v>
      </c>
      <c r="AH9" s="218">
        <f t="shared" si="17"/>
        <v>6.2344159968055993E-2</v>
      </c>
      <c r="AI9" s="11"/>
      <c r="AJ9" s="214">
        <f t="shared" si="18"/>
        <v>6.2344159968055993E-2</v>
      </c>
      <c r="AK9" s="215">
        <f t="shared" si="19"/>
        <v>0</v>
      </c>
    </row>
    <row r="10" spans="1:37" x14ac:dyDescent="0.25">
      <c r="A10" s="210" t="s">
        <v>46</v>
      </c>
      <c r="B10" s="202">
        <f>VLOOKUP($A10,Costdrivere!$A$1:$G$128,2,FALSE)</f>
        <v>192602.21054137492</v>
      </c>
      <c r="C10" s="203">
        <f>VLOOKUP($A10,Costdrivere!$A$1:$G$128,3,FALSE)</f>
        <v>467681.28499999997</v>
      </c>
      <c r="D10" s="203">
        <f>VLOOKUP($A10,Costdrivere!$A$1:$G$128,4,FALSE)</f>
        <v>70906</v>
      </c>
      <c r="E10" s="203">
        <f>VLOOKUP($A10,Costdrivere!$A$1:$G$128,5,FALSE)</f>
        <v>524976.84</v>
      </c>
      <c r="F10" s="203">
        <f>VLOOKUP($A10,Costdrivere!$A$1:$G$128,6,FALSE)</f>
        <v>224205.80000000002</v>
      </c>
      <c r="G10" s="203">
        <f>VLOOKUP($A10,Costdrivere!$A$1:$G$128,7,FALSE)</f>
        <v>261101.40000000002</v>
      </c>
      <c r="H10" s="25">
        <v>22.807967323963585</v>
      </c>
      <c r="I10" s="15">
        <f>VLOOKUP(A10,Costdrivere!$A$1:$H$128,8,FALSE)</f>
        <v>1.3436632747456059E-2</v>
      </c>
      <c r="J10" s="32">
        <f t="shared" si="0"/>
        <v>1741473.5355413752</v>
      </c>
      <c r="K10" s="33">
        <f t="shared" si="1"/>
        <v>1716297.7698314409</v>
      </c>
      <c r="L10" s="33">
        <f t="shared" si="2"/>
        <v>1555111.0580872479</v>
      </c>
      <c r="M10" s="32">
        <f>J10+'Potentialer og krav'!F9</f>
        <v>1741473.5355413752</v>
      </c>
      <c r="N10" s="33">
        <f t="shared" si="3"/>
        <v>1716297.7698314409</v>
      </c>
      <c r="O10" s="43">
        <f t="shared" si="4"/>
        <v>1555111.0580872479</v>
      </c>
      <c r="P10" s="33">
        <f>M10+(0.25*'Potentialer og krav'!$C9)</f>
        <v>2045956.2855413752</v>
      </c>
      <c r="Q10" s="33">
        <f>N10+(0.25*'Potentialer og krav'!$C9)</f>
        <v>2020780.5198314409</v>
      </c>
      <c r="R10" s="33">
        <f>O10+(0.25*'Potentialer og krav'!$C9)</f>
        <v>1859593.8080872479</v>
      </c>
      <c r="S10" s="24">
        <v>1228739</v>
      </c>
      <c r="T10" s="24">
        <f t="shared" si="5"/>
        <v>1266829.909</v>
      </c>
      <c r="V10" s="216">
        <f t="shared" si="6"/>
        <v>0.11059726525301478</v>
      </c>
      <c r="W10" s="217">
        <f t="shared" si="7"/>
        <v>0.26855491941461573</v>
      </c>
      <c r="X10" s="217">
        <f t="shared" si="8"/>
        <v>4.0716093901454163E-2</v>
      </c>
      <c r="Y10" s="217">
        <f t="shared" si="9"/>
        <v>0.3014555370988164</v>
      </c>
      <c r="Z10" s="217">
        <f t="shared" si="10"/>
        <v>0.12874487922109062</v>
      </c>
      <c r="AA10" s="218">
        <f t="shared" si="11"/>
        <v>0.14993130511100816</v>
      </c>
      <c r="AC10" s="216">
        <f t="shared" si="12"/>
        <v>6.6920164276211835E-3</v>
      </c>
      <c r="AD10" s="217">
        <f t="shared" si="13"/>
        <v>2.6068340766802978E-2</v>
      </c>
      <c r="AE10" s="217">
        <f t="shared" si="14"/>
        <v>6.055723691714622E-3</v>
      </c>
      <c r="AF10" s="217">
        <f t="shared" si="15"/>
        <v>-7.2996567829727993E-2</v>
      </c>
      <c r="AG10" s="217">
        <f t="shared" si="16"/>
        <v>1.9320116723146097E-2</v>
      </c>
      <c r="AH10" s="218">
        <f t="shared" si="17"/>
        <v>1.3382961971564661E-2</v>
      </c>
      <c r="AI10" s="11"/>
      <c r="AJ10" s="214">
        <f t="shared" si="18"/>
        <v>1.3382961971564661E-2</v>
      </c>
      <c r="AK10" s="215">
        <f t="shared" si="19"/>
        <v>0</v>
      </c>
    </row>
    <row r="11" spans="1:37" x14ac:dyDescent="0.25">
      <c r="A11" s="210" t="s">
        <v>49</v>
      </c>
      <c r="B11" s="202">
        <f>VLOOKUP($A11,Costdrivere!$A$1:$G$128,2,FALSE)</f>
        <v>169534.29679895702</v>
      </c>
      <c r="C11" s="203">
        <f>VLOOKUP($A11,Costdrivere!$A$1:$G$128,3,FALSE)</f>
        <v>420094.55900000001</v>
      </c>
      <c r="D11" s="203">
        <f>VLOOKUP($A11,Costdrivere!$A$1:$G$128,4,FALSE)</f>
        <v>141812</v>
      </c>
      <c r="E11" s="203">
        <f>VLOOKUP($A11,Costdrivere!$A$1:$G$128,5,FALSE)</f>
        <v>343995</v>
      </c>
      <c r="F11" s="203">
        <f>VLOOKUP($A11,Costdrivere!$A$1:$G$128,6,FALSE)</f>
        <v>212119.6</v>
      </c>
      <c r="G11" s="203">
        <f>VLOOKUP($A11,Costdrivere!$A$1:$G$128,7,FALSE)</f>
        <v>230542.2</v>
      </c>
      <c r="H11" s="25">
        <v>24.096128119740104</v>
      </c>
      <c r="I11" s="15">
        <f>VLOOKUP(A11,Costdrivere!$A$1:$H$128,8,FALSE)</f>
        <v>1.8105882352941177E-2</v>
      </c>
      <c r="J11" s="32">
        <f>SUM(B11:G11)</f>
        <v>1518097.655798957</v>
      </c>
      <c r="K11" s="33">
        <f t="shared" si="1"/>
        <v>1531351.1131077583</v>
      </c>
      <c r="L11" s="33">
        <f t="shared" si="2"/>
        <v>1451644.556173848</v>
      </c>
      <c r="M11" s="32">
        <f>J11+'Potentialer og krav'!F10</f>
        <v>1518097.655798957</v>
      </c>
      <c r="N11" s="33">
        <f t="shared" si="3"/>
        <v>1531351.1131077583</v>
      </c>
      <c r="O11" s="43">
        <f t="shared" si="4"/>
        <v>1451644.556173848</v>
      </c>
      <c r="P11" s="33">
        <f>M11+(0.25*'Potentialer og krav'!$C10)</f>
        <v>1819737.405798957</v>
      </c>
      <c r="Q11" s="33">
        <f>N11+(0.25*'Potentialer og krav'!$C10)</f>
        <v>1832990.8631077583</v>
      </c>
      <c r="R11" s="33">
        <f>O11+(0.25*'Potentialer og krav'!$C10)</f>
        <v>1753284.306173848</v>
      </c>
      <c r="S11" s="24">
        <v>1402334</v>
      </c>
      <c r="T11" s="24">
        <f t="shared" si="5"/>
        <v>1445806.3539999998</v>
      </c>
      <c r="V11" s="216">
        <f t="shared" si="6"/>
        <v>0.11167548816860079</v>
      </c>
      <c r="W11" s="217">
        <f t="shared" si="7"/>
        <v>0.27672433153116832</v>
      </c>
      <c r="X11" s="217">
        <f t="shared" si="8"/>
        <v>9.3414280338484548E-2</v>
      </c>
      <c r="Y11" s="217">
        <f t="shared" si="9"/>
        <v>0.22659609458322988</v>
      </c>
      <c r="Z11" s="217">
        <f t="shared" si="10"/>
        <v>0.13972724296735967</v>
      </c>
      <c r="AA11" s="218">
        <f t="shared" si="11"/>
        <v>0.15186256241115684</v>
      </c>
      <c r="AC11" s="216">
        <f t="shared" si="12"/>
        <v>5.6137935120351701E-3</v>
      </c>
      <c r="AD11" s="217">
        <f t="shared" si="13"/>
        <v>1.789892865025039E-2</v>
      </c>
      <c r="AE11" s="217">
        <f t="shared" si="14"/>
        <v>-4.6642462745315763E-2</v>
      </c>
      <c r="AF11" s="217">
        <f t="shared" si="15"/>
        <v>1.8628746858585232E-3</v>
      </c>
      <c r="AG11" s="217">
        <f t="shared" si="16"/>
        <v>8.3377529768770553E-3</v>
      </c>
      <c r="AH11" s="218">
        <f t="shared" si="17"/>
        <v>1.1451704671415985E-2</v>
      </c>
      <c r="AI11" s="11"/>
      <c r="AJ11" s="214">
        <f t="shared" si="18"/>
        <v>1.1451704671415985E-2</v>
      </c>
      <c r="AK11" s="215">
        <f t="shared" si="19"/>
        <v>0</v>
      </c>
    </row>
    <row r="12" spans="1:37" s="6" customFormat="1" x14ac:dyDescent="0.25">
      <c r="A12" s="49" t="s">
        <v>173</v>
      </c>
      <c r="B12" s="204"/>
      <c r="C12" s="205"/>
      <c r="D12" s="205"/>
      <c r="E12" s="205"/>
      <c r="F12" s="205"/>
      <c r="G12" s="205"/>
      <c r="H12" s="29"/>
      <c r="I12" s="30"/>
      <c r="J12" s="34">
        <v>350915</v>
      </c>
      <c r="K12" s="342" t="s">
        <v>218</v>
      </c>
      <c r="L12" s="342" t="s">
        <v>218</v>
      </c>
      <c r="M12" s="344" t="s">
        <v>218</v>
      </c>
      <c r="N12" s="342" t="s">
        <v>218</v>
      </c>
      <c r="O12" s="342" t="s">
        <v>218</v>
      </c>
      <c r="P12" s="344" t="s">
        <v>218</v>
      </c>
      <c r="Q12" s="342" t="s">
        <v>218</v>
      </c>
      <c r="R12" s="342" t="s">
        <v>218</v>
      </c>
      <c r="S12" s="343" t="s">
        <v>218</v>
      </c>
      <c r="T12" s="343" t="s">
        <v>218</v>
      </c>
      <c r="U12" s="28"/>
      <c r="V12" s="219"/>
      <c r="W12" s="220"/>
      <c r="X12" s="220"/>
      <c r="Y12" s="220"/>
      <c r="Z12" s="220"/>
      <c r="AA12" s="221"/>
      <c r="AB12" s="28"/>
      <c r="AC12" s="219"/>
      <c r="AD12" s="220"/>
      <c r="AE12" s="220"/>
      <c r="AF12" s="220"/>
      <c r="AG12" s="220"/>
      <c r="AH12" s="221"/>
      <c r="AI12" s="12"/>
      <c r="AJ12" s="237"/>
      <c r="AK12" s="238"/>
    </row>
    <row r="13" spans="1:37" s="6" customFormat="1" x14ac:dyDescent="0.25">
      <c r="A13" s="49" t="s">
        <v>52</v>
      </c>
      <c r="B13" s="204"/>
      <c r="C13" s="205"/>
      <c r="D13" s="205"/>
      <c r="E13" s="205"/>
      <c r="F13" s="205"/>
      <c r="G13" s="205"/>
      <c r="H13" s="29">
        <v>24.828965662490464</v>
      </c>
      <c r="I13" s="30"/>
      <c r="J13" s="34">
        <v>436302</v>
      </c>
      <c r="K13" s="342" t="s">
        <v>218</v>
      </c>
      <c r="L13" s="342" t="s">
        <v>218</v>
      </c>
      <c r="M13" s="344" t="s">
        <v>218</v>
      </c>
      <c r="N13" s="342" t="s">
        <v>218</v>
      </c>
      <c r="O13" s="342" t="s">
        <v>218</v>
      </c>
      <c r="P13" s="344" t="s">
        <v>218</v>
      </c>
      <c r="Q13" s="342" t="s">
        <v>218</v>
      </c>
      <c r="R13" s="342" t="s">
        <v>218</v>
      </c>
      <c r="S13" s="343" t="s">
        <v>218</v>
      </c>
      <c r="T13" s="343" t="s">
        <v>218</v>
      </c>
      <c r="U13" s="28"/>
      <c r="V13" s="219"/>
      <c r="W13" s="220"/>
      <c r="X13" s="220"/>
      <c r="Y13" s="220"/>
      <c r="Z13" s="220"/>
      <c r="AA13" s="221"/>
      <c r="AB13" s="28"/>
      <c r="AC13" s="219"/>
      <c r="AD13" s="220"/>
      <c r="AE13" s="220"/>
      <c r="AF13" s="220"/>
      <c r="AG13" s="220"/>
      <c r="AH13" s="221"/>
      <c r="AI13" s="12"/>
      <c r="AJ13" s="237"/>
      <c r="AK13" s="238"/>
    </row>
    <row r="14" spans="1:37" x14ac:dyDescent="0.25">
      <c r="A14" s="210" t="s">
        <v>53</v>
      </c>
      <c r="B14" s="202">
        <f>VLOOKUP($A14,Costdrivere!$A$1:$G$128,2,FALSE)</f>
        <v>148739.08867457046</v>
      </c>
      <c r="C14" s="203">
        <f>VLOOKUP($A14,Costdrivere!$A$1:$G$128,3,FALSE)</f>
        <v>359866.75199999998</v>
      </c>
      <c r="D14" s="203">
        <f>VLOOKUP($A14,Costdrivere!$A$1:$G$128,4,FALSE)</f>
        <v>0</v>
      </c>
      <c r="E14" s="203">
        <f>VLOOKUP($A14,Costdrivere!$A$1:$G$128,5,FALSE)</f>
        <v>0</v>
      </c>
      <c r="F14" s="203">
        <f>VLOOKUP($A14,Costdrivere!$A$1:$G$128,6,FALSE)</f>
        <v>0</v>
      </c>
      <c r="G14" s="203">
        <f>VLOOKUP($A14,Costdrivere!$A$1:$G$128,7,FALSE)</f>
        <v>143508.40000000002</v>
      </c>
      <c r="H14" s="25">
        <v>28.462418547253336</v>
      </c>
      <c r="I14" s="15">
        <f>VLOOKUP(A14,Costdrivere!$A$1:$H$128,8,FALSE)</f>
        <v>0</v>
      </c>
      <c r="J14" s="32">
        <f t="shared" si="0"/>
        <v>652114.24067457044</v>
      </c>
      <c r="K14" s="33">
        <f t="shared" si="1"/>
        <v>709059.16064454836</v>
      </c>
      <c r="L14" s="33">
        <v>0</v>
      </c>
      <c r="M14" s="32">
        <f>J14+'Potentialer og krav'!F13</f>
        <v>652114.24067457044</v>
      </c>
      <c r="N14" s="33">
        <f t="shared" si="3"/>
        <v>709059.16064454836</v>
      </c>
      <c r="O14" s="43">
        <f t="shared" si="4"/>
        <v>463653.22511961957</v>
      </c>
      <c r="P14" s="33">
        <f>M14+(0.25*'Potentialer og krav'!$C13)</f>
        <v>781911.99067457044</v>
      </c>
      <c r="Q14" s="33">
        <f>N14+(0.25*'Potentialer og krav'!$C13)</f>
        <v>838856.91064454836</v>
      </c>
      <c r="R14" s="33">
        <f>O14+(0.25*'Potentialer og krav'!$C13)</f>
        <v>593450.97511961963</v>
      </c>
      <c r="S14" s="24">
        <v>511383</v>
      </c>
      <c r="T14" s="24">
        <f t="shared" si="5"/>
        <v>527235.87299999991</v>
      </c>
      <c r="V14" s="216">
        <f t="shared" ref="V14:V52" si="20">B14/(SUM($B14:$G14))</f>
        <v>0.22808747209800143</v>
      </c>
      <c r="W14" s="217">
        <f t="shared" ref="W14:W52" si="21">C14/(SUM($B14:$G14))</f>
        <v>0.55184617901878796</v>
      </c>
      <c r="X14" s="217">
        <f t="shared" ref="X14:X52" si="22">D14/(SUM($B14:$G14))</f>
        <v>0</v>
      </c>
      <c r="Y14" s="217">
        <f t="shared" ref="Y14:Y52" si="23">E14/(SUM($B14:$G14))</f>
        <v>0</v>
      </c>
      <c r="Z14" s="217">
        <f t="shared" ref="Z14:Z52" si="24">F14/(SUM($B14:$G14))</f>
        <v>0</v>
      </c>
      <c r="AA14" s="218">
        <f t="shared" ref="AA14:AA52" si="25">G14/(SUM($B14:$G14))</f>
        <v>0.22006634888321067</v>
      </c>
      <c r="AC14" s="216">
        <f t="shared" ref="AC14:AC38" si="26">V$131-V14</f>
        <v>-0.11079819041736547</v>
      </c>
      <c r="AD14" s="217">
        <f t="shared" ref="AD14:AD38" si="27">W$131-W14</f>
        <v>-0.25722291883736925</v>
      </c>
      <c r="AE14" s="217">
        <f t="shared" ref="AE14:AE38" si="28">X$131-X14</f>
        <v>4.6771817593168785E-2</v>
      </c>
      <c r="AF14" s="217">
        <f t="shared" ref="AF14:AF38" si="29">Y$131-Y14</f>
        <v>0.2284589692690884</v>
      </c>
      <c r="AG14" s="217">
        <f t="shared" ref="AG14:AG38" si="30">Z$131-Z14</f>
        <v>0.14806499594423672</v>
      </c>
      <c r="AH14" s="218">
        <f t="shared" ref="AH14:AH38" si="31">AA$131-AA14</f>
        <v>-5.6752081800637844E-2</v>
      </c>
      <c r="AI14" s="11"/>
      <c r="AJ14" s="214">
        <f t="shared" ref="AJ14:AJ38" si="32">$AA$131-AA14</f>
        <v>-5.6752081800637844E-2</v>
      </c>
      <c r="AK14" s="215">
        <f t="shared" ref="AK14:AK38" si="33">IF(AJ14&lt;$AA$134,(AJ14-$AA$134)*0.7658,0)</f>
        <v>0</v>
      </c>
    </row>
    <row r="15" spans="1:37" x14ac:dyDescent="0.25">
      <c r="A15" s="210" t="s">
        <v>47</v>
      </c>
      <c r="B15" s="202">
        <f>VLOOKUP($A15,Costdrivere!$A$1:$G$128,2,FALSE)</f>
        <v>189222.86716699231</v>
      </c>
      <c r="C15" s="203">
        <f>VLOOKUP($A15,Costdrivere!$A$1:$G$128,3,FALSE)</f>
        <v>451193.19900000002</v>
      </c>
      <c r="D15" s="203">
        <f>VLOOKUP($A15,Costdrivere!$A$1:$G$128,4,FALSE)</f>
        <v>178851</v>
      </c>
      <c r="E15" s="203">
        <f>VLOOKUP($A15,Costdrivere!$A$1:$G$128,5,FALSE)</f>
        <v>234726</v>
      </c>
      <c r="F15" s="203">
        <f>VLOOKUP($A15,Costdrivere!$A$1:$G$128,6,FALSE)</f>
        <v>229773.6</v>
      </c>
      <c r="G15" s="203">
        <f>VLOOKUP($A15,Costdrivere!$A$1:$G$128,7,FALSE)</f>
        <v>253461.6</v>
      </c>
      <c r="H15" s="25">
        <v>29.394031151526157</v>
      </c>
      <c r="I15" s="15">
        <f>VLOOKUP(A15,Costdrivere!$A$1:$H$128,8,FALSE)</f>
        <v>2.9172413793103449E-2</v>
      </c>
      <c r="J15" s="32">
        <f t="shared" si="0"/>
        <v>1537228.2661669925</v>
      </c>
      <c r="K15" s="33">
        <f t="shared" si="1"/>
        <v>1697242.2928149647</v>
      </c>
      <c r="L15" s="33">
        <f t="shared" si="2"/>
        <v>1700345.3597575945</v>
      </c>
      <c r="M15" s="32">
        <f>J15+'Potentialer og krav'!F14</f>
        <v>1537228.2661669925</v>
      </c>
      <c r="N15" s="33">
        <f t="shared" si="3"/>
        <v>1697242.2928149647</v>
      </c>
      <c r="O15" s="43">
        <f t="shared" si="4"/>
        <v>1700345.3597575945</v>
      </c>
      <c r="P15" s="33">
        <f>M15+(0.25*'Potentialer og krav'!$C14)</f>
        <v>1899953.5161669925</v>
      </c>
      <c r="Q15" s="33">
        <f>N15+(0.25*'Potentialer og krav'!$C14)</f>
        <v>2059967.5428149647</v>
      </c>
      <c r="R15" s="33">
        <f>O15+(0.25*'Potentialer og krav'!$C14)</f>
        <v>2063070.6097575945</v>
      </c>
      <c r="S15" s="24">
        <v>1176493</v>
      </c>
      <c r="T15" s="24">
        <f t="shared" si="5"/>
        <v>1212964.2829999998</v>
      </c>
      <c r="V15" s="216">
        <f t="shared" si="20"/>
        <v>0.12309353876169007</v>
      </c>
      <c r="W15" s="217">
        <f t="shared" si="21"/>
        <v>0.29351086558213596</v>
      </c>
      <c r="X15" s="217">
        <f t="shared" si="22"/>
        <v>0.11634641642776755</v>
      </c>
      <c r="Y15" s="217">
        <f t="shared" si="23"/>
        <v>0.15269430387542796</v>
      </c>
      <c r="Z15" s="217">
        <f t="shared" si="24"/>
        <v>0.14947266131979856</v>
      </c>
      <c r="AA15" s="218">
        <f t="shared" si="25"/>
        <v>0.16488221403317985</v>
      </c>
      <c r="AC15" s="216">
        <f t="shared" si="26"/>
        <v>-5.804257081054115E-3</v>
      </c>
      <c r="AD15" s="217">
        <f t="shared" si="27"/>
        <v>1.1123945992827511E-3</v>
      </c>
      <c r="AE15" s="217">
        <f t="shared" si="28"/>
        <v>-6.9574598834598766E-2</v>
      </c>
      <c r="AF15" s="217">
        <f t="shared" si="29"/>
        <v>7.5764665393660446E-2</v>
      </c>
      <c r="AG15" s="217">
        <f t="shared" si="30"/>
        <v>-1.407665375561834E-3</v>
      </c>
      <c r="AH15" s="218">
        <f t="shared" si="31"/>
        <v>-1.5679469506070243E-3</v>
      </c>
      <c r="AI15" s="11"/>
      <c r="AJ15" s="214">
        <f t="shared" si="32"/>
        <v>-1.5679469506070243E-3</v>
      </c>
      <c r="AK15" s="215">
        <f t="shared" si="33"/>
        <v>0</v>
      </c>
    </row>
    <row r="16" spans="1:37" x14ac:dyDescent="0.25">
      <c r="A16" s="210" t="s">
        <v>55</v>
      </c>
      <c r="B16" s="202">
        <f>VLOOKUP($A16,Costdrivere!$A$1:$G$128,2,FALSE)</f>
        <v>573890.16443921125</v>
      </c>
      <c r="C16" s="203">
        <f>VLOOKUP($A16,Costdrivere!$A$1:$G$128,3,FALSE)</f>
        <v>1554159.3729999999</v>
      </c>
      <c r="D16" s="203">
        <f>VLOOKUP($A16,Costdrivere!$A$1:$G$128,4,FALSE)</f>
        <v>254750</v>
      </c>
      <c r="E16" s="203">
        <f>VLOOKUP($A16,Costdrivere!$A$1:$G$128,5,FALSE)</f>
        <v>1040888.3999999999</v>
      </c>
      <c r="F16" s="203">
        <f>VLOOKUP($A16,Costdrivere!$A$1:$G$128,6,FALSE)</f>
        <v>713900.60000000009</v>
      </c>
      <c r="G16" s="203">
        <f>VLOOKUP($A16,Costdrivere!$A$1:$G$128,7,FALSE)</f>
        <v>825398.00000000012</v>
      </c>
      <c r="H16" s="25">
        <v>23.52060419234795</v>
      </c>
      <c r="I16" s="15">
        <f>VLOOKUP(A16,Costdrivere!$A$1:$H$128,8,FALSE)</f>
        <v>2.1423017107309487E-2</v>
      </c>
      <c r="J16" s="32">
        <f>SUM(B16:G16)</f>
        <v>4962986.5374392113</v>
      </c>
      <c r="K16" s="33">
        <f t="shared" si="1"/>
        <v>4954901.2142906105</v>
      </c>
      <c r="L16" s="33">
        <f t="shared" si="2"/>
        <v>4968710.5667022988</v>
      </c>
      <c r="M16" s="32">
        <f>J16+'Potentialer og krav'!F15</f>
        <v>4962986.5374392113</v>
      </c>
      <c r="N16" s="33">
        <f t="shared" si="3"/>
        <v>4954901.2142906105</v>
      </c>
      <c r="O16" s="43">
        <f t="shared" si="4"/>
        <v>4968710.5667022988</v>
      </c>
      <c r="P16" s="33">
        <f>M16+(0.25*'Potentialer og krav'!$C15)</f>
        <v>6530874.2874392113</v>
      </c>
      <c r="Q16" s="33">
        <f>N16+(0.25*'Potentialer og krav'!$C15)</f>
        <v>6522788.9642906105</v>
      </c>
      <c r="R16" s="33">
        <f>O16+(0.25*'Potentialer og krav'!$C15)</f>
        <v>6536598.3167022988</v>
      </c>
      <c r="S16" s="24">
        <v>5276490</v>
      </c>
      <c r="T16" s="24">
        <f t="shared" si="5"/>
        <v>5440061.1899999995</v>
      </c>
      <c r="V16" s="216">
        <f t="shared" si="20"/>
        <v>0.11563403610103798</v>
      </c>
      <c r="W16" s="217">
        <f t="shared" si="21"/>
        <v>0.31315002796721486</v>
      </c>
      <c r="X16" s="217">
        <f t="shared" si="22"/>
        <v>5.1329980059032207E-2</v>
      </c>
      <c r="Y16" s="217">
        <f t="shared" si="23"/>
        <v>0.20973024854044331</v>
      </c>
      <c r="Z16" s="217">
        <f t="shared" si="24"/>
        <v>0.14384496000836558</v>
      </c>
      <c r="AA16" s="218">
        <f t="shared" si="25"/>
        <v>0.16631074732390605</v>
      </c>
      <c r="AC16" s="216">
        <f t="shared" si="26"/>
        <v>1.6552455795979804E-3</v>
      </c>
      <c r="AD16" s="217">
        <f t="shared" si="27"/>
        <v>-1.852676778579615E-2</v>
      </c>
      <c r="AE16" s="217">
        <f t="shared" si="28"/>
        <v>-4.5581624658634218E-3</v>
      </c>
      <c r="AF16" s="217">
        <f t="shared" si="29"/>
        <v>1.8728720728645093E-2</v>
      </c>
      <c r="AG16" s="217">
        <f t="shared" si="30"/>
        <v>4.2200359358711415E-3</v>
      </c>
      <c r="AH16" s="218">
        <f t="shared" si="31"/>
        <v>-2.996480241333227E-3</v>
      </c>
      <c r="AI16" s="11"/>
      <c r="AJ16" s="214">
        <f t="shared" si="32"/>
        <v>-2.996480241333227E-3</v>
      </c>
      <c r="AK16" s="215">
        <f t="shared" si="33"/>
        <v>0</v>
      </c>
    </row>
    <row r="17" spans="1:37" x14ac:dyDescent="0.25">
      <c r="A17" s="210" t="s">
        <v>48</v>
      </c>
      <c r="B17" s="202">
        <f>VLOOKUP($A17,Costdrivere!$A$1:$G$128,2,FALSE)</f>
        <v>290537.05132261355</v>
      </c>
      <c r="C17" s="203">
        <f>VLOOKUP($A17,Costdrivere!$A$1:$G$128,3,FALSE)</f>
        <v>748743.30900000001</v>
      </c>
      <c r="D17" s="203">
        <f>VLOOKUP($A17,Costdrivere!$A$1:$G$128,4,FALSE)</f>
        <v>0</v>
      </c>
      <c r="E17" s="203">
        <f>VLOOKUP($A17,Costdrivere!$A$1:$G$128,5,FALSE)</f>
        <v>291384</v>
      </c>
      <c r="F17" s="203">
        <f>VLOOKUP($A17,Costdrivere!$A$1:$G$128,6,FALSE)</f>
        <v>307179.60000000003</v>
      </c>
      <c r="G17" s="203">
        <f>VLOOKUP($A17,Costdrivere!$A$1:$G$128,7,FALSE)</f>
        <v>338847.60000000003</v>
      </c>
      <c r="H17" s="25">
        <v>23.096440250970332</v>
      </c>
      <c r="I17" s="15">
        <f>VLOOKUP(A17,Costdrivere!$A$1:$H$128,8,FALSE)</f>
        <v>3.1416666666666669E-2</v>
      </c>
      <c r="J17" s="32">
        <f t="shared" si="0"/>
        <v>1976691.5603226137</v>
      </c>
      <c r="K17" s="33">
        <f t="shared" si="1"/>
        <v>1958379.3405020968</v>
      </c>
      <c r="L17" s="33">
        <f t="shared" si="2"/>
        <v>2246524.4540447593</v>
      </c>
      <c r="M17" s="32">
        <f>J17+'Potentialer og krav'!F16</f>
        <v>1976691.5603226137</v>
      </c>
      <c r="N17" s="33">
        <f t="shared" si="3"/>
        <v>1958379.3405020968</v>
      </c>
      <c r="O17" s="43">
        <f t="shared" si="4"/>
        <v>2246524.4540447593</v>
      </c>
      <c r="P17" s="33">
        <f>M17+(0.25*'Potentialer og krav'!$C16)</f>
        <v>2344755.5603226135</v>
      </c>
      <c r="Q17" s="33">
        <f>N17+(0.25*'Potentialer og krav'!$C16)</f>
        <v>2326443.3405020968</v>
      </c>
      <c r="R17" s="33">
        <f>O17+(0.25*'Potentialer og krav'!$C16)</f>
        <v>2614588.4540447593</v>
      </c>
      <c r="S17" s="24">
        <v>1836035</v>
      </c>
      <c r="T17" s="24">
        <f t="shared" si="5"/>
        <v>1892952.085</v>
      </c>
      <c r="V17" s="216">
        <f t="shared" si="20"/>
        <v>0.1469814801431111</v>
      </c>
      <c r="W17" s="217">
        <f t="shared" si="21"/>
        <v>0.37878611111072807</v>
      </c>
      <c r="X17" s="217">
        <f t="shared" si="22"/>
        <v>0</v>
      </c>
      <c r="Y17" s="217">
        <f t="shared" si="23"/>
        <v>0.14740994793969958</v>
      </c>
      <c r="Z17" s="217">
        <f t="shared" si="24"/>
        <v>0.15540087597169969</v>
      </c>
      <c r="AA17" s="218">
        <f t="shared" si="25"/>
        <v>0.17142158483476153</v>
      </c>
      <c r="AC17" s="216">
        <f t="shared" si="26"/>
        <v>-2.9692198462475144E-2</v>
      </c>
      <c r="AD17" s="217">
        <f t="shared" si="27"/>
        <v>-8.4162850929309363E-2</v>
      </c>
      <c r="AE17" s="217">
        <f t="shared" si="28"/>
        <v>4.6771817593168785E-2</v>
      </c>
      <c r="AF17" s="217">
        <f t="shared" si="29"/>
        <v>8.1049021329388821E-2</v>
      </c>
      <c r="AG17" s="217">
        <f t="shared" si="30"/>
        <v>-7.3358800274629654E-3</v>
      </c>
      <c r="AH17" s="218">
        <f t="shared" si="31"/>
        <v>-8.107317752188703E-3</v>
      </c>
      <c r="AI17" s="11"/>
      <c r="AJ17" s="214">
        <f t="shared" si="32"/>
        <v>-8.107317752188703E-3</v>
      </c>
      <c r="AK17" s="215">
        <f t="shared" si="33"/>
        <v>0</v>
      </c>
    </row>
    <row r="18" spans="1:37" x14ac:dyDescent="0.25">
      <c r="A18" s="210" t="s">
        <v>58</v>
      </c>
      <c r="B18" s="202">
        <f>VLOOKUP($A18,Costdrivere!$A$1:$G$128,2,FALSE)</f>
        <v>236425.61575135292</v>
      </c>
      <c r="C18" s="203">
        <f>VLOOKUP($A18,Costdrivere!$A$1:$G$128,3,FALSE)</f>
        <v>592204.88500000001</v>
      </c>
      <c r="D18" s="203">
        <f>VLOOKUP($A18,Costdrivere!$A$1:$G$128,4,FALSE)</f>
        <v>0</v>
      </c>
      <c r="E18" s="203">
        <f>VLOOKUP($A18,Costdrivere!$A$1:$G$128,5,FALSE)</f>
        <v>325783.5</v>
      </c>
      <c r="F18" s="203">
        <f>VLOOKUP($A18,Costdrivere!$A$1:$G$128,6,FALSE)</f>
        <v>266575.40000000002</v>
      </c>
      <c r="G18" s="203">
        <f>VLOOKUP($A18,Costdrivere!$A$1:$G$128,7,FALSE)</f>
        <v>325215.80000000005</v>
      </c>
      <c r="H18" s="25">
        <v>29.826558181730288</v>
      </c>
      <c r="I18" s="15">
        <f>VLOOKUP(A18,Costdrivere!$A$1:$H$128,8,FALSE)</f>
        <v>2.6968944099378882E-2</v>
      </c>
      <c r="J18" s="32">
        <f t="shared" si="0"/>
        <v>1746205.2007513528</v>
      </c>
      <c r="K18" s="33">
        <f t="shared" si="1"/>
        <v>1941567.2287461322</v>
      </c>
      <c r="L18" s="33">
        <f t="shared" si="2"/>
        <v>1879383.6944027536</v>
      </c>
      <c r="M18" s="32">
        <f>J18+'Potentialer og krav'!F17</f>
        <v>1746205.2007513528</v>
      </c>
      <c r="N18" s="33">
        <f t="shared" si="3"/>
        <v>1941567.2287461322</v>
      </c>
      <c r="O18" s="43">
        <f t="shared" si="4"/>
        <v>1879383.6944027536</v>
      </c>
      <c r="P18" s="33">
        <f>M18+(0.25*'Potentialer og krav'!$C17)</f>
        <v>2059322.2007513528</v>
      </c>
      <c r="Q18" s="33">
        <f>N18+(0.25*'Potentialer og krav'!$C17)</f>
        <v>2254684.228746132</v>
      </c>
      <c r="R18" s="33">
        <f>O18+(0.25*'Potentialer og krav'!$C17)</f>
        <v>2192500.6944027534</v>
      </c>
      <c r="S18" s="24">
        <v>1136995</v>
      </c>
      <c r="T18" s="24">
        <f t="shared" si="5"/>
        <v>1172241.845</v>
      </c>
      <c r="V18" s="216">
        <f t="shared" si="20"/>
        <v>0.13539394777293315</v>
      </c>
      <c r="W18" s="217">
        <f t="shared" si="21"/>
        <v>0.33913819793068284</v>
      </c>
      <c r="X18" s="217">
        <f t="shared" si="22"/>
        <v>0</v>
      </c>
      <c r="Y18" s="217">
        <f t="shared" si="23"/>
        <v>0.18656656151282947</v>
      </c>
      <c r="Z18" s="217">
        <f t="shared" si="24"/>
        <v>0.15265983624679311</v>
      </c>
      <c r="AA18" s="218">
        <f t="shared" si="25"/>
        <v>0.18624145653676155</v>
      </c>
      <c r="AC18" s="216">
        <f t="shared" si="26"/>
        <v>-1.8104666092297189E-2</v>
      </c>
      <c r="AD18" s="217">
        <f t="shared" si="27"/>
        <v>-4.4514937749264127E-2</v>
      </c>
      <c r="AE18" s="217">
        <f t="shared" si="28"/>
        <v>4.6771817593168785E-2</v>
      </c>
      <c r="AF18" s="217">
        <f t="shared" si="29"/>
        <v>4.1892407756258937E-2</v>
      </c>
      <c r="AG18" s="217">
        <f t="shared" si="30"/>
        <v>-4.5948403025563855E-3</v>
      </c>
      <c r="AH18" s="218">
        <f t="shared" si="31"/>
        <v>-2.2927189454188729E-2</v>
      </c>
      <c r="AI18" s="11"/>
      <c r="AJ18" s="214">
        <f t="shared" si="32"/>
        <v>-2.2927189454188729E-2</v>
      </c>
      <c r="AK18" s="215">
        <f t="shared" si="33"/>
        <v>0</v>
      </c>
    </row>
    <row r="19" spans="1:37" x14ac:dyDescent="0.25">
      <c r="A19" s="210" t="s">
        <v>50</v>
      </c>
      <c r="B19" s="202">
        <f>VLOOKUP($A19,Costdrivere!$A$1:$G$128,2,FALSE)</f>
        <v>0</v>
      </c>
      <c r="C19" s="203">
        <f>VLOOKUP($A19,Costdrivere!$A$1:$G$128,3,FALSE)</f>
        <v>599534.35699999996</v>
      </c>
      <c r="D19" s="203">
        <f>VLOOKUP($A19,Costdrivere!$A$1:$G$128,4,FALSE)</f>
        <v>141812</v>
      </c>
      <c r="E19" s="203">
        <f>VLOOKUP($A19,Costdrivere!$A$1:$G$128,5,FALSE)</f>
        <v>659661</v>
      </c>
      <c r="F19" s="203">
        <f>VLOOKUP($A19,Costdrivere!$A$1:$G$128,6,FALSE)</f>
        <v>255439.80000000002</v>
      </c>
      <c r="G19" s="203">
        <f>VLOOKUP($A19,Costdrivere!$A$1:$G$128,7,FALSE)</f>
        <v>274134</v>
      </c>
      <c r="H19" s="25">
        <v>29.757014557673802</v>
      </c>
      <c r="I19" s="15">
        <f>VLOOKUP(A19,Costdrivere!$A$1:$H$128,8,FALSE)</f>
        <v>1.1226993865030675E-2</v>
      </c>
      <c r="J19" s="32">
        <f t="shared" si="0"/>
        <v>1930581.1569999999</v>
      </c>
      <c r="K19" s="33">
        <f t="shared" si="1"/>
        <v>2144154.1339601548</v>
      </c>
      <c r="L19" s="33">
        <f t="shared" si="2"/>
        <v>1666204.2939058137</v>
      </c>
      <c r="M19" s="32">
        <f>J19+'Potentialer og krav'!F18</f>
        <v>1930581.1569999999</v>
      </c>
      <c r="N19" s="33">
        <f t="shared" si="3"/>
        <v>2144154.1339601548</v>
      </c>
      <c r="O19" s="43">
        <f t="shared" si="4"/>
        <v>1666204.2939058137</v>
      </c>
      <c r="P19" s="33">
        <f>M19+(0.25*'Potentialer og krav'!$C18)</f>
        <v>2304634.1569999997</v>
      </c>
      <c r="Q19" s="33">
        <f>N19+(0.25*'Potentialer og krav'!$C18)</f>
        <v>2518207.1339601548</v>
      </c>
      <c r="R19" s="33">
        <f>O19+(0.25*'Potentialer og krav'!$C18)</f>
        <v>2040257.2939058137</v>
      </c>
      <c r="S19" s="24">
        <v>1307071</v>
      </c>
      <c r="T19" s="24">
        <f t="shared" si="5"/>
        <v>1347590.2009999999</v>
      </c>
      <c r="V19" s="216">
        <f t="shared" si="20"/>
        <v>0</v>
      </c>
      <c r="W19" s="217">
        <f t="shared" si="21"/>
        <v>0.31054605232532062</v>
      </c>
      <c r="X19" s="217">
        <f t="shared" si="22"/>
        <v>7.3455601431626327E-2</v>
      </c>
      <c r="Y19" s="217">
        <f t="shared" si="23"/>
        <v>0.34169037525729878</v>
      </c>
      <c r="Z19" s="217">
        <f t="shared" si="24"/>
        <v>0.13231238638884116</v>
      </c>
      <c r="AA19" s="218">
        <f t="shared" si="25"/>
        <v>0.14199558459691317</v>
      </c>
      <c r="AC19" s="216">
        <f t="shared" si="26"/>
        <v>0.11728928168063596</v>
      </c>
      <c r="AD19" s="217">
        <f t="shared" si="27"/>
        <v>-1.5922792143901909E-2</v>
      </c>
      <c r="AE19" s="217">
        <f t="shared" si="28"/>
        <v>-2.6683783838457542E-2</v>
      </c>
      <c r="AF19" s="217">
        <f t="shared" si="29"/>
        <v>-0.11323140598821038</v>
      </c>
      <c r="AG19" s="217">
        <f t="shared" si="30"/>
        <v>1.5752609555395564E-2</v>
      </c>
      <c r="AH19" s="218">
        <f t="shared" si="31"/>
        <v>2.1318682485659657E-2</v>
      </c>
      <c r="AI19" s="11"/>
      <c r="AJ19" s="214">
        <f t="shared" si="32"/>
        <v>2.1318682485659657E-2</v>
      </c>
      <c r="AK19" s="215">
        <f t="shared" si="33"/>
        <v>0</v>
      </c>
    </row>
    <row r="20" spans="1:37" x14ac:dyDescent="0.25">
      <c r="A20" s="210" t="s">
        <v>61</v>
      </c>
      <c r="B20" s="202">
        <f>VLOOKUP($A20,Costdrivere!$A$1:$G$128,2,FALSE)</f>
        <v>408561.96907200455</v>
      </c>
      <c r="C20" s="203">
        <f>VLOOKUP($A20,Costdrivere!$A$1:$G$128,3,FALSE)</f>
        <v>1047298.318</v>
      </c>
      <c r="D20" s="203">
        <f>VLOOKUP($A20,Costdrivere!$A$1:$G$128,4,FALSE)</f>
        <v>35453</v>
      </c>
      <c r="E20" s="203">
        <f>VLOOKUP($A20,Costdrivere!$A$1:$G$128,5,FALSE)</f>
        <v>1443424.5</v>
      </c>
      <c r="F20" s="203">
        <f>VLOOKUP($A20,Costdrivere!$A$1:$G$128,6,FALSE)</f>
        <v>952354.4</v>
      </c>
      <c r="G20" s="203">
        <f>VLOOKUP($A20,Costdrivere!$A$1:$G$128,7,FALSE)</f>
        <v>851463.20000000007</v>
      </c>
      <c r="H20" s="25">
        <v>30.428917388673749</v>
      </c>
      <c r="I20" s="15">
        <f>VLOOKUP(A20,Costdrivere!$A$1:$H$128,8,FALSE)</f>
        <v>3.746868820039552E-2</v>
      </c>
      <c r="J20" s="32">
        <f>SUM(B20:G20)</f>
        <v>4738555.3870720044</v>
      </c>
      <c r="K20" s="33">
        <f t="shared" si="1"/>
        <v>5320073.3350340445</v>
      </c>
      <c r="L20" s="33">
        <f t="shared" si="2"/>
        <v>5773815.6014980329</v>
      </c>
      <c r="M20" s="32">
        <f>J20+'Potentialer og krav'!F19</f>
        <v>4787436.3870720044</v>
      </c>
      <c r="N20" s="33">
        <f t="shared" si="3"/>
        <v>5374953.0364298085</v>
      </c>
      <c r="O20" s="43">
        <f t="shared" si="4"/>
        <v>5833375.9226007089</v>
      </c>
      <c r="P20" s="33">
        <f>M20+(0.25*'Potentialer og krav'!$C19)</f>
        <v>5775494.3870720044</v>
      </c>
      <c r="Q20" s="33">
        <f>N20+(0.25*'Potentialer og krav'!$C19)</f>
        <v>6363011.0364298085</v>
      </c>
      <c r="R20" s="33">
        <f>O20+(0.25*'Potentialer og krav'!$C19)</f>
        <v>6821433.9226007089</v>
      </c>
      <c r="S20" s="24">
        <v>3126981</v>
      </c>
      <c r="T20" s="24">
        <f t="shared" si="5"/>
        <v>3223917.4109999998</v>
      </c>
      <c r="V20" s="216">
        <f t="shared" si="20"/>
        <v>8.6220785808828249E-2</v>
      </c>
      <c r="W20" s="217">
        <f t="shared" si="21"/>
        <v>0.22101637154169362</v>
      </c>
      <c r="X20" s="217">
        <f t="shared" si="22"/>
        <v>7.4818161030099778E-3</v>
      </c>
      <c r="Y20" s="217">
        <f t="shared" si="23"/>
        <v>0.30461277374493345</v>
      </c>
      <c r="Z20" s="217">
        <f t="shared" si="24"/>
        <v>0.20097990256656434</v>
      </c>
      <c r="AA20" s="218">
        <f t="shared" si="25"/>
        <v>0.1796883502349704</v>
      </c>
      <c r="AC20" s="216">
        <f t="shared" si="26"/>
        <v>3.1068495871807711E-2</v>
      </c>
      <c r="AD20" s="217">
        <f t="shared" si="27"/>
        <v>7.3606888639725088E-2</v>
      </c>
      <c r="AE20" s="217">
        <f t="shared" si="28"/>
        <v>3.9290001490158807E-2</v>
      </c>
      <c r="AF20" s="217">
        <f t="shared" si="29"/>
        <v>-7.6153804475845049E-2</v>
      </c>
      <c r="AG20" s="217">
        <f t="shared" si="30"/>
        <v>-5.2914906622327618E-2</v>
      </c>
      <c r="AH20" s="218">
        <f t="shared" si="31"/>
        <v>-1.6374083152397578E-2</v>
      </c>
      <c r="AI20" s="11"/>
      <c r="AJ20" s="214">
        <f t="shared" si="32"/>
        <v>-1.6374083152397578E-2</v>
      </c>
      <c r="AK20" s="215">
        <f t="shared" si="33"/>
        <v>0</v>
      </c>
    </row>
    <row r="21" spans="1:37" x14ac:dyDescent="0.25">
      <c r="A21" s="210" t="s">
        <v>63</v>
      </c>
      <c r="B21" s="202">
        <f>VLOOKUP($A21,Costdrivere!$A$1:$G$128,2,FALSE)</f>
        <v>154786.60699645701</v>
      </c>
      <c r="C21" s="203">
        <f>VLOOKUP($A21,Costdrivere!$A$1:$G$128,3,FALSE)</f>
        <v>380604.60399999999</v>
      </c>
      <c r="D21" s="203">
        <f>VLOOKUP($A21,Costdrivere!$A$1:$G$128,4,FALSE)</f>
        <v>70906</v>
      </c>
      <c r="E21" s="203">
        <f>VLOOKUP($A21,Costdrivere!$A$1:$G$128,5,FALSE)</f>
        <v>178877.40000000002</v>
      </c>
      <c r="F21" s="203">
        <f>VLOOKUP($A21,Costdrivere!$A$1:$G$128,6,FALSE)</f>
        <v>212527.00000000003</v>
      </c>
      <c r="G21" s="203">
        <f>VLOOKUP($A21,Costdrivere!$A$1:$G$128,7,FALSE)</f>
        <v>235635.40000000002</v>
      </c>
      <c r="H21" s="25">
        <v>29.892857543409256</v>
      </c>
      <c r="I21" s="15">
        <f>VLOOKUP(A21,Costdrivere!$A$1:$H$128,8,FALSE)</f>
        <v>3.558823529411765E-2</v>
      </c>
      <c r="J21" s="32">
        <f t="shared" si="0"/>
        <v>1233337.0109964572</v>
      </c>
      <c r="K21" s="33">
        <f t="shared" si="1"/>
        <v>1372792.1976321258</v>
      </c>
      <c r="L21" s="33">
        <f t="shared" si="2"/>
        <v>1471379.7600270861</v>
      </c>
      <c r="M21" s="32">
        <f>J21+'Potentialer og krav'!F20</f>
        <v>1247977.0109964572</v>
      </c>
      <c r="N21" s="33">
        <f t="shared" si="3"/>
        <v>1389087.5634519651</v>
      </c>
      <c r="O21" s="43">
        <f t="shared" si="4"/>
        <v>1488845.3833682628</v>
      </c>
      <c r="P21" s="33">
        <f>M21+(0.25*'Potentialer og krav'!$C20)</f>
        <v>1684603.5109964572</v>
      </c>
      <c r="Q21" s="33">
        <f>N21+(0.25*'Potentialer og krav'!$C20)</f>
        <v>1825714.0634519651</v>
      </c>
      <c r="R21" s="33">
        <f>O21+(0.25*'Potentialer og krav'!$C20)</f>
        <v>1925471.8833682628</v>
      </c>
      <c r="S21" s="24">
        <v>1633809</v>
      </c>
      <c r="T21" s="24">
        <f t="shared" si="5"/>
        <v>1684457.0789999999</v>
      </c>
      <c r="V21" s="216">
        <f t="shared" si="20"/>
        <v>0.12550228008758074</v>
      </c>
      <c r="W21" s="217">
        <f t="shared" si="21"/>
        <v>0.30859740736434715</v>
      </c>
      <c r="X21" s="217">
        <f t="shared" si="22"/>
        <v>5.7491179919033242E-2</v>
      </c>
      <c r="Y21" s="217">
        <f t="shared" si="23"/>
        <v>0.14503529725056946</v>
      </c>
      <c r="Z21" s="217">
        <f t="shared" si="24"/>
        <v>0.17231867535402334</v>
      </c>
      <c r="AA21" s="218">
        <f t="shared" si="25"/>
        <v>0.19105516002444597</v>
      </c>
      <c r="AC21" s="216">
        <f t="shared" si="26"/>
        <v>-8.2129984069447826E-3</v>
      </c>
      <c r="AD21" s="217">
        <f t="shared" si="27"/>
        <v>-1.3974147182928442E-2</v>
      </c>
      <c r="AE21" s="217">
        <f t="shared" si="28"/>
        <v>-1.0719362325864457E-2</v>
      </c>
      <c r="AF21" s="217">
        <f t="shared" si="29"/>
        <v>8.3423672018518941E-2</v>
      </c>
      <c r="AG21" s="217">
        <f t="shared" si="30"/>
        <v>-2.4253679409786622E-2</v>
      </c>
      <c r="AH21" s="218">
        <f t="shared" si="31"/>
        <v>-2.7740892941873152E-2</v>
      </c>
      <c r="AI21" s="11"/>
      <c r="AJ21" s="214">
        <f t="shared" si="32"/>
        <v>-2.7740892941873152E-2</v>
      </c>
      <c r="AK21" s="215">
        <f t="shared" si="33"/>
        <v>0</v>
      </c>
    </row>
    <row r="22" spans="1:37" x14ac:dyDescent="0.25">
      <c r="A22" s="210" t="s">
        <v>51</v>
      </c>
      <c r="B22" s="202">
        <f>VLOOKUP($A22,Costdrivere!$A$1:$G$128,2,FALSE)</f>
        <v>179895.51786801897</v>
      </c>
      <c r="C22" s="203">
        <f>VLOOKUP($A22,Costdrivere!$A$1:$G$128,3,FALSE)</f>
        <v>411676.31199999998</v>
      </c>
      <c r="D22" s="203">
        <f>VLOOKUP($A22,Costdrivere!$A$1:$G$128,4,FALSE)</f>
        <v>35453</v>
      </c>
      <c r="E22" s="203">
        <f>VLOOKUP($A22,Costdrivere!$A$1:$G$128,5,FALSE)</f>
        <v>279243</v>
      </c>
      <c r="F22" s="203">
        <f>VLOOKUP($A22,Costdrivere!$A$1:$G$128,6,FALSE)</f>
        <v>251094.2</v>
      </c>
      <c r="G22" s="203">
        <f>VLOOKUP($A22,Costdrivere!$A$1:$G$128,7,FALSE)</f>
        <v>272636</v>
      </c>
      <c r="H22" s="25">
        <v>31.718657482420472</v>
      </c>
      <c r="I22" s="15">
        <f>VLOOKUP(A22,Costdrivere!$A$1:$H$128,8,FALSE)</f>
        <v>2.6376811594202899E-2</v>
      </c>
      <c r="J22" s="32">
        <f t="shared" si="0"/>
        <v>1429998.029868019</v>
      </c>
      <c r="K22" s="33">
        <f t="shared" si="1"/>
        <v>1638685.9859526667</v>
      </c>
      <c r="L22" s="33">
        <f t="shared" si="2"/>
        <v>1527591.8722229598</v>
      </c>
      <c r="M22" s="32">
        <f>J22+'Potentialer og krav'!F21</f>
        <v>1429998.029868019</v>
      </c>
      <c r="N22" s="33">
        <f t="shared" si="3"/>
        <v>1638685.9859526667</v>
      </c>
      <c r="O22" s="43">
        <f t="shared" si="4"/>
        <v>1527591.8722229598</v>
      </c>
      <c r="P22" s="33">
        <f>M22+(0.25*'Potentialer og krav'!$C21)</f>
        <v>1674674.029868019</v>
      </c>
      <c r="Q22" s="33">
        <f>N22+(0.25*'Potentialer og krav'!$C21)</f>
        <v>1883361.9859526667</v>
      </c>
      <c r="R22" s="33">
        <f>O22+(0.25*'Potentialer og krav'!$C21)</f>
        <v>1772267.8722229598</v>
      </c>
      <c r="S22" s="24">
        <v>1051093</v>
      </c>
      <c r="T22" s="24">
        <f t="shared" si="5"/>
        <v>1083676.8829999999</v>
      </c>
      <c r="V22" s="216">
        <f t="shared" si="20"/>
        <v>0.12580123476437399</v>
      </c>
      <c r="W22" s="217">
        <f t="shared" si="21"/>
        <v>0.28788592949180175</v>
      </c>
      <c r="X22" s="217">
        <f t="shared" si="22"/>
        <v>2.4792341849080812E-2</v>
      </c>
      <c r="Y22" s="217">
        <f t="shared" si="23"/>
        <v>0.19527509420818753</v>
      </c>
      <c r="Z22" s="217">
        <f t="shared" si="24"/>
        <v>0.17559059156408391</v>
      </c>
      <c r="AA22" s="218">
        <f t="shared" si="25"/>
        <v>0.1906548081224719</v>
      </c>
      <c r="AC22" s="216">
        <f t="shared" si="26"/>
        <v>-8.5119530837380331E-3</v>
      </c>
      <c r="AD22" s="217">
        <f t="shared" si="27"/>
        <v>6.7373306896169605E-3</v>
      </c>
      <c r="AE22" s="217">
        <f t="shared" si="28"/>
        <v>2.1979475744087974E-2</v>
      </c>
      <c r="AF22" s="217">
        <f t="shared" si="29"/>
        <v>3.3183875060900869E-2</v>
      </c>
      <c r="AG22" s="217">
        <f t="shared" si="30"/>
        <v>-2.7525595619847187E-2</v>
      </c>
      <c r="AH22" s="218">
        <f t="shared" si="31"/>
        <v>-2.734054103989908E-2</v>
      </c>
      <c r="AI22" s="11"/>
      <c r="AJ22" s="214">
        <f t="shared" si="32"/>
        <v>-2.734054103989908E-2</v>
      </c>
      <c r="AK22" s="215">
        <f t="shared" si="33"/>
        <v>0</v>
      </c>
    </row>
    <row r="23" spans="1:37" x14ac:dyDescent="0.25">
      <c r="A23" s="210" t="s">
        <v>65</v>
      </c>
      <c r="B23" s="202">
        <f>VLOOKUP($A23,Costdrivere!$A$1:$G$128,2,FALSE)</f>
        <v>1554489.0243012877</v>
      </c>
      <c r="C23" s="203">
        <f>VLOOKUP($A23,Costdrivere!$A$1:$G$128,3,FALSE)</f>
        <v>4426652.2700000005</v>
      </c>
      <c r="D23" s="203">
        <f>VLOOKUP($A23,Costdrivere!$A$1:$G$128,4,FALSE)</f>
        <v>1664912</v>
      </c>
      <c r="E23" s="203">
        <f>VLOOKUP($A23,Costdrivere!$A$1:$G$128,5,FALSE)</f>
        <v>5495745.7000000002</v>
      </c>
      <c r="F23" s="203">
        <f>VLOOKUP($A23,Costdrivere!$A$1:$G$128,6,FALSE)</f>
        <v>1999602.4000000001</v>
      </c>
      <c r="G23" s="203">
        <f>VLOOKUP($A23,Costdrivere!$A$1:$G$128,7,FALSE)</f>
        <v>2165658.6</v>
      </c>
      <c r="H23" s="25">
        <v>29.768643193915331</v>
      </c>
      <c r="I23" s="15">
        <f>VLOOKUP(A23,Costdrivere!$A$1:$H$128,8,FALSE)</f>
        <v>2.7067964800599139E-2</v>
      </c>
      <c r="J23" s="32">
        <f t="shared" si="0"/>
        <v>17307059.994301289</v>
      </c>
      <c r="K23" s="33">
        <f t="shared" si="1"/>
        <v>19225297.983431984</v>
      </c>
      <c r="L23" s="33">
        <f t="shared" si="2"/>
        <v>18650235.223962896</v>
      </c>
      <c r="M23" s="32">
        <f>J23+'Potentialer og krav'!F22</f>
        <v>17846809.994301289</v>
      </c>
      <c r="N23" s="33">
        <f t="shared" si="3"/>
        <v>19824871.48638247</v>
      </c>
      <c r="O23" s="43">
        <f t="shared" si="4"/>
        <v>19231874.420074109</v>
      </c>
      <c r="P23" s="33">
        <f>M23+(0.25*'Potentialer og krav'!$C22)</f>
        <v>21851489.994301289</v>
      </c>
      <c r="Q23" s="33">
        <f>N23+(0.25*'Potentialer og krav'!$C22)</f>
        <v>23829551.48638247</v>
      </c>
      <c r="R23" s="33">
        <f>O23+(0.25*'Potentialer og krav'!$C22)</f>
        <v>23236554.420074109</v>
      </c>
      <c r="S23" s="24">
        <v>14907923</v>
      </c>
      <c r="T23" s="24">
        <f t="shared" si="5"/>
        <v>15370068.612999998</v>
      </c>
      <c r="V23" s="216">
        <f t="shared" si="20"/>
        <v>8.9818202791989835E-2</v>
      </c>
      <c r="W23" s="217">
        <f t="shared" si="21"/>
        <v>0.25577147542433942</v>
      </c>
      <c r="X23" s="217">
        <f t="shared" si="22"/>
        <v>9.6198430036540411E-2</v>
      </c>
      <c r="Y23" s="217">
        <f t="shared" si="23"/>
        <v>0.31754357480759809</v>
      </c>
      <c r="Z23" s="217">
        <f t="shared" si="24"/>
        <v>0.11553680409372885</v>
      </c>
      <c r="AA23" s="218">
        <f t="shared" si="25"/>
        <v>0.12513151284580329</v>
      </c>
      <c r="AC23" s="216">
        <f t="shared" si="26"/>
        <v>2.7471078888646125E-2</v>
      </c>
      <c r="AD23" s="217">
        <f t="shared" si="27"/>
        <v>3.8851784757079288E-2</v>
      </c>
      <c r="AE23" s="217">
        <f t="shared" si="28"/>
        <v>-4.9426612443371626E-2</v>
      </c>
      <c r="AF23" s="217">
        <f t="shared" si="29"/>
        <v>-8.9084605538509692E-2</v>
      </c>
      <c r="AG23" s="217">
        <f t="shared" si="30"/>
        <v>3.252819185050787E-2</v>
      </c>
      <c r="AH23" s="218">
        <f t="shared" si="31"/>
        <v>3.8182754236769534E-2</v>
      </c>
      <c r="AI23" s="11"/>
      <c r="AJ23" s="214">
        <f t="shared" si="32"/>
        <v>3.8182754236769534E-2</v>
      </c>
      <c r="AK23" s="215">
        <f t="shared" si="33"/>
        <v>0</v>
      </c>
    </row>
    <row r="24" spans="1:37" x14ac:dyDescent="0.25">
      <c r="A24" s="210" t="s">
        <v>54</v>
      </c>
      <c r="B24" s="202">
        <f>VLOOKUP($A24,Costdrivere!$A$1:$G$128,2,FALSE)</f>
        <v>132401.83662390889</v>
      </c>
      <c r="C24" s="203">
        <f>VLOOKUP($A24,Costdrivere!$A$1:$G$128,3,FALSE)</f>
        <v>322227.397</v>
      </c>
      <c r="D24" s="203">
        <f>VLOOKUP($A24,Costdrivere!$A$1:$G$128,4,FALSE)</f>
        <v>177265</v>
      </c>
      <c r="E24" s="203">
        <f>VLOOKUP($A24,Costdrivere!$A$1:$G$128,5,FALSE)</f>
        <v>182115</v>
      </c>
      <c r="F24" s="203">
        <f>VLOOKUP($A24,Costdrivere!$A$1:$G$128,6,FALSE)</f>
        <v>181021.40000000002</v>
      </c>
      <c r="G24" s="203">
        <f>VLOOKUP($A24,Costdrivere!$A$1:$G$128,7,FALSE)</f>
        <v>227396.40000000002</v>
      </c>
      <c r="H24" s="25">
        <v>32.149911553513327</v>
      </c>
      <c r="I24" s="15">
        <f>VLOOKUP(A24,Costdrivere!$A$1:$H$128,8,FALSE)</f>
        <v>3.373333333333333E-2</v>
      </c>
      <c r="J24" s="32">
        <f t="shared" si="0"/>
        <v>1222427.0336239089</v>
      </c>
      <c r="K24" s="33">
        <f t="shared" si="1"/>
        <v>1410312.1225431294</v>
      </c>
      <c r="L24" s="33">
        <f t="shared" si="2"/>
        <v>1427653.2997173674</v>
      </c>
      <c r="M24" s="32">
        <f>J24+'Potentialer og krav'!F23</f>
        <v>1222427.0336239089</v>
      </c>
      <c r="N24" s="33">
        <f t="shared" si="3"/>
        <v>1410312.1225431294</v>
      </c>
      <c r="O24" s="43">
        <f t="shared" si="4"/>
        <v>1427653.2997173674</v>
      </c>
      <c r="P24" s="33">
        <f>M24+(0.25*'Potentialer og krav'!$C23)</f>
        <v>1439961.7836239089</v>
      </c>
      <c r="Q24" s="33">
        <f>N24+(0.25*'Potentialer og krav'!$C23)</f>
        <v>1627846.8725431294</v>
      </c>
      <c r="R24" s="33">
        <f>O24+(0.25*'Potentialer og krav'!$C23)</f>
        <v>1645188.0497173674</v>
      </c>
      <c r="S24" s="24">
        <v>734624</v>
      </c>
      <c r="T24" s="24">
        <f t="shared" si="5"/>
        <v>757397.34399999992</v>
      </c>
      <c r="V24" s="216">
        <f t="shared" si="20"/>
        <v>0.1083106254869062</v>
      </c>
      <c r="W24" s="217">
        <f t="shared" si="21"/>
        <v>0.26359642591079696</v>
      </c>
      <c r="X24" s="217">
        <f t="shared" si="22"/>
        <v>0.14501070012702061</v>
      </c>
      <c r="Y24" s="217">
        <f t="shared" si="23"/>
        <v>0.1489782170966201</v>
      </c>
      <c r="Z24" s="217">
        <f t="shared" si="24"/>
        <v>0.14808360337333062</v>
      </c>
      <c r="AA24" s="218">
        <f t="shared" si="25"/>
        <v>0.18602042800532556</v>
      </c>
      <c r="AC24" s="216">
        <f t="shared" si="26"/>
        <v>8.978656193729756E-3</v>
      </c>
      <c r="AD24" s="217">
        <f t="shared" si="27"/>
        <v>3.102683427062175E-2</v>
      </c>
      <c r="AE24" s="217">
        <f t="shared" si="28"/>
        <v>-9.8238882533851823E-2</v>
      </c>
      <c r="AF24" s="217">
        <f t="shared" si="29"/>
        <v>7.9480752172468305E-2</v>
      </c>
      <c r="AG24" s="217">
        <f t="shared" si="30"/>
        <v>-1.8607429093903116E-5</v>
      </c>
      <c r="AH24" s="218">
        <f t="shared" si="31"/>
        <v>-2.2706160922752738E-2</v>
      </c>
      <c r="AI24" s="11"/>
      <c r="AJ24" s="214">
        <f t="shared" si="32"/>
        <v>-2.2706160922752738E-2</v>
      </c>
      <c r="AK24" s="215">
        <f t="shared" si="33"/>
        <v>0</v>
      </c>
    </row>
    <row r="25" spans="1:37" x14ac:dyDescent="0.25">
      <c r="A25" s="210" t="s">
        <v>56</v>
      </c>
      <c r="B25" s="202">
        <f>VLOOKUP($A25,Costdrivere!$A$1:$G$128,2,FALSE)</f>
        <v>188374.63749886543</v>
      </c>
      <c r="C25" s="203">
        <f>VLOOKUP($A25,Costdrivere!$A$1:$G$128,3,FALSE)</f>
        <v>470376.60800000001</v>
      </c>
      <c r="D25" s="203">
        <f>VLOOKUP($A25,Costdrivere!$A$1:$G$128,4,FALSE)</f>
        <v>0</v>
      </c>
      <c r="E25" s="203">
        <f>VLOOKUP($A25,Costdrivere!$A$1:$G$128,5,FALSE)</f>
        <v>263055</v>
      </c>
      <c r="F25" s="203">
        <f>VLOOKUP($A25,Costdrivere!$A$1:$G$128,6,FALSE)</f>
        <v>184552.2</v>
      </c>
      <c r="G25" s="203">
        <f>VLOOKUP($A25,Costdrivere!$A$1:$G$128,7,FALSE)</f>
        <v>201780.6</v>
      </c>
      <c r="H25" s="25">
        <v>36.785627090088163</v>
      </c>
      <c r="I25" s="15">
        <f>VLOOKUP(A25,Costdrivere!$A$1:$H$128,8,FALSE)</f>
        <v>2.0723076923076924E-2</v>
      </c>
      <c r="J25" s="32">
        <f t="shared" si="0"/>
        <v>1308139.0454988654</v>
      </c>
      <c r="K25" s="33">
        <f t="shared" si="1"/>
        <v>1618352.8231365399</v>
      </c>
      <c r="L25" s="33">
        <f t="shared" si="2"/>
        <v>1297246.6345469663</v>
      </c>
      <c r="M25" s="32">
        <f>J25+'Potentialer og krav'!F24</f>
        <v>1308139.0454988654</v>
      </c>
      <c r="N25" s="33">
        <f t="shared" si="3"/>
        <v>1618352.8231365399</v>
      </c>
      <c r="O25" s="43">
        <f t="shared" si="4"/>
        <v>1297246.6345469663</v>
      </c>
      <c r="P25" s="33">
        <f>M25+(0.25*'Potentialer og krav'!$C24)</f>
        <v>1874141.7954988654</v>
      </c>
      <c r="Q25" s="33">
        <f>N25+(0.25*'Potentialer og krav'!$C24)</f>
        <v>2184355.5731365401</v>
      </c>
      <c r="R25" s="33">
        <f>O25+(0.25*'Potentialer og krav'!$C24)</f>
        <v>1863249.3845469663</v>
      </c>
      <c r="S25" s="24">
        <v>2288248</v>
      </c>
      <c r="T25" s="24">
        <f t="shared" si="5"/>
        <v>2359183.6879999996</v>
      </c>
      <c r="V25" s="216">
        <f t="shared" si="20"/>
        <v>0.14400199898247651</v>
      </c>
      <c r="W25" s="217">
        <f t="shared" si="21"/>
        <v>0.35957691930265678</v>
      </c>
      <c r="X25" s="217">
        <f t="shared" si="22"/>
        <v>0</v>
      </c>
      <c r="Y25" s="217">
        <f t="shared" si="23"/>
        <v>0.20109100856299467</v>
      </c>
      <c r="Z25" s="217">
        <f t="shared" si="24"/>
        <v>0.14107995677907473</v>
      </c>
      <c r="AA25" s="218">
        <f t="shared" si="25"/>
        <v>0.15425011637279731</v>
      </c>
      <c r="AC25" s="216">
        <f t="shared" si="26"/>
        <v>-2.6712717301840549E-2</v>
      </c>
      <c r="AD25" s="217">
        <f t="shared" si="27"/>
        <v>-6.4953659121238072E-2</v>
      </c>
      <c r="AE25" s="217">
        <f t="shared" si="28"/>
        <v>4.6771817593168785E-2</v>
      </c>
      <c r="AF25" s="217">
        <f t="shared" si="29"/>
        <v>2.7367960706093736E-2</v>
      </c>
      <c r="AG25" s="217">
        <f t="shared" si="30"/>
        <v>6.9850391651619936E-3</v>
      </c>
      <c r="AH25" s="218">
        <f t="shared" si="31"/>
        <v>9.0641507097755092E-3</v>
      </c>
      <c r="AI25" s="11"/>
      <c r="AJ25" s="214">
        <f t="shared" si="32"/>
        <v>9.0641507097755092E-3</v>
      </c>
      <c r="AK25" s="215">
        <f t="shared" si="33"/>
        <v>0</v>
      </c>
    </row>
    <row r="26" spans="1:37" x14ac:dyDescent="0.25">
      <c r="A26" s="210" t="s">
        <v>71</v>
      </c>
      <c r="B26" s="202">
        <f>VLOOKUP($A26,Costdrivere!$A$1:$G$128,2,FALSE)</f>
        <v>144649.19346566621</v>
      </c>
      <c r="C26" s="203">
        <f>VLOOKUP($A26,Costdrivere!$A$1:$G$128,3,FALSE)</f>
        <v>388640.82400000002</v>
      </c>
      <c r="D26" s="203">
        <f>VLOOKUP($A26,Costdrivere!$A$1:$G$128,4,FALSE)</f>
        <v>56469</v>
      </c>
      <c r="E26" s="203">
        <f>VLOOKUP($A26,Costdrivere!$A$1:$G$128,5,FALSE)</f>
        <v>174021</v>
      </c>
      <c r="F26" s="203">
        <f>VLOOKUP($A26,Costdrivere!$A$1:$G$128,6,FALSE)</f>
        <v>239143.80000000002</v>
      </c>
      <c r="G26" s="203">
        <f>VLOOKUP($A26,Costdrivere!$A$1:$G$128,7,FALSE)</f>
        <v>264097.40000000002</v>
      </c>
      <c r="H26" s="25">
        <v>28.42238657479065</v>
      </c>
      <c r="I26" s="15">
        <f>VLOOKUP(A26,Costdrivere!$A$1:$H$128,8,FALSE)</f>
        <v>4.1000000000000002E-2</v>
      </c>
      <c r="J26" s="32">
        <f t="shared" si="0"/>
        <v>1267021.2174656661</v>
      </c>
      <c r="K26" s="33">
        <f t="shared" si="1"/>
        <v>1376749.0031856371</v>
      </c>
      <c r="L26" s="33">
        <f t="shared" si="2"/>
        <v>1604434.0357616427</v>
      </c>
      <c r="M26" s="32">
        <f>J26+'Potentialer og krav'!F25</f>
        <v>1267021.2174656661</v>
      </c>
      <c r="N26" s="33">
        <f t="shared" si="3"/>
        <v>1376749.0031856371</v>
      </c>
      <c r="O26" s="43">
        <f t="shared" si="4"/>
        <v>1604434.0357616427</v>
      </c>
      <c r="P26" s="33">
        <f>M26+(0.25*'Potentialer og krav'!$C25)</f>
        <v>1547539.4674656661</v>
      </c>
      <c r="Q26" s="33">
        <f>N26+(0.25*'Potentialer og krav'!$C25)</f>
        <v>1657267.2531856371</v>
      </c>
      <c r="R26" s="33">
        <f>O26+(0.25*'Potentialer og krav'!$C25)</f>
        <v>1884952.2857616427</v>
      </c>
      <c r="S26" s="24">
        <v>1546991</v>
      </c>
      <c r="T26" s="24">
        <f t="shared" si="5"/>
        <v>1594947.7209999999</v>
      </c>
      <c r="V26" s="216">
        <f t="shared" si="20"/>
        <v>0.11416477598930652</v>
      </c>
      <c r="W26" s="217">
        <f t="shared" si="21"/>
        <v>0.30673584517974456</v>
      </c>
      <c r="X26" s="217">
        <f t="shared" si="22"/>
        <v>4.4568314422509032E-2</v>
      </c>
      <c r="Y26" s="217">
        <f t="shared" si="23"/>
        <v>0.13734655552815606</v>
      </c>
      <c r="Z26" s="217">
        <f t="shared" si="24"/>
        <v>0.18874490553389675</v>
      </c>
      <c r="AA26" s="218">
        <f t="shared" si="25"/>
        <v>0.20843960334638717</v>
      </c>
      <c r="AC26" s="216">
        <f t="shared" si="26"/>
        <v>3.1245056913294378E-3</v>
      </c>
      <c r="AD26" s="217">
        <f t="shared" si="27"/>
        <v>-1.2112584998325848E-2</v>
      </c>
      <c r="AE26" s="217">
        <f t="shared" si="28"/>
        <v>2.2035031706597527E-3</v>
      </c>
      <c r="AF26" s="217">
        <f t="shared" si="29"/>
        <v>9.1112413740932346E-2</v>
      </c>
      <c r="AG26" s="217">
        <f t="shared" si="30"/>
        <v>-4.0679909589660029E-2</v>
      </c>
      <c r="AH26" s="218">
        <f t="shared" si="31"/>
        <v>-4.5125336263814347E-2</v>
      </c>
      <c r="AI26" s="11"/>
      <c r="AJ26" s="214">
        <f t="shared" si="32"/>
        <v>-4.5125336263814347E-2</v>
      </c>
      <c r="AK26" s="215">
        <f t="shared" si="33"/>
        <v>0</v>
      </c>
    </row>
    <row r="27" spans="1:37" x14ac:dyDescent="0.25">
      <c r="A27" s="210" t="s">
        <v>57</v>
      </c>
      <c r="B27" s="202">
        <f>VLOOKUP($A27,Costdrivere!$A$1:$G$128,2,FALSE)</f>
        <v>157548.00245975814</v>
      </c>
      <c r="C27" s="203">
        <f>VLOOKUP($A27,Costdrivere!$A$1:$G$128,3,FALSE)</f>
        <v>164907.82</v>
      </c>
      <c r="D27" s="203">
        <f>VLOOKUP($A27,Costdrivere!$A$1:$G$128,4,FALSE)</f>
        <v>56469</v>
      </c>
      <c r="E27" s="203">
        <f>VLOOKUP($A27,Costdrivere!$A$1:$G$128,5,FALSE)</f>
        <v>259008</v>
      </c>
      <c r="F27" s="203">
        <f>VLOOKUP($A27,Costdrivere!$A$1:$G$128,6,FALSE)</f>
        <v>290340.40000000002</v>
      </c>
      <c r="G27" s="203">
        <f>VLOOKUP($A27,Costdrivere!$A$1:$G$128,7,FALSE)</f>
        <v>321620.60000000003</v>
      </c>
      <c r="H27" s="25">
        <v>28.99347422619352</v>
      </c>
      <c r="I27" s="15">
        <f>VLOOKUP(A27,Costdrivere!$A$1:$H$128,8,FALSE)</f>
        <v>3.3546874999999997E-2</v>
      </c>
      <c r="J27" s="32">
        <f t="shared" si="0"/>
        <v>1249893.8224597583</v>
      </c>
      <c r="K27" s="33">
        <f t="shared" si="1"/>
        <v>1370986.7057997398</v>
      </c>
      <c r="L27" s="33">
        <f t="shared" si="2"/>
        <v>1456574.8588111536</v>
      </c>
      <c r="M27" s="32">
        <f>J27+'Potentialer og krav'!F26</f>
        <v>1249893.8224597583</v>
      </c>
      <c r="N27" s="33">
        <f t="shared" si="3"/>
        <v>1370986.7057997398</v>
      </c>
      <c r="O27" s="43">
        <f t="shared" si="4"/>
        <v>1456574.8588111536</v>
      </c>
      <c r="P27" s="33">
        <f>M27+(0.25*'Potentialer og krav'!$C26)</f>
        <v>1476503.0724597583</v>
      </c>
      <c r="Q27" s="33">
        <f>N27+(0.25*'Potentialer og krav'!$C26)</f>
        <v>1597595.9557997398</v>
      </c>
      <c r="R27" s="33">
        <f>O27+(0.25*'Potentialer og krav'!$C26)</f>
        <v>1683184.1088111536</v>
      </c>
      <c r="S27" s="24">
        <v>971094</v>
      </c>
      <c r="T27" s="24">
        <f t="shared" si="5"/>
        <v>1001197.9139999999</v>
      </c>
      <c r="V27" s="216">
        <f t="shared" si="20"/>
        <v>0.12604910883526715</v>
      </c>
      <c r="W27" s="217">
        <f t="shared" si="21"/>
        <v>0.13193746303623274</v>
      </c>
      <c r="X27" s="217">
        <f t="shared" si="22"/>
        <v>4.5179037599266225E-2</v>
      </c>
      <c r="Y27" s="217">
        <f t="shared" si="23"/>
        <v>0.20722400202785149</v>
      </c>
      <c r="Z27" s="217">
        <f t="shared" si="24"/>
        <v>0.23229205135890482</v>
      </c>
      <c r="AA27" s="218">
        <f t="shared" si="25"/>
        <v>0.25731833714247754</v>
      </c>
      <c r="AC27" s="216">
        <f t="shared" si="26"/>
        <v>-8.7598271546311945E-3</v>
      </c>
      <c r="AD27" s="217">
        <f t="shared" si="27"/>
        <v>0.16268579714518597</v>
      </c>
      <c r="AE27" s="217">
        <f t="shared" si="28"/>
        <v>1.59277999390256E-3</v>
      </c>
      <c r="AF27" s="217">
        <f t="shared" si="29"/>
        <v>2.1234967241236913E-2</v>
      </c>
      <c r="AG27" s="217">
        <f t="shared" si="30"/>
        <v>-8.4227055414668101E-2</v>
      </c>
      <c r="AH27" s="218">
        <f t="shared" si="31"/>
        <v>-9.4004070059904715E-2</v>
      </c>
      <c r="AI27" s="11"/>
      <c r="AJ27" s="214">
        <f t="shared" si="32"/>
        <v>-9.4004070059904715E-2</v>
      </c>
      <c r="AK27" s="215">
        <f t="shared" si="33"/>
        <v>-2.7873267965756759E-2</v>
      </c>
    </row>
    <row r="28" spans="1:37" x14ac:dyDescent="0.25">
      <c r="A28" s="210" t="s">
        <v>59</v>
      </c>
      <c r="B28" s="202">
        <f>VLOOKUP($A28,Costdrivere!$A$1:$G$128,2,FALSE)</f>
        <v>232232.9108092832</v>
      </c>
      <c r="C28" s="203">
        <f>VLOOKUP($A28,Costdrivere!$A$1:$G$128,3,FALSE)</f>
        <v>583376.93599999999</v>
      </c>
      <c r="D28" s="203">
        <f>VLOOKUP($A28,Costdrivere!$A$1:$G$128,4,FALSE)</f>
        <v>70906</v>
      </c>
      <c r="E28" s="203">
        <f>VLOOKUP($A28,Costdrivere!$A$1:$G$128,5,FALSE)</f>
        <v>457311</v>
      </c>
      <c r="F28" s="203">
        <f>VLOOKUP($A28,Costdrivere!$A$1:$G$128,6,FALSE)</f>
        <v>325105.2</v>
      </c>
      <c r="G28" s="203">
        <f>VLOOKUP($A28,Costdrivere!$A$1:$G$128,7,FALSE)</f>
        <v>414047.2</v>
      </c>
      <c r="H28" s="25">
        <v>30.209206378684193</v>
      </c>
      <c r="I28" s="15">
        <f>VLOOKUP(A28,Costdrivere!$A$1:$H$128,8,FALSE)</f>
        <v>2.4460176991150443E-2</v>
      </c>
      <c r="J28" s="32">
        <f>SUM(B28:G28)</f>
        <v>2082979.246809283</v>
      </c>
      <c r="K28" s="33">
        <f t="shared" si="1"/>
        <v>2330365.7660041377</v>
      </c>
      <c r="L28" s="33">
        <f t="shared" si="2"/>
        <v>2171065.6004063692</v>
      </c>
      <c r="M28" s="32">
        <f>J28+'Potentialer og krav'!F27</f>
        <v>2132888.2468092833</v>
      </c>
      <c r="N28" s="33">
        <f t="shared" si="3"/>
        <v>2386202.2440649052</v>
      </c>
      <c r="O28" s="43">
        <f t="shared" si="4"/>
        <v>2223085.1839987943</v>
      </c>
      <c r="P28" s="33">
        <f>M28+(0.25*'Potentialer og krav'!$C27)</f>
        <v>2814369.2468092833</v>
      </c>
      <c r="Q28" s="33">
        <f>N28+(0.25*'Potentialer og krav'!$C27)</f>
        <v>3067683.2440649052</v>
      </c>
      <c r="R28" s="33">
        <f>O28+(0.25*'Potentialer og krav'!$C27)</f>
        <v>2904566.1839987943</v>
      </c>
      <c r="S28" s="24">
        <v>2380929</v>
      </c>
      <c r="T28" s="24">
        <f t="shared" si="5"/>
        <v>2454737.7989999996</v>
      </c>
      <c r="V28" s="216">
        <f t="shared" si="20"/>
        <v>0.11149074632645459</v>
      </c>
      <c r="W28" s="217">
        <f t="shared" si="21"/>
        <v>0.28006853015632266</v>
      </c>
      <c r="X28" s="217">
        <f t="shared" si="22"/>
        <v>3.4040665603660779E-2</v>
      </c>
      <c r="Y28" s="217">
        <f t="shared" si="23"/>
        <v>0.21954659447544234</v>
      </c>
      <c r="Z28" s="217">
        <f t="shared" si="24"/>
        <v>0.15607702308988322</v>
      </c>
      <c r="AA28" s="218">
        <f t="shared" si="25"/>
        <v>0.19877644034823649</v>
      </c>
      <c r="AC28" s="216">
        <f t="shared" si="26"/>
        <v>5.7985353541813722E-3</v>
      </c>
      <c r="AD28" s="217">
        <f t="shared" si="27"/>
        <v>1.4554730025096052E-2</v>
      </c>
      <c r="AE28" s="217">
        <f t="shared" si="28"/>
        <v>1.2731151989508006E-2</v>
      </c>
      <c r="AF28" s="217">
        <f t="shared" si="29"/>
        <v>8.9123747936460662E-3</v>
      </c>
      <c r="AG28" s="217">
        <f t="shared" si="30"/>
        <v>-8.0120271456464998E-3</v>
      </c>
      <c r="AH28" s="218">
        <f t="shared" si="31"/>
        <v>-3.5462173265663671E-2</v>
      </c>
      <c r="AI28" s="11"/>
      <c r="AJ28" s="214">
        <f t="shared" si="32"/>
        <v>-3.5462173265663671E-2</v>
      </c>
      <c r="AK28" s="215">
        <f t="shared" si="33"/>
        <v>0</v>
      </c>
    </row>
    <row r="29" spans="1:37" x14ac:dyDescent="0.25">
      <c r="A29" s="210" t="s">
        <v>60</v>
      </c>
      <c r="B29" s="202">
        <f>VLOOKUP($A29,Costdrivere!$A$1:$G$128,2,FALSE)</f>
        <v>1351476.3319409725</v>
      </c>
      <c r="C29" s="203">
        <f>VLOOKUP($A29,Costdrivere!$A$1:$G$128,3,FALSE)</f>
        <v>4282998.358</v>
      </c>
      <c r="D29" s="203">
        <f>VLOOKUP($A29,Costdrivere!$A$1:$G$128,4,FALSE)</f>
        <v>715404</v>
      </c>
      <c r="E29" s="203">
        <f>VLOOKUP($A29,Costdrivere!$A$1:$G$128,5,FALSE)</f>
        <v>12069163</v>
      </c>
      <c r="F29" s="203">
        <f>VLOOKUP($A29,Costdrivere!$A$1:$G$128,6,FALSE)</f>
        <v>3937399.3</v>
      </c>
      <c r="G29" s="203">
        <f>VLOOKUP($A29,Costdrivere!$A$1:$G$128,7,FALSE)</f>
        <v>749149.8</v>
      </c>
      <c r="H29" s="25">
        <v>61.5923508672265</v>
      </c>
      <c r="I29" s="15">
        <f>VLOOKUP(A29,Costdrivere!$A$1:$H$128,8,FALSE)</f>
        <v>2.9591715976331361E-2</v>
      </c>
      <c r="J29" s="32">
        <f t="shared" si="0"/>
        <v>23105590.789940976</v>
      </c>
      <c r="K29" s="33">
        <f t="shared" si="1"/>
        <v>38902012.492930889</v>
      </c>
      <c r="L29" s="33">
        <f t="shared" si="2"/>
        <v>25688569.43281053</v>
      </c>
      <c r="M29" s="32">
        <f>J29+'Potentialer og krav'!F28</f>
        <v>23540663.789940976</v>
      </c>
      <c r="N29" s="33">
        <f t="shared" si="3"/>
        <v>39634528.507570311</v>
      </c>
      <c r="O29" s="43">
        <f t="shared" si="4"/>
        <v>26172279.33101001</v>
      </c>
      <c r="P29" s="33">
        <f>M29+(0.25*'Potentialer og krav'!$C28)</f>
        <v>31170639.289940976</v>
      </c>
      <c r="Q29" s="33">
        <f>N29+(0.25*'Potentialer og krav'!$C28)</f>
        <v>47264504.007570311</v>
      </c>
      <c r="R29" s="33">
        <f>O29+(0.25*'Potentialer og krav'!$C28)</f>
        <v>33802254.831010014</v>
      </c>
      <c r="S29" s="24">
        <v>29779755</v>
      </c>
      <c r="T29" s="24">
        <f t="shared" si="5"/>
        <v>30702927.404999997</v>
      </c>
      <c r="V29" s="216">
        <f t="shared" si="20"/>
        <v>5.8491312523778358E-2</v>
      </c>
      <c r="W29" s="217">
        <f t="shared" si="21"/>
        <v>0.18536632094534472</v>
      </c>
      <c r="X29" s="217">
        <f t="shared" si="22"/>
        <v>3.0962376444035843E-2</v>
      </c>
      <c r="Y29" s="217">
        <f t="shared" si="23"/>
        <v>0.5223481671481135</v>
      </c>
      <c r="Z29" s="217">
        <f t="shared" si="24"/>
        <v>0.17040894283102026</v>
      </c>
      <c r="AA29" s="218">
        <f t="shared" si="25"/>
        <v>3.2422880107707205E-2</v>
      </c>
      <c r="AC29" s="216">
        <f t="shared" si="26"/>
        <v>5.8797969156857602E-2</v>
      </c>
      <c r="AD29" s="217">
        <f t="shared" si="27"/>
        <v>0.10925693923607399</v>
      </c>
      <c r="AE29" s="217">
        <f t="shared" si="28"/>
        <v>1.5809441149132943E-2</v>
      </c>
      <c r="AF29" s="217">
        <f t="shared" si="29"/>
        <v>-0.29388919787902512</v>
      </c>
      <c r="AG29" s="217">
        <f t="shared" si="30"/>
        <v>-2.2343946886783539E-2</v>
      </c>
      <c r="AH29" s="218">
        <f t="shared" si="31"/>
        <v>0.13089138697486563</v>
      </c>
      <c r="AI29" s="11"/>
      <c r="AJ29" s="214">
        <f t="shared" si="32"/>
        <v>0.13089138697486563</v>
      </c>
      <c r="AK29" s="215">
        <f t="shared" si="33"/>
        <v>0</v>
      </c>
    </row>
    <row r="30" spans="1:37" x14ac:dyDescent="0.25">
      <c r="A30" s="210" t="s">
        <v>62</v>
      </c>
      <c r="B30" s="202">
        <f>VLOOKUP($A30,Costdrivere!$A$1:$G$128,2,FALSE)</f>
        <v>150755.86380108475</v>
      </c>
      <c r="C30" s="203">
        <f>VLOOKUP($A30,Costdrivere!$A$1:$G$128,3,FALSE)</f>
        <v>352785.68199999997</v>
      </c>
      <c r="D30" s="203">
        <f>VLOOKUP($A30,Costdrivere!$A$1:$G$128,4,FALSE)</f>
        <v>70906</v>
      </c>
      <c r="E30" s="203">
        <f>VLOOKUP($A30,Costdrivere!$A$1:$G$128,5,FALSE)</f>
        <v>279243</v>
      </c>
      <c r="F30" s="203">
        <f>VLOOKUP($A30,Costdrivere!$A$1:$G$128,6,FALSE)</f>
        <v>232353.80000000002</v>
      </c>
      <c r="G30" s="203">
        <f>VLOOKUP($A30,Costdrivere!$A$1:$G$128,7,FALSE)</f>
        <v>256008.2</v>
      </c>
      <c r="H30" s="25">
        <v>36.231062423776017</v>
      </c>
      <c r="I30" s="15">
        <f>VLOOKUP(A30,Costdrivere!$A$1:$H$128,8,FALSE)</f>
        <v>2.4768115942028986E-2</v>
      </c>
      <c r="J30" s="32">
        <f t="shared" si="0"/>
        <v>1342052.5458010847</v>
      </c>
      <c r="K30" s="33">
        <f t="shared" si="1"/>
        <v>1646912.0259679428</v>
      </c>
      <c r="L30" s="33">
        <f t="shared" si="2"/>
        <v>1404403.4512773796</v>
      </c>
      <c r="M30" s="32">
        <f>J30+'Potentialer og krav'!F29</f>
        <v>1342052.5458010847</v>
      </c>
      <c r="N30" s="33">
        <f t="shared" si="3"/>
        <v>1646912.0259679428</v>
      </c>
      <c r="O30" s="43">
        <f t="shared" si="4"/>
        <v>1404403.4512773796</v>
      </c>
      <c r="P30" s="33">
        <f>M30+(0.25*'Potentialer og krav'!$C29)</f>
        <v>1645348.5458010847</v>
      </c>
      <c r="Q30" s="33">
        <f>N30+(0.25*'Potentialer og krav'!$C29)</f>
        <v>1950208.0259679428</v>
      </c>
      <c r="R30" s="33">
        <f>O30+(0.25*'Potentialer og krav'!$C29)</f>
        <v>1707699.4512773796</v>
      </c>
      <c r="S30" s="24">
        <v>1853656</v>
      </c>
      <c r="T30" s="24">
        <f t="shared" si="5"/>
        <v>1911119.3359999999</v>
      </c>
      <c r="V30" s="216">
        <f t="shared" si="20"/>
        <v>0.11233231088660321</v>
      </c>
      <c r="W30" s="217">
        <f t="shared" si="21"/>
        <v>0.26287024535944575</v>
      </c>
      <c r="X30" s="217">
        <f t="shared" si="22"/>
        <v>5.2833996866848081E-2</v>
      </c>
      <c r="Y30" s="217">
        <f t="shared" si="23"/>
        <v>0.2080715847331574</v>
      </c>
      <c r="Z30" s="217">
        <f t="shared" si="24"/>
        <v>0.17313316138549978</v>
      </c>
      <c r="AA30" s="218">
        <f t="shared" si="25"/>
        <v>0.19075870076844578</v>
      </c>
      <c r="AC30" s="216">
        <f t="shared" si="26"/>
        <v>4.9569707940327473E-3</v>
      </c>
      <c r="AD30" s="217">
        <f t="shared" si="27"/>
        <v>3.1753014821972958E-2</v>
      </c>
      <c r="AE30" s="217">
        <f t="shared" si="28"/>
        <v>-6.0621792736792954E-3</v>
      </c>
      <c r="AF30" s="217">
        <f t="shared" si="29"/>
        <v>2.0387384535931002E-2</v>
      </c>
      <c r="AG30" s="217">
        <f t="shared" si="30"/>
        <v>-2.5068165441263057E-2</v>
      </c>
      <c r="AH30" s="218">
        <f t="shared" si="31"/>
        <v>-2.744443368587296E-2</v>
      </c>
      <c r="AI30" s="11"/>
      <c r="AJ30" s="214">
        <f t="shared" si="32"/>
        <v>-2.744443368587296E-2</v>
      </c>
      <c r="AK30" s="215">
        <f t="shared" si="33"/>
        <v>0</v>
      </c>
    </row>
    <row r="31" spans="1:37" x14ac:dyDescent="0.25">
      <c r="A31" s="210" t="s">
        <v>64</v>
      </c>
      <c r="B31" s="202">
        <f>VLOOKUP($A31,Costdrivere!$A$1:$G$128,2,FALSE)</f>
        <v>869611.01250645076</v>
      </c>
      <c r="C31" s="203">
        <f>VLOOKUP($A31,Costdrivere!$A$1:$G$128,3,FALSE)</f>
        <v>2466636.699</v>
      </c>
      <c r="D31" s="203">
        <f>VLOOKUP($A31,Costdrivere!$A$1:$G$128,4,FALSE)</f>
        <v>487827</v>
      </c>
      <c r="E31" s="203">
        <f>VLOOKUP($A31,Costdrivere!$A$1:$G$128,5,FALSE)</f>
        <v>2453797</v>
      </c>
      <c r="F31" s="203">
        <f>VLOOKUP($A31,Costdrivere!$A$1:$G$128,6,FALSE)</f>
        <v>1877358</v>
      </c>
      <c r="G31" s="203">
        <f>VLOOKUP($A31,Costdrivere!$A$1:$G$128,7,FALSE)</f>
        <v>1600613.0000000002</v>
      </c>
      <c r="H31" s="25">
        <v>34.832299870145349</v>
      </c>
      <c r="I31" s="15">
        <f>VLOOKUP(A31,Costdrivere!$A$1:$H$128,8,FALSE)</f>
        <v>3.2876923076923074E-2</v>
      </c>
      <c r="J31" s="32">
        <f t="shared" si="0"/>
        <v>9755842.7115064505</v>
      </c>
      <c r="K31" s="33">
        <f t="shared" si="1"/>
        <v>11726341.45775317</v>
      </c>
      <c r="L31" s="33">
        <f t="shared" si="2"/>
        <v>11280535.0399439</v>
      </c>
      <c r="M31" s="32">
        <f>J31+'Potentialer og krav'!F30</f>
        <v>10259828.711506451</v>
      </c>
      <c r="N31" s="33">
        <f>(0.575+0.018*H31)*M31</f>
        <v>12332123.254435562</v>
      </c>
      <c r="O31" s="43">
        <f t="shared" si="4"/>
        <v>11863286.515214792</v>
      </c>
      <c r="P31" s="33">
        <f>M31+(0.25*'Potentialer og krav'!$C30)</f>
        <v>12818982.961506451</v>
      </c>
      <c r="Q31" s="33">
        <f>N31+(0.25*'Potentialer og krav'!$C30)</f>
        <v>14891277.504435562</v>
      </c>
      <c r="R31" s="33">
        <f>O31+(0.25*'Potentialer og krav'!$C30)</f>
        <v>14422440.765214792</v>
      </c>
      <c r="S31" s="24">
        <v>9220121</v>
      </c>
      <c r="T31" s="24">
        <f t="shared" si="5"/>
        <v>9505944.7509999983</v>
      </c>
      <c r="V31" s="216">
        <f t="shared" si="20"/>
        <v>8.9137457236861256E-2</v>
      </c>
      <c r="W31" s="217">
        <f t="shared" si="21"/>
        <v>0.25283686626996815</v>
      </c>
      <c r="X31" s="217">
        <f t="shared" si="22"/>
        <v>5.0003573696881805E-2</v>
      </c>
      <c r="Y31" s="217">
        <f t="shared" si="23"/>
        <v>0.25152076274311891</v>
      </c>
      <c r="Z31" s="217">
        <f t="shared" si="24"/>
        <v>0.19243422178032504</v>
      </c>
      <c r="AA31" s="218">
        <f t="shared" si="25"/>
        <v>0.16406711827284484</v>
      </c>
      <c r="AC31" s="216">
        <f t="shared" si="26"/>
        <v>2.8151824443774703E-2</v>
      </c>
      <c r="AD31" s="217">
        <f t="shared" si="27"/>
        <v>4.1786393911450559E-2</v>
      </c>
      <c r="AE31" s="217">
        <f t="shared" si="28"/>
        <v>-3.2317561037130196E-3</v>
      </c>
      <c r="AF31" s="217">
        <f t="shared" si="29"/>
        <v>-2.3061793474030506E-2</v>
      </c>
      <c r="AG31" s="217">
        <f t="shared" si="30"/>
        <v>-4.4369225836088322E-2</v>
      </c>
      <c r="AH31" s="218">
        <f t="shared" si="31"/>
        <v>-7.5285119027201919E-4</v>
      </c>
      <c r="AI31" s="11"/>
      <c r="AJ31" s="214">
        <f t="shared" si="32"/>
        <v>-7.5285119027201919E-4</v>
      </c>
      <c r="AK31" s="215">
        <f t="shared" si="33"/>
        <v>0</v>
      </c>
    </row>
    <row r="32" spans="1:37" x14ac:dyDescent="0.25">
      <c r="A32" s="210" t="s">
        <v>66</v>
      </c>
      <c r="B32" s="202">
        <f>VLOOKUP($A32,Costdrivere!$A$1:$G$128,2,FALSE)</f>
        <v>186826.75837442587</v>
      </c>
      <c r="C32" s="203">
        <f>VLOOKUP($A32,Costdrivere!$A$1:$G$128,3,FALSE)</f>
        <v>481589.554</v>
      </c>
      <c r="D32" s="203">
        <f>VLOOKUP($A32,Costdrivere!$A$1:$G$128,4,FALSE)</f>
        <v>198281</v>
      </c>
      <c r="E32" s="203">
        <f>VLOOKUP($A32,Costdrivere!$A$1:$G$128,5,FALSE)</f>
        <v>356136</v>
      </c>
      <c r="F32" s="203">
        <f>VLOOKUP($A32,Costdrivere!$A$1:$G$128,6,FALSE)</f>
        <v>284908.40000000002</v>
      </c>
      <c r="G32" s="203">
        <f>VLOOKUP($A32,Costdrivere!$A$1:$G$128,7,FALSE)</f>
        <v>314280.40000000002</v>
      </c>
      <c r="H32" s="25">
        <v>23.561193250289627</v>
      </c>
      <c r="I32" s="15">
        <f>VLOOKUP(A32,Costdrivere!$A$1:$H$128,8,FALSE)</f>
        <v>2.384090909090909E-2</v>
      </c>
      <c r="J32" s="32">
        <f t="shared" si="0"/>
        <v>1822022.1123744259</v>
      </c>
      <c r="K32" s="33">
        <f t="shared" si="1"/>
        <v>1820384.9863424806</v>
      </c>
      <c r="L32" s="33">
        <f t="shared" si="2"/>
        <v>1883790.9809211527</v>
      </c>
      <c r="M32" s="32">
        <f>J32+'Potentialer og krav'!F31</f>
        <v>1822022.1123744259</v>
      </c>
      <c r="N32" s="33">
        <f t="shared" si="3"/>
        <v>1820384.9863424806</v>
      </c>
      <c r="O32" s="43">
        <f t="shared" si="4"/>
        <v>1883790.9809211527</v>
      </c>
      <c r="P32" s="33">
        <f>M32+(0.25*'Potentialer og krav'!$C31)</f>
        <v>2224768.1123744259</v>
      </c>
      <c r="Q32" s="33">
        <f>N32+(0.25*'Potentialer og krav'!$C31)</f>
        <v>2223130.9863424804</v>
      </c>
      <c r="R32" s="33">
        <f>O32+(0.25*'Potentialer og krav'!$C31)</f>
        <v>2286536.980921153</v>
      </c>
      <c r="S32" s="24">
        <v>1767798</v>
      </c>
      <c r="T32" s="24">
        <f t="shared" si="5"/>
        <v>1822599.7379999999</v>
      </c>
      <c r="V32" s="216">
        <f t="shared" si="20"/>
        <v>0.10253813996305274</v>
      </c>
      <c r="W32" s="217">
        <f t="shared" si="21"/>
        <v>0.26431597658954936</v>
      </c>
      <c r="X32" s="217">
        <f t="shared" si="22"/>
        <v>0.10882469463644644</v>
      </c>
      <c r="Y32" s="217">
        <f t="shared" si="23"/>
        <v>0.19546195272893263</v>
      </c>
      <c r="Z32" s="217">
        <f t="shared" si="24"/>
        <v>0.15636934264684232</v>
      </c>
      <c r="AA32" s="218">
        <f t="shared" si="25"/>
        <v>0.17248989343517657</v>
      </c>
      <c r="AC32" s="216">
        <f t="shared" si="26"/>
        <v>1.4751141717583224E-2</v>
      </c>
      <c r="AD32" s="217">
        <f t="shared" si="27"/>
        <v>3.030728359186935E-2</v>
      </c>
      <c r="AE32" s="217">
        <f t="shared" si="28"/>
        <v>-6.2052877043277652E-2</v>
      </c>
      <c r="AF32" s="217">
        <f t="shared" si="29"/>
        <v>3.2997016540155771E-2</v>
      </c>
      <c r="AG32" s="217">
        <f t="shared" si="30"/>
        <v>-8.3043467026056028E-3</v>
      </c>
      <c r="AH32" s="218">
        <f t="shared" si="31"/>
        <v>-9.175626352603744E-3</v>
      </c>
      <c r="AI32" s="11"/>
      <c r="AJ32" s="214">
        <f t="shared" si="32"/>
        <v>-9.175626352603744E-3</v>
      </c>
      <c r="AK32" s="215">
        <f t="shared" si="33"/>
        <v>0</v>
      </c>
    </row>
    <row r="33" spans="1:37" x14ac:dyDescent="0.25">
      <c r="A33" s="210" t="s">
        <v>67</v>
      </c>
      <c r="B33" s="202">
        <f>VLOOKUP($A33,Costdrivere!$A$1:$G$128,2,FALSE)</f>
        <v>302690.21642503882</v>
      </c>
      <c r="C33" s="203">
        <f>VLOOKUP($A33,Costdrivere!$A$1:$G$128,3,FALSE)</f>
        <v>782395.32799999998</v>
      </c>
      <c r="D33" s="203">
        <f>VLOOKUP($A33,Costdrivere!$A$1:$G$128,4,FALSE)</f>
        <v>70906</v>
      </c>
      <c r="E33" s="203">
        <f>VLOOKUP($A33,Costdrivere!$A$1:$G$128,5,FALSE)</f>
        <v>631332</v>
      </c>
      <c r="F33" s="203">
        <f>VLOOKUP($A33,Costdrivere!$A$1:$G$128,6,FALSE)</f>
        <v>640297</v>
      </c>
      <c r="G33" s="203">
        <f>VLOOKUP($A33,Costdrivere!$A$1:$G$128,7,FALSE)</f>
        <v>706157.20000000007</v>
      </c>
      <c r="H33" s="25">
        <v>26.607285793236635</v>
      </c>
      <c r="I33" s="15">
        <f>VLOOKUP(A33,Costdrivere!$A$1:$H$128,8,FALSE)</f>
        <v>3.0217948717948719E-2</v>
      </c>
      <c r="J33" s="32">
        <f t="shared" si="0"/>
        <v>3133777.7444250388</v>
      </c>
      <c r="K33" s="33">
        <f t="shared" si="1"/>
        <v>3302785.9640956237</v>
      </c>
      <c r="L33" s="33">
        <f t="shared" si="2"/>
        <v>3510683.1398894251</v>
      </c>
      <c r="M33" s="32">
        <f>J33+'Potentialer og krav'!F32</f>
        <v>3133777.7444250388</v>
      </c>
      <c r="N33" s="33">
        <f t="shared" si="3"/>
        <v>3302785.9640956237</v>
      </c>
      <c r="O33" s="43">
        <f t="shared" si="4"/>
        <v>3510683.1398894251</v>
      </c>
      <c r="P33" s="33">
        <f>M33+(0.25*'Potentialer og krav'!$C32)</f>
        <v>4161505.9944250388</v>
      </c>
      <c r="Q33" s="33">
        <f>N33+(0.25*'Potentialer og krav'!$C32)</f>
        <v>4330514.2140956242</v>
      </c>
      <c r="R33" s="33">
        <f>O33+(0.25*'Potentialer og krav'!$C32)</f>
        <v>4538411.3898894247</v>
      </c>
      <c r="S33" s="24">
        <v>4111473</v>
      </c>
      <c r="T33" s="24">
        <f t="shared" si="5"/>
        <v>4238928.6629999997</v>
      </c>
      <c r="V33" s="216">
        <f t="shared" si="20"/>
        <v>9.6589560942387145E-2</v>
      </c>
      <c r="W33" s="217">
        <f t="shared" si="21"/>
        <v>0.24966522574610595</v>
      </c>
      <c r="X33" s="217">
        <f t="shared" si="22"/>
        <v>2.2626365295414171E-2</v>
      </c>
      <c r="Y33" s="217">
        <f t="shared" si="23"/>
        <v>0.20146036237673004</v>
      </c>
      <c r="Z33" s="217">
        <f t="shared" si="24"/>
        <v>0.20432112683775433</v>
      </c>
      <c r="AA33" s="218">
        <f t="shared" si="25"/>
        <v>0.22533735880160841</v>
      </c>
      <c r="AC33" s="216">
        <f t="shared" si="26"/>
        <v>2.0699720738248814E-2</v>
      </c>
      <c r="AD33" s="217">
        <f t="shared" si="27"/>
        <v>4.4958034435312766E-2</v>
      </c>
      <c r="AE33" s="217">
        <f t="shared" si="28"/>
        <v>2.4145452297754614E-2</v>
      </c>
      <c r="AF33" s="217">
        <f t="shared" si="29"/>
        <v>2.6998606892358362E-2</v>
      </c>
      <c r="AG33" s="217">
        <f t="shared" si="30"/>
        <v>-5.6256130893517609E-2</v>
      </c>
      <c r="AH33" s="218">
        <f t="shared" si="31"/>
        <v>-6.2023091719035583E-2</v>
      </c>
      <c r="AI33" s="11"/>
      <c r="AJ33" s="214">
        <f t="shared" si="32"/>
        <v>-6.2023091719035583E-2</v>
      </c>
      <c r="AK33" s="215">
        <f t="shared" si="33"/>
        <v>-3.3822347523191766E-3</v>
      </c>
    </row>
    <row r="34" spans="1:37" x14ac:dyDescent="0.25">
      <c r="A34" s="210" t="s">
        <v>68</v>
      </c>
      <c r="B34" s="202">
        <f>VLOOKUP($A34,Costdrivere!$A$1:$G$128,2,FALSE)</f>
        <v>187901.33814449672</v>
      </c>
      <c r="C34" s="203">
        <f>VLOOKUP($A34,Costdrivere!$A$1:$G$128,3,FALSE)</f>
        <v>463158.43300000002</v>
      </c>
      <c r="D34" s="203">
        <f>VLOOKUP($A34,Costdrivere!$A$1:$G$128,4,FALSE)</f>
        <v>106359</v>
      </c>
      <c r="E34" s="203">
        <f>VLOOKUP($A34,Costdrivere!$A$1:$G$128,5,FALSE)</f>
        <v>242820</v>
      </c>
      <c r="F34" s="203">
        <f>VLOOKUP($A34,Costdrivere!$A$1:$G$128,6,FALSE)</f>
        <v>288167.60000000003</v>
      </c>
      <c r="G34" s="203">
        <f>VLOOKUP($A34,Costdrivere!$A$1:$G$128,7,FALSE)</f>
        <v>317875.60000000003</v>
      </c>
      <c r="H34" s="25">
        <v>24.61763401370137</v>
      </c>
      <c r="I34" s="15">
        <f>VLOOKUP(A34,Costdrivere!$A$1:$H$128,8,FALSE)</f>
        <v>3.5366666666666664E-2</v>
      </c>
      <c r="J34" s="32">
        <f t="shared" si="0"/>
        <v>1606281.9711444969</v>
      </c>
      <c r="K34" s="33">
        <f t="shared" si="1"/>
        <v>1635383.6438000426</v>
      </c>
      <c r="L34" s="33">
        <f t="shared" si="2"/>
        <v>1911485.3975247075</v>
      </c>
      <c r="M34" s="32">
        <f>J34+'Potentialer og krav'!F33</f>
        <v>1606281.9711444969</v>
      </c>
      <c r="N34" s="33">
        <f t="shared" si="3"/>
        <v>1635383.6438000426</v>
      </c>
      <c r="O34" s="43">
        <f t="shared" si="4"/>
        <v>1911485.3975247075</v>
      </c>
      <c r="P34" s="33">
        <f>M34+(0.25*'Potentialer og krav'!$C33)</f>
        <v>2194026.7211444969</v>
      </c>
      <c r="Q34" s="33">
        <f>N34+(0.25*'Potentialer og krav'!$C33)</f>
        <v>2223128.3938000426</v>
      </c>
      <c r="R34" s="33">
        <f>O34+(0.25*'Potentialer og krav'!$C33)</f>
        <v>2499230.1475247075</v>
      </c>
      <c r="S34" s="24">
        <v>2703975</v>
      </c>
      <c r="T34" s="24">
        <f t="shared" si="5"/>
        <v>2787798.2249999996</v>
      </c>
      <c r="V34" s="216">
        <f t="shared" si="20"/>
        <v>0.11697904945706049</v>
      </c>
      <c r="W34" s="217">
        <f t="shared" si="21"/>
        <v>0.28834192334860959</v>
      </c>
      <c r="X34" s="217">
        <f t="shared" si="22"/>
        <v>6.6214401898701397E-2</v>
      </c>
      <c r="Y34" s="217">
        <f t="shared" si="23"/>
        <v>0.15116897553608696</v>
      </c>
      <c r="Z34" s="217">
        <f t="shared" si="24"/>
        <v>0.17940038248370357</v>
      </c>
      <c r="AA34" s="218">
        <f t="shared" si="25"/>
        <v>0.19789526727583795</v>
      </c>
      <c r="AC34" s="216">
        <f t="shared" si="26"/>
        <v>3.102322235754712E-4</v>
      </c>
      <c r="AD34" s="217">
        <f t="shared" si="27"/>
        <v>6.2813368328091257E-3</v>
      </c>
      <c r="AE34" s="217">
        <f t="shared" si="28"/>
        <v>-1.9442584305532612E-2</v>
      </c>
      <c r="AF34" s="217">
        <f t="shared" si="29"/>
        <v>7.7289993733001439E-2</v>
      </c>
      <c r="AG34" s="217">
        <f t="shared" si="30"/>
        <v>-3.1335386539466853E-2</v>
      </c>
      <c r="AH34" s="218">
        <f t="shared" si="31"/>
        <v>-3.4581000193265127E-2</v>
      </c>
      <c r="AI34" s="11"/>
      <c r="AJ34" s="214">
        <f t="shared" si="32"/>
        <v>-3.4581000193265127E-2</v>
      </c>
      <c r="AK34" s="215">
        <f t="shared" si="33"/>
        <v>0</v>
      </c>
    </row>
    <row r="35" spans="1:37" x14ac:dyDescent="0.25">
      <c r="A35" s="210" t="s">
        <v>69</v>
      </c>
      <c r="B35" s="202">
        <f>VLOOKUP($A35,Costdrivere!$A$1:$G$128,2,FALSE)</f>
        <v>181518.88820456812</v>
      </c>
      <c r="C35" s="203">
        <f>VLOOKUP($A35,Costdrivere!$A$1:$G$128,3,FALSE)</f>
        <v>452035.185</v>
      </c>
      <c r="D35" s="203">
        <f>VLOOKUP($A35,Costdrivere!$A$1:$G$128,4,FALSE)</f>
        <v>0</v>
      </c>
      <c r="E35" s="203">
        <f>VLOOKUP($A35,Costdrivere!$A$1:$G$128,5,FALSE)</f>
        <v>219780.429</v>
      </c>
      <c r="F35" s="203">
        <f>VLOOKUP($A35,Costdrivere!$A$1:$G$128,6,FALSE)</f>
        <v>282871.40000000002</v>
      </c>
      <c r="G35" s="203">
        <f>VLOOKUP($A35,Costdrivere!$A$1:$G$128,7,FALSE)</f>
        <v>312033.40000000002</v>
      </c>
      <c r="H35" s="25">
        <v>30.472036811837729</v>
      </c>
      <c r="I35" s="15">
        <f>VLOOKUP(A35,Costdrivere!$A$1:$H$128,8,FALSE)</f>
        <v>3.8356013036993389E-2</v>
      </c>
      <c r="J35" s="32">
        <f t="shared" si="0"/>
        <v>1448239.3022045679</v>
      </c>
      <c r="K35" s="33">
        <f t="shared" si="1"/>
        <v>1627092.0226919262</v>
      </c>
      <c r="L35" s="33">
        <f t="shared" si="2"/>
        <v>1782049.541038516</v>
      </c>
      <c r="M35" s="32">
        <f>J35+'Potentialer og krav'!F34</f>
        <v>1448239.3022045679</v>
      </c>
      <c r="N35" s="33">
        <f t="shared" si="3"/>
        <v>1627092.0226919262</v>
      </c>
      <c r="O35" s="43">
        <f t="shared" si="4"/>
        <v>1782049.541038516</v>
      </c>
      <c r="P35" s="33">
        <f>M35+(0.25*'Potentialer og krav'!$C34)</f>
        <v>1772546.8022045679</v>
      </c>
      <c r="Q35" s="33">
        <f>N35+(0.25*'Potentialer og krav'!$C34)</f>
        <v>1951399.5226919262</v>
      </c>
      <c r="R35" s="33">
        <f>O35+(0.25*'Potentialer og krav'!$C34)</f>
        <v>2106357.041038516</v>
      </c>
      <c r="S35" s="24">
        <v>1366399</v>
      </c>
      <c r="T35" s="24">
        <f t="shared" si="5"/>
        <v>1408757.3689999999</v>
      </c>
      <c r="V35" s="216">
        <f t="shared" si="20"/>
        <v>0.12533763441459764</v>
      </c>
      <c r="W35" s="217">
        <f t="shared" si="21"/>
        <v>0.31212741175570496</v>
      </c>
      <c r="X35" s="217">
        <f t="shared" si="22"/>
        <v>0</v>
      </c>
      <c r="Y35" s="217">
        <f t="shared" si="23"/>
        <v>0.15175698426733858</v>
      </c>
      <c r="Z35" s="217">
        <f t="shared" si="24"/>
        <v>0.19532089729190599</v>
      </c>
      <c r="AA35" s="218">
        <f t="shared" si="25"/>
        <v>0.21545707227045299</v>
      </c>
      <c r="AC35" s="216">
        <f t="shared" si="26"/>
        <v>-8.0483527339616778E-3</v>
      </c>
      <c r="AD35" s="217">
        <f t="shared" si="27"/>
        <v>-1.7504151574286253E-2</v>
      </c>
      <c r="AE35" s="217">
        <f t="shared" si="28"/>
        <v>4.6771817593168785E-2</v>
      </c>
      <c r="AF35" s="217">
        <f t="shared" si="29"/>
        <v>7.6701985001749823E-2</v>
      </c>
      <c r="AG35" s="217">
        <f t="shared" si="30"/>
        <v>-4.7255901347669271E-2</v>
      </c>
      <c r="AH35" s="218">
        <f t="shared" si="31"/>
        <v>-5.214280518788017E-2</v>
      </c>
      <c r="AI35" s="11"/>
      <c r="AJ35" s="214">
        <f t="shared" si="32"/>
        <v>-5.214280518788017E-2</v>
      </c>
      <c r="AK35" s="215">
        <f t="shared" si="33"/>
        <v>0</v>
      </c>
    </row>
    <row r="36" spans="1:37" x14ac:dyDescent="0.25">
      <c r="A36" s="210" t="s">
        <v>70</v>
      </c>
      <c r="B36" s="202">
        <f>VLOOKUP($A36,Costdrivere!$A$1:$G$128,2,FALSE)</f>
        <v>526815.73270373791</v>
      </c>
      <c r="C36" s="203">
        <f>VLOOKUP($A36,Costdrivere!$A$1:$G$128,3,FALSE)</f>
        <v>1347584.0759999999</v>
      </c>
      <c r="D36" s="203">
        <f>VLOOKUP($A36,Costdrivere!$A$1:$G$128,4,FALSE)</f>
        <v>1298000</v>
      </c>
      <c r="E36" s="203">
        <f>VLOOKUP($A36,Costdrivere!$A$1:$G$128,5,FALSE)</f>
        <v>5606691</v>
      </c>
      <c r="F36" s="203">
        <f>VLOOKUP($A36,Costdrivere!$A$1:$G$128,6,FALSE)</f>
        <v>2299015.5999999996</v>
      </c>
      <c r="G36" s="203">
        <f>VLOOKUP($A36,Costdrivere!$A$1:$G$128,7,FALSE)</f>
        <v>1763595.4000000001</v>
      </c>
      <c r="H36" s="25">
        <v>45.610771617241831</v>
      </c>
      <c r="I36" s="15">
        <f>VLOOKUP(A36,Costdrivere!$A$1:$H$128,8,FALSE)</f>
        <v>4.905416666666667E-2</v>
      </c>
      <c r="J36" s="32">
        <f t="shared" si="0"/>
        <v>12841701.808703737</v>
      </c>
      <c r="K36" s="33">
        <f t="shared" si="1"/>
        <v>17926937.25072778</v>
      </c>
      <c r="L36" s="33">
        <f t="shared" si="2"/>
        <v>17662343.542049035</v>
      </c>
      <c r="M36" s="32">
        <f>J36+'Potentialer og krav'!F35</f>
        <v>13002327.808703737</v>
      </c>
      <c r="N36" s="33">
        <f t="shared" si="3"/>
        <v>18151170.165160019</v>
      </c>
      <c r="O36" s="43">
        <f t="shared" si="4"/>
        <v>17883266.877292838</v>
      </c>
      <c r="P36" s="33">
        <f>M36+(0.25*'Potentialer og krav'!$C35)</f>
        <v>17337006.058703735</v>
      </c>
      <c r="Q36" s="33">
        <f>N36+(0.25*'Potentialer og krav'!$C35)</f>
        <v>22485848.415160019</v>
      </c>
      <c r="R36" s="33">
        <f>O36+(0.25*'Potentialer og krav'!$C35)</f>
        <v>22217945.127292838</v>
      </c>
      <c r="S36" s="24">
        <v>17398847</v>
      </c>
      <c r="T36" s="24">
        <f t="shared" si="5"/>
        <v>17938211.256999999</v>
      </c>
      <c r="V36" s="216">
        <f t="shared" si="20"/>
        <v>4.1023825389457126E-2</v>
      </c>
      <c r="W36" s="217">
        <f t="shared" si="21"/>
        <v>0.10493812238239686</v>
      </c>
      <c r="X36" s="217">
        <f t="shared" si="22"/>
        <v>0.1010769459792512</v>
      </c>
      <c r="Y36" s="217">
        <f t="shared" si="23"/>
        <v>0.43660031073139743</v>
      </c>
      <c r="Z36" s="217">
        <f t="shared" si="24"/>
        <v>0.17902733097585188</v>
      </c>
      <c r="AA36" s="218">
        <f t="shared" si="25"/>
        <v>0.13733346454164555</v>
      </c>
      <c r="AC36" s="216">
        <f t="shared" si="26"/>
        <v>7.626545629117884E-2</v>
      </c>
      <c r="AD36" s="217">
        <f t="shared" si="27"/>
        <v>0.18968513779902185</v>
      </c>
      <c r="AE36" s="217">
        <f t="shared" si="28"/>
        <v>-5.430512838608241E-2</v>
      </c>
      <c r="AF36" s="217">
        <f t="shared" si="29"/>
        <v>-0.20814134146230903</v>
      </c>
      <c r="AG36" s="217">
        <f t="shared" si="30"/>
        <v>-3.0962335031615162E-2</v>
      </c>
      <c r="AH36" s="218">
        <f t="shared" si="31"/>
        <v>2.5980802540927272E-2</v>
      </c>
      <c r="AI36" s="11"/>
      <c r="AJ36" s="214">
        <f t="shared" si="32"/>
        <v>2.5980802540927272E-2</v>
      </c>
      <c r="AK36" s="215">
        <f t="shared" si="33"/>
        <v>0</v>
      </c>
    </row>
    <row r="37" spans="1:37" x14ac:dyDescent="0.25">
      <c r="A37" s="210" t="s">
        <v>72</v>
      </c>
      <c r="B37" s="202">
        <f>VLOOKUP($A37,Costdrivere!$A$1:$G$128,2,FALSE)</f>
        <v>143169.37331187367</v>
      </c>
      <c r="C37" s="203">
        <f>VLOOKUP($A37,Costdrivere!$A$1:$G$128,3,FALSE)</f>
        <v>342941.54300000001</v>
      </c>
      <c r="D37" s="203">
        <f>VLOOKUP($A37,Costdrivere!$A$1:$G$128,4,FALSE)</f>
        <v>0</v>
      </c>
      <c r="E37" s="203">
        <f>VLOOKUP($A37,Costdrivere!$A$1:$G$128,5,FALSE)</f>
        <v>121410</v>
      </c>
      <c r="F37" s="203">
        <f>VLOOKUP($A37,Costdrivere!$A$1:$G$128,6,FALSE)</f>
        <v>169071</v>
      </c>
      <c r="G37" s="203">
        <f>VLOOKUP($A37,Costdrivere!$A$1:$G$128,7,FALSE)</f>
        <v>186201.40000000002</v>
      </c>
      <c r="H37" s="25">
        <v>23.092148961426812</v>
      </c>
      <c r="I37" s="15">
        <f>VLOOKUP(A37,Costdrivere!$A$1:$H$128,8,FALSE)</f>
        <v>4.1433333333333336E-2</v>
      </c>
      <c r="J37" s="32">
        <f t="shared" si="0"/>
        <v>962793.31631187373</v>
      </c>
      <c r="K37" s="33">
        <f t="shared" si="1"/>
        <v>953799.55710744578</v>
      </c>
      <c r="L37" s="33">
        <f t="shared" si="2"/>
        <v>1224839.7257786465</v>
      </c>
      <c r="M37" s="32">
        <f>J37+'Potentialer og krav'!F36</f>
        <v>962793.31631187373</v>
      </c>
      <c r="N37" s="33">
        <f t="shared" si="3"/>
        <v>953799.55710744578</v>
      </c>
      <c r="O37" s="43">
        <f t="shared" si="4"/>
        <v>1224839.7257786465</v>
      </c>
      <c r="P37" s="33">
        <f>M37+(0.25*'Potentialer og krav'!$C36)</f>
        <v>1169760.5663118737</v>
      </c>
      <c r="Q37" s="33">
        <f>N37+(0.25*'Potentialer og krav'!$C36)</f>
        <v>1160766.8071074458</v>
      </c>
      <c r="R37" s="33">
        <f>O37+(0.25*'Potentialer og krav'!$C36)</f>
        <v>1431806.9757786465</v>
      </c>
      <c r="S37" s="24">
        <v>704267</v>
      </c>
      <c r="T37" s="24">
        <f t="shared" si="5"/>
        <v>726099.27699999989</v>
      </c>
      <c r="V37" s="216">
        <f t="shared" si="20"/>
        <v>0.14870208474265872</v>
      </c>
      <c r="W37" s="217">
        <f t="shared" si="21"/>
        <v>0.35619435364766527</v>
      </c>
      <c r="X37" s="217">
        <f t="shared" si="22"/>
        <v>0</v>
      </c>
      <c r="Y37" s="217">
        <f t="shared" si="23"/>
        <v>0.12610183093613433</v>
      </c>
      <c r="Z37" s="217">
        <f t="shared" si="24"/>
        <v>0.17560466731079125</v>
      </c>
      <c r="AA37" s="218">
        <f t="shared" si="25"/>
        <v>0.19339706336275039</v>
      </c>
      <c r="AC37" s="216">
        <f t="shared" si="26"/>
        <v>-3.1412803062022765E-2</v>
      </c>
      <c r="AD37" s="217">
        <f t="shared" si="27"/>
        <v>-6.1571093466246563E-2</v>
      </c>
      <c r="AE37" s="217">
        <f t="shared" si="28"/>
        <v>4.6771817593168785E-2</v>
      </c>
      <c r="AF37" s="217">
        <f t="shared" si="29"/>
        <v>0.10235713833295407</v>
      </c>
      <c r="AG37" s="217">
        <f t="shared" si="30"/>
        <v>-2.7539671366554525E-2</v>
      </c>
      <c r="AH37" s="218">
        <f t="shared" si="31"/>
        <v>-3.0082796280177571E-2</v>
      </c>
      <c r="AI37" s="11"/>
      <c r="AJ37" s="214">
        <f t="shared" si="32"/>
        <v>-3.0082796280177571E-2</v>
      </c>
      <c r="AK37" s="215">
        <f t="shared" si="33"/>
        <v>0</v>
      </c>
    </row>
    <row r="38" spans="1:37" x14ac:dyDescent="0.25">
      <c r="A38" s="210" t="s">
        <v>73</v>
      </c>
      <c r="B38" s="202">
        <f>VLOOKUP($A38,Costdrivere!$A$1:$G$128,2,FALSE)</f>
        <v>542103.8624656467</v>
      </c>
      <c r="C38" s="203">
        <f>VLOOKUP($A38,Costdrivere!$A$1:$G$128,3,FALSE)</f>
        <v>1733399.2319999998</v>
      </c>
      <c r="D38" s="203">
        <f>VLOOKUP($A38,Costdrivere!$A$1:$G$128,4,FALSE)</f>
        <v>0</v>
      </c>
      <c r="E38" s="203">
        <f>VLOOKUP($A38,Costdrivere!$A$1:$G$128,5,FALSE)</f>
        <v>2340264</v>
      </c>
      <c r="F38" s="203">
        <f>VLOOKUP($A38,Costdrivere!$A$1:$G$128,6,FALSE)</f>
        <v>718156.80000000005</v>
      </c>
      <c r="G38" s="203">
        <f>VLOOKUP($A38,Costdrivere!$A$1:$G$128,7,FALSE)</f>
        <v>578977</v>
      </c>
      <c r="H38" s="25">
        <v>31.331292121007202</v>
      </c>
      <c r="I38" s="15">
        <f>VLOOKUP(A38,Costdrivere!$A$1:$H$128,8,FALSE)</f>
        <v>4.0260416666666667E-2</v>
      </c>
      <c r="J38" s="32">
        <f t="shared" si="0"/>
        <v>5912900.8944656467</v>
      </c>
      <c r="K38" s="33">
        <f t="shared" si="1"/>
        <v>6734576.8680449687</v>
      </c>
      <c r="L38" s="33">
        <f t="shared" si="2"/>
        <v>7428301.0187473046</v>
      </c>
      <c r="M38" s="32">
        <f>J38+'Potentialer og krav'!F37</f>
        <v>6293368.8944656467</v>
      </c>
      <c r="N38" s="33">
        <f t="shared" si="3"/>
        <v>7167915.9409574857</v>
      </c>
      <c r="O38" s="43">
        <f t="shared" si="4"/>
        <v>7906278.0527689718</v>
      </c>
      <c r="P38" s="33">
        <f>M38+(0.25*'Potentialer og krav'!$C37)</f>
        <v>8530359.8944656476</v>
      </c>
      <c r="Q38" s="33">
        <f>N38+(0.25*'Potentialer og krav'!$C37)</f>
        <v>9404906.9409574866</v>
      </c>
      <c r="R38" s="33">
        <f>O38+(0.25*'Potentialer og krav'!$C37)</f>
        <v>10143269.052768972</v>
      </c>
      <c r="S38" s="24">
        <v>6799939</v>
      </c>
      <c r="T38" s="24">
        <f t="shared" si="5"/>
        <v>7010737.1089999992</v>
      </c>
      <c r="V38" s="216">
        <f t="shared" si="20"/>
        <v>9.1681540438644044E-2</v>
      </c>
      <c r="W38" s="217">
        <f t="shared" si="21"/>
        <v>0.29315546851502716</v>
      </c>
      <c r="X38" s="217">
        <f t="shared" si="22"/>
        <v>0</v>
      </c>
      <c r="Y38" s="217">
        <f t="shared" si="23"/>
        <v>0.39578948502087002</v>
      </c>
      <c r="Z38" s="217">
        <f t="shared" si="24"/>
        <v>0.12145591695476919</v>
      </c>
      <c r="AA38" s="218">
        <f t="shared" si="25"/>
        <v>9.7917589070689579E-2</v>
      </c>
      <c r="AC38" s="216">
        <f t="shared" si="26"/>
        <v>2.5607741241991916E-2</v>
      </c>
      <c r="AD38" s="217">
        <f t="shared" si="27"/>
        <v>1.4677916663915491E-3</v>
      </c>
      <c r="AE38" s="217">
        <f t="shared" si="28"/>
        <v>4.6771817593168785E-2</v>
      </c>
      <c r="AF38" s="217">
        <f t="shared" si="29"/>
        <v>-0.16733051575178162</v>
      </c>
      <c r="AG38" s="217">
        <f t="shared" si="30"/>
        <v>2.660907898946753E-2</v>
      </c>
      <c r="AH38" s="218">
        <f t="shared" si="31"/>
        <v>6.5396678011883244E-2</v>
      </c>
      <c r="AI38" s="11"/>
      <c r="AJ38" s="214">
        <f t="shared" si="32"/>
        <v>6.5396678011883244E-2</v>
      </c>
      <c r="AK38" s="215">
        <f t="shared" si="33"/>
        <v>0</v>
      </c>
    </row>
    <row r="39" spans="1:37" s="6" customFormat="1" x14ac:dyDescent="0.25">
      <c r="A39" s="49" t="s">
        <v>80</v>
      </c>
      <c r="B39" s="204"/>
      <c r="C39" s="205"/>
      <c r="D39" s="205"/>
      <c r="E39" s="205"/>
      <c r="F39" s="205"/>
      <c r="G39" s="205"/>
      <c r="H39" s="29">
        <v>22.775153558211855</v>
      </c>
      <c r="I39" s="30"/>
      <c r="J39" s="34">
        <v>1585204</v>
      </c>
      <c r="K39" s="342" t="s">
        <v>218</v>
      </c>
      <c r="L39" s="342" t="s">
        <v>218</v>
      </c>
      <c r="M39" s="344" t="s">
        <v>218</v>
      </c>
      <c r="N39" s="342" t="s">
        <v>218</v>
      </c>
      <c r="O39" s="342" t="s">
        <v>218</v>
      </c>
      <c r="P39" s="344" t="s">
        <v>218</v>
      </c>
      <c r="Q39" s="342" t="s">
        <v>218</v>
      </c>
      <c r="R39" s="342" t="s">
        <v>218</v>
      </c>
      <c r="S39" s="343" t="s">
        <v>218</v>
      </c>
      <c r="T39" s="343" t="s">
        <v>218</v>
      </c>
      <c r="U39" s="28"/>
      <c r="V39" s="219"/>
      <c r="W39" s="220"/>
      <c r="X39" s="220"/>
      <c r="Y39" s="220"/>
      <c r="Z39" s="220"/>
      <c r="AA39" s="221"/>
      <c r="AB39" s="28"/>
      <c r="AC39" s="219"/>
      <c r="AD39" s="220"/>
      <c r="AE39" s="220"/>
      <c r="AF39" s="220"/>
      <c r="AG39" s="220"/>
      <c r="AH39" s="221"/>
      <c r="AI39" s="11"/>
      <c r="AJ39" s="214"/>
      <c r="AK39" s="215"/>
    </row>
    <row r="40" spans="1:37" x14ac:dyDescent="0.25">
      <c r="A40" s="210" t="s">
        <v>74</v>
      </c>
      <c r="B40" s="202">
        <f>VLOOKUP($A40,Costdrivere!$A$1:$G$128,2,FALSE)</f>
        <v>1196335.7674759342</v>
      </c>
      <c r="C40" s="203">
        <f>VLOOKUP($A40,Costdrivere!$A$1:$G$128,3,FALSE)</f>
        <v>3559740.3319999999</v>
      </c>
      <c r="D40" s="203">
        <f>VLOOKUP($A40,Costdrivere!$A$1:$G$128,4,FALSE)</f>
        <v>537928</v>
      </c>
      <c r="E40" s="203">
        <f>VLOOKUP($A40,Costdrivere!$A$1:$G$128,5,FALSE)</f>
        <v>3244277</v>
      </c>
      <c r="F40" s="203">
        <f>VLOOKUP($A40,Costdrivere!$A$1:$G$128,6,FALSE)</f>
        <v>2271920.7999999998</v>
      </c>
      <c r="G40" s="203">
        <f>VLOOKUP($A40,Costdrivere!$A$1:$G$128,7,FALSE)</f>
        <v>1471635.2000000002</v>
      </c>
      <c r="H40" s="25">
        <v>34.679525620506226</v>
      </c>
      <c r="I40" s="15">
        <f>VLOOKUP(A40,Costdrivere!$A$1:$H$128,8,FALSE)</f>
        <v>4.1104602510460254E-2</v>
      </c>
      <c r="J40" s="32">
        <f t="shared" si="0"/>
        <v>12281837.099475935</v>
      </c>
      <c r="K40" s="33">
        <f t="shared" si="1"/>
        <v>14728765.450645532</v>
      </c>
      <c r="L40" s="33">
        <f t="shared" si="2"/>
        <v>15569939.572113028</v>
      </c>
      <c r="M40" s="32">
        <f>J40+'Potentialer og krav'!F39</f>
        <v>13156951.599475935</v>
      </c>
      <c r="N40" s="33">
        <f t="shared" si="3"/>
        <v>15778230.291170809</v>
      </c>
      <c r="O40" s="43">
        <f t="shared" si="4"/>
        <v>16679340.370488809</v>
      </c>
      <c r="P40" s="33">
        <f>M40+(0.25*'Potentialer og krav'!$C39)</f>
        <v>16268855.599475935</v>
      </c>
      <c r="Q40" s="33">
        <f>N40+(0.25*'Potentialer og krav'!$C39)</f>
        <v>18890134.291170809</v>
      </c>
      <c r="R40" s="33">
        <f>O40+(0.25*'Potentialer og krav'!$C39)</f>
        <v>19791244.370488808</v>
      </c>
      <c r="S40" s="24">
        <v>11181202</v>
      </c>
      <c r="T40" s="24">
        <f t="shared" si="5"/>
        <v>11527819.261999998</v>
      </c>
      <c r="V40" s="216">
        <f t="shared" si="20"/>
        <v>9.7406907271794199E-2</v>
      </c>
      <c r="W40" s="217">
        <f t="shared" si="21"/>
        <v>0.28983777452575832</v>
      </c>
      <c r="X40" s="217">
        <f t="shared" si="22"/>
        <v>4.3798659406006399E-2</v>
      </c>
      <c r="Y40" s="217">
        <f t="shared" si="23"/>
        <v>0.26415242066176181</v>
      </c>
      <c r="Z40" s="217">
        <f t="shared" si="24"/>
        <v>0.18498216362900161</v>
      </c>
      <c r="AA40" s="218">
        <f t="shared" si="25"/>
        <v>0.11982207450567756</v>
      </c>
      <c r="AC40" s="216">
        <f t="shared" ref="AC40:AC64" si="34">V$131-V40</f>
        <v>1.988237440884176E-2</v>
      </c>
      <c r="AD40" s="217">
        <f t="shared" ref="AD40:AD64" si="35">W$131-W40</f>
        <v>4.7854856556603931E-3</v>
      </c>
      <c r="AE40" s="217">
        <f t="shared" ref="AE40:AE64" si="36">X$131-X40</f>
        <v>2.9731581871623863E-3</v>
      </c>
      <c r="AF40" s="217">
        <f t="shared" ref="AF40:AF64" si="37">Y$131-Y40</f>
        <v>-3.5693451392673409E-2</v>
      </c>
      <c r="AG40" s="217">
        <f t="shared" ref="AG40:AG64" si="38">Z$131-Z40</f>
        <v>-3.6917167684764884E-2</v>
      </c>
      <c r="AH40" s="218">
        <f t="shared" ref="AH40:AH64" si="39">AA$131-AA40</f>
        <v>4.3492192576895267E-2</v>
      </c>
      <c r="AI40" s="11"/>
      <c r="AJ40" s="214">
        <f t="shared" ref="AJ40:AJ48" si="40">$AA$131-AA40</f>
        <v>4.3492192576895267E-2</v>
      </c>
      <c r="AK40" s="215">
        <f t="shared" ref="AK40:AK48" si="41">IF(AJ40&lt;$AA$134,(AJ40-$AA$134)*0.7658,0)</f>
        <v>0</v>
      </c>
    </row>
    <row r="41" spans="1:37" x14ac:dyDescent="0.25">
      <c r="A41" s="210" t="s">
        <v>75</v>
      </c>
      <c r="B41" s="202">
        <f>VLOOKUP($A41,Costdrivere!$A$1:$G$128,2,FALSE)</f>
        <v>392536.58155312185</v>
      </c>
      <c r="C41" s="203">
        <f>VLOOKUP($A41,Costdrivere!$A$1:$G$128,3,FALSE)</f>
        <v>993917.696</v>
      </c>
      <c r="D41" s="203">
        <f>VLOOKUP($A41,Costdrivere!$A$1:$G$128,4,FALSE)</f>
        <v>70906</v>
      </c>
      <c r="E41" s="203">
        <f>VLOOKUP($A41,Costdrivere!$A$1:$G$128,5,FALSE)</f>
        <v>736044.07799999998</v>
      </c>
      <c r="F41" s="203">
        <f>VLOOKUP($A41,Costdrivere!$A$1:$G$128,6,FALSE)</f>
        <v>474621.00000000006</v>
      </c>
      <c r="G41" s="203">
        <f>VLOOKUP($A41,Costdrivere!$A$1:$G$128,7,FALSE)</f>
        <v>523551.00000000006</v>
      </c>
      <c r="H41" s="25">
        <v>31.597095131463167</v>
      </c>
      <c r="I41" s="15">
        <f>VLOOKUP(A41,Costdrivere!$A$1:$H$128,8,FALSE)</f>
        <v>1.9216600503645379E-2</v>
      </c>
      <c r="J41" s="32">
        <f t="shared" si="0"/>
        <v>3191576.3555531218</v>
      </c>
      <c r="K41" s="33">
        <f t="shared" si="1"/>
        <v>3650358.1555063738</v>
      </c>
      <c r="L41" s="33">
        <f t="shared" si="2"/>
        <v>3099881.2090223921</v>
      </c>
      <c r="M41" s="32">
        <f>J41+'Potentialer og krav'!F40</f>
        <v>3191576.3555531218</v>
      </c>
      <c r="N41" s="33">
        <f t="shared" si="3"/>
        <v>3650358.1555063738</v>
      </c>
      <c r="O41" s="43">
        <f t="shared" si="4"/>
        <v>3099881.2090223921</v>
      </c>
      <c r="P41" s="33">
        <f>M41+(0.25*'Potentialer og krav'!$C40)</f>
        <v>3835025.6055531218</v>
      </c>
      <c r="Q41" s="33">
        <f>N41+(0.25*'Potentialer og krav'!$C40)</f>
        <v>4293807.4055063743</v>
      </c>
      <c r="R41" s="33">
        <f>O41+(0.25*'Potentialer og krav'!$C40)</f>
        <v>3743330.4590223921</v>
      </c>
      <c r="S41" s="24">
        <v>2865228</v>
      </c>
      <c r="T41" s="24">
        <f t="shared" si="5"/>
        <v>2954050.068</v>
      </c>
      <c r="V41" s="216">
        <f t="shared" si="20"/>
        <v>0.12299144304354034</v>
      </c>
      <c r="W41" s="217">
        <f t="shared" si="21"/>
        <v>0.31141905606320591</v>
      </c>
      <c r="X41" s="217">
        <f t="shared" si="22"/>
        <v>2.2216607751410513E-2</v>
      </c>
      <c r="Y41" s="217">
        <f t="shared" si="23"/>
        <v>0.23062085815974112</v>
      </c>
      <c r="Z41" s="217">
        <f t="shared" si="24"/>
        <v>0.14871052643756819</v>
      </c>
      <c r="AA41" s="218">
        <f t="shared" si="25"/>
        <v>0.16404150854453398</v>
      </c>
      <c r="AC41" s="216">
        <f t="shared" si="34"/>
        <v>-5.7021613629043844E-3</v>
      </c>
      <c r="AD41" s="217">
        <f t="shared" si="35"/>
        <v>-1.6795795881787201E-2</v>
      </c>
      <c r="AE41" s="217">
        <f t="shared" si="36"/>
        <v>2.4555209841758272E-2</v>
      </c>
      <c r="AF41" s="217">
        <f t="shared" si="37"/>
        <v>-2.1618888906527189E-3</v>
      </c>
      <c r="AG41" s="217">
        <f t="shared" si="38"/>
        <v>-6.4553049333146428E-4</v>
      </c>
      <c r="AH41" s="218">
        <f t="shared" si="39"/>
        <v>-7.2724146196115336E-4</v>
      </c>
      <c r="AI41" s="11"/>
      <c r="AJ41" s="214">
        <f t="shared" si="40"/>
        <v>-7.2724146196115336E-4</v>
      </c>
      <c r="AK41" s="215">
        <f t="shared" si="41"/>
        <v>0</v>
      </c>
    </row>
    <row r="42" spans="1:37" x14ac:dyDescent="0.25">
      <c r="A42" s="210" t="s">
        <v>76</v>
      </c>
      <c r="B42" s="202">
        <f>VLOOKUP($A42,Costdrivere!$A$1:$G$128,2,FALSE)</f>
        <v>451441.60011512431</v>
      </c>
      <c r="C42" s="203">
        <f>VLOOKUP($A42,Costdrivere!$A$1:$G$128,3,FALSE)</f>
        <v>1178886.858</v>
      </c>
      <c r="D42" s="203">
        <f>VLOOKUP($A42,Costdrivere!$A$1:$G$128,4,FALSE)</f>
        <v>106359</v>
      </c>
      <c r="E42" s="203">
        <f>VLOOKUP($A42,Costdrivere!$A$1:$G$128,5,FALSE)</f>
        <v>683943</v>
      </c>
      <c r="F42" s="203">
        <f>VLOOKUP($A42,Costdrivere!$A$1:$G$128,6,FALSE)</f>
        <v>668271.80000000005</v>
      </c>
      <c r="G42" s="203">
        <f>VLOOKUP($A42,Costdrivere!$A$1:$G$128,7,FALSE)</f>
        <v>768923.4</v>
      </c>
      <c r="H42" s="25">
        <v>36.511418564987913</v>
      </c>
      <c r="I42" s="15">
        <f>VLOOKUP(A42,Costdrivere!$A$1:$H$128,8,FALSE)</f>
        <v>3.0372781065088759E-2</v>
      </c>
      <c r="J42" s="32">
        <f t="shared" si="0"/>
        <v>3857825.6581151239</v>
      </c>
      <c r="K42" s="33">
        <f t="shared" si="1"/>
        <v>4753634.1257916372</v>
      </c>
      <c r="L42" s="33">
        <f t="shared" si="2"/>
        <v>4329903.7206266765</v>
      </c>
      <c r="M42" s="32">
        <f>J42+'Potentialer og krav'!F41</f>
        <v>3857825.6581151239</v>
      </c>
      <c r="N42" s="33">
        <f t="shared" si="3"/>
        <v>4753634.1257916372</v>
      </c>
      <c r="O42" s="43">
        <f t="shared" si="4"/>
        <v>4329903.7206266765</v>
      </c>
      <c r="P42" s="33">
        <f>M42+(0.25*'Potentialer og krav'!$C41)</f>
        <v>5177777.9081151243</v>
      </c>
      <c r="Q42" s="33">
        <f>N42+(0.25*'Potentialer og krav'!$C41)</f>
        <v>6073586.3757916372</v>
      </c>
      <c r="R42" s="33">
        <f>O42+(0.25*'Potentialer og krav'!$C41)</f>
        <v>5649855.9706266765</v>
      </c>
      <c r="S42" s="24">
        <v>4673409</v>
      </c>
      <c r="T42" s="24">
        <f t="shared" si="5"/>
        <v>4818284.6789999995</v>
      </c>
      <c r="V42" s="216">
        <f t="shared" si="20"/>
        <v>0.1170196997278752</v>
      </c>
      <c r="W42" s="217">
        <f t="shared" si="21"/>
        <v>0.30558323845458235</v>
      </c>
      <c r="X42" s="217">
        <f t="shared" si="22"/>
        <v>2.7569675103453335E-2</v>
      </c>
      <c r="Y42" s="217">
        <f t="shared" si="23"/>
        <v>0.17728717174175371</v>
      </c>
      <c r="Z42" s="217">
        <f t="shared" si="24"/>
        <v>0.17322498713601994</v>
      </c>
      <c r="AA42" s="218">
        <f t="shared" si="25"/>
        <v>0.19931522783631558</v>
      </c>
      <c r="AC42" s="216">
        <f t="shared" si="34"/>
        <v>2.6958195276076402E-4</v>
      </c>
      <c r="AD42" s="217">
        <f t="shared" si="35"/>
        <v>-1.095997827316364E-2</v>
      </c>
      <c r="AE42" s="217">
        <f t="shared" si="36"/>
        <v>1.9202142489715451E-2</v>
      </c>
      <c r="AF42" s="217">
        <f t="shared" si="37"/>
        <v>5.1171797527334695E-2</v>
      </c>
      <c r="AG42" s="217">
        <f t="shared" si="38"/>
        <v>-2.5159991191783221E-2</v>
      </c>
      <c r="AH42" s="218">
        <f t="shared" si="39"/>
        <v>-3.6000960753742761E-2</v>
      </c>
      <c r="AI42" s="11"/>
      <c r="AJ42" s="214">
        <f t="shared" si="40"/>
        <v>-3.6000960753742761E-2</v>
      </c>
      <c r="AK42" s="215">
        <f t="shared" si="41"/>
        <v>0</v>
      </c>
    </row>
    <row r="43" spans="1:37" x14ac:dyDescent="0.25">
      <c r="A43" s="210" t="s">
        <v>77</v>
      </c>
      <c r="B43" s="202">
        <f>VLOOKUP($A43,Costdrivere!$A$1:$G$128,2,FALSE)</f>
        <v>337086.31713941501</v>
      </c>
      <c r="C43" s="203">
        <f>VLOOKUP($A43,Costdrivere!$A$1:$G$128,3,FALSE)</f>
        <v>850128.424</v>
      </c>
      <c r="D43" s="203">
        <f>VLOOKUP($A43,Costdrivere!$A$1:$G$128,4,FALSE)</f>
        <v>0</v>
      </c>
      <c r="E43" s="203">
        <f>VLOOKUP($A43,Costdrivere!$A$1:$G$128,5,FALSE)</f>
        <v>607050</v>
      </c>
      <c r="F43" s="203">
        <f>VLOOKUP($A43,Costdrivere!$A$1:$G$128,6,FALSE)</f>
        <v>756541.8</v>
      </c>
      <c r="G43" s="203">
        <f>VLOOKUP($A43,Costdrivere!$A$1:$G$128,7,FALSE)</f>
        <v>803677.00000000012</v>
      </c>
      <c r="H43" s="25">
        <v>34.520250394777953</v>
      </c>
      <c r="I43" s="15">
        <f>VLOOKUP(A43,Costdrivere!$A$1:$H$128,8,FALSE)</f>
        <v>3.5766666666666669E-2</v>
      </c>
      <c r="J43" s="32">
        <f t="shared" si="0"/>
        <v>3354483.541139415</v>
      </c>
      <c r="K43" s="33">
        <f t="shared" si="1"/>
        <v>4013185.0482904557</v>
      </c>
      <c r="L43" s="33">
        <f t="shared" si="2"/>
        <v>4010029.2381540998</v>
      </c>
      <c r="M43" s="32">
        <f>J43+'Potentialer og krav'!F42</f>
        <v>3354483.541139415</v>
      </c>
      <c r="N43" s="33">
        <f t="shared" si="3"/>
        <v>4013185.0482904557</v>
      </c>
      <c r="O43" s="43">
        <f t="shared" si="4"/>
        <v>4010029.2381540998</v>
      </c>
      <c r="P43" s="33">
        <f>M43+(0.25*'Potentialer og krav'!$C42)</f>
        <v>4853182.7911394145</v>
      </c>
      <c r="Q43" s="33">
        <f>N43+(0.25*'Potentialer og krav'!$C42)</f>
        <v>5511884.2982904557</v>
      </c>
      <c r="R43" s="33">
        <f>O43+(0.25*'Potentialer og krav'!$C42)</f>
        <v>5508728.4881541003</v>
      </c>
      <c r="S43" s="24">
        <v>3459476</v>
      </c>
      <c r="T43" s="24">
        <f t="shared" si="5"/>
        <v>3566719.7559999996</v>
      </c>
      <c r="V43" s="216">
        <f t="shared" si="20"/>
        <v>0.10048829067288169</v>
      </c>
      <c r="W43" s="217">
        <f t="shared" si="21"/>
        <v>0.25343049491047359</v>
      </c>
      <c r="X43" s="217">
        <f t="shared" si="22"/>
        <v>0</v>
      </c>
      <c r="Y43" s="217">
        <f t="shared" si="23"/>
        <v>0.18096675465988538</v>
      </c>
      <c r="Z43" s="217">
        <f t="shared" si="24"/>
        <v>0.22553152839230389</v>
      </c>
      <c r="AA43" s="218">
        <f t="shared" si="25"/>
        <v>0.23958293136445549</v>
      </c>
      <c r="AC43" s="216">
        <f t="shared" si="34"/>
        <v>1.6800991007754271E-2</v>
      </c>
      <c r="AD43" s="217">
        <f t="shared" si="35"/>
        <v>4.119276527094512E-2</v>
      </c>
      <c r="AE43" s="217">
        <f t="shared" si="36"/>
        <v>4.6771817593168785E-2</v>
      </c>
      <c r="AF43" s="217">
        <f t="shared" si="37"/>
        <v>4.7492214609203026E-2</v>
      </c>
      <c r="AG43" s="217">
        <f t="shared" si="38"/>
        <v>-7.7466532448067171E-2</v>
      </c>
      <c r="AH43" s="218">
        <f t="shared" si="39"/>
        <v>-7.626866428188267E-2</v>
      </c>
      <c r="AI43" s="11"/>
      <c r="AJ43" s="214">
        <f t="shared" si="40"/>
        <v>-7.626866428188267E-2</v>
      </c>
      <c r="AK43" s="215">
        <f t="shared" si="41"/>
        <v>-1.4291494220947476E-2</v>
      </c>
    </row>
    <row r="44" spans="1:37" x14ac:dyDescent="0.25">
      <c r="A44" s="210" t="s">
        <v>78</v>
      </c>
      <c r="B44" s="202">
        <f>VLOOKUP($A44,Costdrivere!$A$1:$G$128,2,FALSE)</f>
        <v>155860.092024691</v>
      </c>
      <c r="C44" s="203">
        <f>VLOOKUP($A44,Costdrivere!$A$1:$G$128,3,FALSE)</f>
        <v>413641.80599999998</v>
      </c>
      <c r="D44" s="203">
        <f>VLOOKUP($A44,Costdrivere!$A$1:$G$128,4,FALSE)</f>
        <v>91922</v>
      </c>
      <c r="E44" s="203">
        <f>VLOOKUP($A44,Costdrivere!$A$1:$G$128,5,FALSE)</f>
        <v>306701.89499999996</v>
      </c>
      <c r="F44" s="203">
        <f>VLOOKUP($A44,Costdrivere!$A$1:$G$128,6,FALSE)</f>
        <v>228144.00000000003</v>
      </c>
      <c r="G44" s="203">
        <f>VLOOKUP($A44,Costdrivere!$A$1:$G$128,7,FALSE)</f>
        <v>273684.60000000003</v>
      </c>
      <c r="H44" s="25">
        <v>19.620444576383747</v>
      </c>
      <c r="I44" s="15">
        <f>VLOOKUP(A44,Costdrivere!$A$1:$H$128,8,FALSE)</f>
        <v>2.4107673022365904E-2</v>
      </c>
      <c r="J44" s="32">
        <f t="shared" si="0"/>
        <v>1469954.3930246911</v>
      </c>
      <c r="K44" s="33">
        <f t="shared" si="1"/>
        <v>1364364.6325559472</v>
      </c>
      <c r="L44" s="33">
        <f t="shared" si="2"/>
        <v>1525098.7375298075</v>
      </c>
      <c r="M44" s="32">
        <f>J44+'Potentialer og krav'!F43</f>
        <v>1469954.3930246911</v>
      </c>
      <c r="N44" s="33">
        <f t="shared" ref="N44:N80" si="42">(0.575+0.018*H44)*M44</f>
        <v>1364364.6325559472</v>
      </c>
      <c r="O44" s="43">
        <f t="shared" ref="O44:O80" si="43">(0.711+13.544*I44)*M44</f>
        <v>1525098.7375298075</v>
      </c>
      <c r="P44" s="33">
        <f>M44+(0.25*'Potentialer og krav'!$C43)</f>
        <v>1802208.6430246911</v>
      </c>
      <c r="Q44" s="33">
        <f>N44+(0.25*'Potentialer og krav'!$C43)</f>
        <v>1696618.8825559472</v>
      </c>
      <c r="R44" s="33">
        <f>O44+(0.25*'Potentialer og krav'!$C43)</f>
        <v>1857352.9875298075</v>
      </c>
      <c r="S44" s="24">
        <v>1581977</v>
      </c>
      <c r="T44" s="24">
        <f t="shared" si="5"/>
        <v>1631018.2869999998</v>
      </c>
      <c r="V44" s="216">
        <f t="shared" si="20"/>
        <v>0.10603056310065599</v>
      </c>
      <c r="W44" s="217">
        <f t="shared" si="21"/>
        <v>0.28139771408067893</v>
      </c>
      <c r="X44" s="217">
        <f t="shared" si="22"/>
        <v>6.2533912913348436E-2</v>
      </c>
      <c r="Y44" s="217">
        <f t="shared" si="23"/>
        <v>0.20864721820988374</v>
      </c>
      <c r="Z44" s="217">
        <f t="shared" si="24"/>
        <v>0.15520481525318169</v>
      </c>
      <c r="AA44" s="218">
        <f t="shared" si="25"/>
        <v>0.18618577644225109</v>
      </c>
      <c r="AC44" s="216">
        <f t="shared" si="34"/>
        <v>1.1258718579979968E-2</v>
      </c>
      <c r="AD44" s="217">
        <f t="shared" si="35"/>
        <v>1.3225546100739782E-2</v>
      </c>
      <c r="AE44" s="217">
        <f t="shared" si="36"/>
        <v>-1.576209532017965E-2</v>
      </c>
      <c r="AF44" s="217">
        <f t="shared" si="37"/>
        <v>1.9811751059204658E-2</v>
      </c>
      <c r="AG44" s="217">
        <f t="shared" si="38"/>
        <v>-7.1398193089449724E-3</v>
      </c>
      <c r="AH44" s="218">
        <f t="shared" si="39"/>
        <v>-2.2871509359678271E-2</v>
      </c>
      <c r="AI44" s="11"/>
      <c r="AJ44" s="214">
        <f t="shared" si="40"/>
        <v>-2.2871509359678271E-2</v>
      </c>
      <c r="AK44" s="215">
        <f t="shared" si="41"/>
        <v>0</v>
      </c>
    </row>
    <row r="45" spans="1:37" x14ac:dyDescent="0.25">
      <c r="A45" s="210" t="s">
        <v>203</v>
      </c>
      <c r="B45" s="202">
        <f>VLOOKUP($A45,Costdrivere!$A$1:$G$128,2,FALSE)</f>
        <v>244928.99637650631</v>
      </c>
      <c r="C45" s="203">
        <f>VLOOKUP($A45,Costdrivere!$A$1:$G$128,3,FALSE)</f>
        <v>602270.005</v>
      </c>
      <c r="D45" s="203">
        <f>VLOOKUP($A45,Costdrivere!$A$1:$G$128,4,FALSE)</f>
        <v>35453</v>
      </c>
      <c r="E45" s="203">
        <f>VLOOKUP($A45,Costdrivere!$A$1:$G$128,5,FALSE)</f>
        <v>218538</v>
      </c>
      <c r="F45" s="203">
        <f>VLOOKUP($A45,Costdrivere!$A$1:$G$128,6,FALSE)</f>
        <v>258291.60000000003</v>
      </c>
      <c r="G45" s="203">
        <f>VLOOKUP($A45,Costdrivere!$A$1:$G$128,7,FALSE)</f>
        <v>384237.00000000006</v>
      </c>
      <c r="H45" s="25">
        <v>26.612851359479439</v>
      </c>
      <c r="I45" s="15">
        <f>VLOOKUP(A45,Costdrivere!$A$1:$H$128,8,FALSE)</f>
        <v>4.7500000000000001E-2</v>
      </c>
      <c r="J45" s="32">
        <f t="shared" si="0"/>
        <v>1743718.6013765065</v>
      </c>
      <c r="K45" s="33">
        <f t="shared" si="1"/>
        <v>1837934.0269129535</v>
      </c>
      <c r="L45" s="33">
        <f t="shared" si="2"/>
        <v>2361587.8505882579</v>
      </c>
      <c r="M45" s="32">
        <f>J45+'Potentialer og krav'!F44</f>
        <v>1743718.6013765065</v>
      </c>
      <c r="N45" s="33">
        <f t="shared" si="42"/>
        <v>1837934.0269129535</v>
      </c>
      <c r="O45" s="43">
        <f t="shared" si="43"/>
        <v>2361587.8505882579</v>
      </c>
      <c r="P45" s="33">
        <f>M45+(0.25*'Potentialer og krav'!$C44)</f>
        <v>2140499.8513765065</v>
      </c>
      <c r="Q45" s="33">
        <f>N45+(0.25*'Potentialer og krav'!$C44)</f>
        <v>2234715.2769129537</v>
      </c>
      <c r="R45" s="33">
        <f>O45+(0.25*'Potentialer og krav'!$C44)</f>
        <v>2758369.1005882579</v>
      </c>
      <c r="S45" s="24">
        <v>273198</v>
      </c>
      <c r="T45" s="24">
        <f t="shared" si="5"/>
        <v>281667.13799999998</v>
      </c>
      <c r="V45" s="216">
        <f t="shared" si="20"/>
        <v>0.14046360243169811</v>
      </c>
      <c r="W45" s="217">
        <f t="shared" si="21"/>
        <v>0.34539403578339006</v>
      </c>
      <c r="X45" s="217">
        <f t="shared" si="22"/>
        <v>2.0331835636789728E-2</v>
      </c>
      <c r="Y45" s="217">
        <f t="shared" si="23"/>
        <v>0.12532870832913304</v>
      </c>
      <c r="Z45" s="217">
        <f t="shared" si="24"/>
        <v>0.14812688228255547</v>
      </c>
      <c r="AA45" s="218">
        <f t="shared" si="25"/>
        <v>0.22035493553643348</v>
      </c>
      <c r="AC45" s="216">
        <f t="shared" si="34"/>
        <v>-2.3174320751062155E-2</v>
      </c>
      <c r="AD45" s="217">
        <f t="shared" si="35"/>
        <v>-5.0770775601971352E-2</v>
      </c>
      <c r="AE45" s="217">
        <f t="shared" si="36"/>
        <v>2.6439981956379057E-2</v>
      </c>
      <c r="AF45" s="217">
        <f t="shared" si="37"/>
        <v>0.10313026093995536</v>
      </c>
      <c r="AG45" s="217">
        <f t="shared" si="38"/>
        <v>-6.1886338318745127E-5</v>
      </c>
      <c r="AH45" s="218">
        <f t="shared" si="39"/>
        <v>-5.704066845386066E-2</v>
      </c>
      <c r="AI45" s="11"/>
      <c r="AJ45" s="214">
        <f t="shared" si="40"/>
        <v>-5.704066845386066E-2</v>
      </c>
      <c r="AK45" s="215">
        <f t="shared" si="41"/>
        <v>0</v>
      </c>
    </row>
    <row r="46" spans="1:37" x14ac:dyDescent="0.25">
      <c r="A46" s="210" t="s">
        <v>79</v>
      </c>
      <c r="B46" s="202">
        <f>VLOOKUP($A46,Costdrivere!$A$1:$G$128,2,FALSE)</f>
        <v>344500.98889869481</v>
      </c>
      <c r="C46" s="203">
        <f>VLOOKUP($A46,Costdrivere!$A$1:$G$128,3,FALSE)</f>
        <v>825405.973</v>
      </c>
      <c r="D46" s="203">
        <f>VLOOKUP($A46,Costdrivere!$A$1:$G$128,4,FALSE)</f>
        <v>35453</v>
      </c>
      <c r="E46" s="203">
        <f>VLOOKUP($A46,Costdrivere!$A$1:$G$128,5,FALSE)</f>
        <v>639426</v>
      </c>
      <c r="F46" s="203">
        <f>VLOOKUP($A46,Costdrivere!$A$1:$G$128,6,FALSE)</f>
        <v>184688.00000000003</v>
      </c>
      <c r="G46" s="203">
        <f>VLOOKUP($A46,Costdrivere!$A$1:$G$128,7,FALSE)</f>
        <v>212416.40000000002</v>
      </c>
      <c r="H46" s="25">
        <v>30.297565193755968</v>
      </c>
      <c r="I46" s="15">
        <f>VLOOKUP(A46,Costdrivere!$A$1:$H$128,8,FALSE)</f>
        <v>8.9746835443037971E-3</v>
      </c>
      <c r="J46" s="32">
        <f t="shared" si="0"/>
        <v>2241890.3618986947</v>
      </c>
      <c r="K46" s="33">
        <f t="shared" si="1"/>
        <v>2511715.7072355687</v>
      </c>
      <c r="L46" s="33">
        <f t="shared" si="2"/>
        <v>1866492.8018750751</v>
      </c>
      <c r="M46" s="32">
        <f>J46+'Potentialer og krav'!F45</f>
        <v>2241890.3618986947</v>
      </c>
      <c r="N46" s="33">
        <f t="shared" si="42"/>
        <v>2511715.7072355687</v>
      </c>
      <c r="O46" s="43">
        <f t="shared" si="43"/>
        <v>1866492.8018750751</v>
      </c>
      <c r="P46" s="33">
        <f>M46+(0.25*'Potentialer og krav'!$C45)</f>
        <v>2598989.3618986947</v>
      </c>
      <c r="Q46" s="33">
        <f>N46+(0.25*'Potentialer og krav'!$C45)</f>
        <v>2868814.7072355687</v>
      </c>
      <c r="R46" s="33">
        <f>O46+(0.25*'Potentialer og krav'!$C45)</f>
        <v>2223591.8018750753</v>
      </c>
      <c r="S46" s="24">
        <v>850188</v>
      </c>
      <c r="T46" s="24">
        <f t="shared" si="5"/>
        <v>876543.82799999998</v>
      </c>
      <c r="V46" s="216">
        <f t="shared" si="20"/>
        <v>0.15366540431840348</v>
      </c>
      <c r="W46" s="217">
        <f t="shared" si="21"/>
        <v>0.36817410299268594</v>
      </c>
      <c r="X46" s="217">
        <f t="shared" si="22"/>
        <v>1.5813886621098748E-2</v>
      </c>
      <c r="Y46" s="217">
        <f t="shared" si="23"/>
        <v>0.28521733750550554</v>
      </c>
      <c r="Z46" s="217">
        <f t="shared" si="24"/>
        <v>8.2380478162002821E-2</v>
      </c>
      <c r="AA46" s="218">
        <f t="shared" si="25"/>
        <v>9.4748790400303526E-2</v>
      </c>
      <c r="AC46" s="216">
        <f t="shared" si="34"/>
        <v>-3.6376122637767516E-2</v>
      </c>
      <c r="AD46" s="217">
        <f t="shared" si="35"/>
        <v>-7.3550842811267225E-2</v>
      </c>
      <c r="AE46" s="217">
        <f t="shared" si="36"/>
        <v>3.0957930972070037E-2</v>
      </c>
      <c r="AF46" s="217">
        <f t="shared" si="37"/>
        <v>-5.6758368236417139E-2</v>
      </c>
      <c r="AG46" s="217">
        <f t="shared" si="38"/>
        <v>6.56845177822339E-2</v>
      </c>
      <c r="AH46" s="218">
        <f t="shared" si="39"/>
        <v>6.8565476682269297E-2</v>
      </c>
      <c r="AI46" s="11"/>
      <c r="AJ46" s="214">
        <f t="shared" si="40"/>
        <v>6.8565476682269297E-2</v>
      </c>
      <c r="AK46" s="215">
        <f t="shared" si="41"/>
        <v>0</v>
      </c>
    </row>
    <row r="47" spans="1:37" x14ac:dyDescent="0.25">
      <c r="A47" s="210" t="s">
        <v>81</v>
      </c>
      <c r="B47" s="202">
        <f>VLOOKUP($A47,Costdrivere!$A$1:$G$128,2,FALSE)</f>
        <v>986281.13341211551</v>
      </c>
      <c r="C47" s="203">
        <f>VLOOKUP($A47,Costdrivere!$A$1:$G$128,3,FALSE)</f>
        <v>2775008.8020000001</v>
      </c>
      <c r="D47" s="203">
        <f>VLOOKUP($A47,Costdrivere!$A$1:$G$128,4,FALSE)</f>
        <v>225876</v>
      </c>
      <c r="E47" s="203">
        <f>VLOOKUP($A47,Costdrivere!$A$1:$G$128,5,FALSE)</f>
        <v>1123317</v>
      </c>
      <c r="F47" s="203">
        <f>VLOOKUP($A47,Costdrivere!$A$1:$G$128,6,FALSE)</f>
        <v>700571.8</v>
      </c>
      <c r="G47" s="203">
        <f>VLOOKUP($A47,Costdrivere!$A$1:$G$128,7,FALSE)</f>
        <v>934152.8</v>
      </c>
      <c r="H47" s="25">
        <v>33.621774366364328</v>
      </c>
      <c r="I47" s="15">
        <f>VLOOKUP(A47,Costdrivere!$A$1:$H$128,8,FALSE)</f>
        <v>3.9719745222929939E-2</v>
      </c>
      <c r="J47" s="32">
        <f t="shared" ref="J47:J85" si="44">SUM(B47:G47)</f>
        <v>6745207.535412115</v>
      </c>
      <c r="K47" s="33">
        <f t="shared" ref="K47:K85" si="45">(0.575+0.018*H47)*J47</f>
        <v>7960639.5574406441</v>
      </c>
      <c r="L47" s="33">
        <f t="shared" ref="L47:L85" si="46">(0.711+13.544*I47)*J47</f>
        <v>8424522.9309302475</v>
      </c>
      <c r="M47" s="32">
        <f>J47+'Potentialer og krav'!F46</f>
        <v>6745207.535412115</v>
      </c>
      <c r="N47" s="33">
        <f t="shared" si="42"/>
        <v>7960639.5574406441</v>
      </c>
      <c r="O47" s="43">
        <f t="shared" si="43"/>
        <v>8424522.9309302475</v>
      </c>
      <c r="P47" s="33">
        <f>M47+(0.25*'Potentialer og krav'!$C46)</f>
        <v>9175378.5354121141</v>
      </c>
      <c r="Q47" s="33">
        <f>N47+(0.25*'Potentialer og krav'!$C46)</f>
        <v>10390810.557440644</v>
      </c>
      <c r="R47" s="33">
        <f>O47+(0.25*'Potentialer og krav'!$C46)</f>
        <v>10854693.930930248</v>
      </c>
      <c r="S47" s="24">
        <v>7850553</v>
      </c>
      <c r="T47" s="24">
        <f t="shared" ref="T47:T85" si="47">1.031*S47</f>
        <v>8093920.1429999992</v>
      </c>
      <c r="V47" s="216">
        <f t="shared" si="20"/>
        <v>0.14621953857374623</v>
      </c>
      <c r="W47" s="217">
        <f t="shared" si="21"/>
        <v>0.41140451015499468</v>
      </c>
      <c r="X47" s="217">
        <f t="shared" si="22"/>
        <v>3.3486886624934598E-2</v>
      </c>
      <c r="Y47" s="217">
        <f t="shared" si="23"/>
        <v>0.16653557271627642</v>
      </c>
      <c r="Z47" s="217">
        <f t="shared" si="24"/>
        <v>0.10386215640097379</v>
      </c>
      <c r="AA47" s="218">
        <f t="shared" si="25"/>
        <v>0.13849133552907436</v>
      </c>
      <c r="AC47" s="216">
        <f t="shared" si="34"/>
        <v>-2.8930256893110268E-2</v>
      </c>
      <c r="AD47" s="217">
        <f t="shared" si="35"/>
        <v>-0.11678124997357597</v>
      </c>
      <c r="AE47" s="217">
        <f t="shared" si="36"/>
        <v>1.3284930968234188E-2</v>
      </c>
      <c r="AF47" s="217">
        <f t="shared" si="37"/>
        <v>6.1923396552811982E-2</v>
      </c>
      <c r="AG47" s="217">
        <f t="shared" si="38"/>
        <v>4.4202839543262928E-2</v>
      </c>
      <c r="AH47" s="218">
        <f t="shared" si="39"/>
        <v>2.4822931553498462E-2</v>
      </c>
      <c r="AI47" s="11"/>
      <c r="AJ47" s="214">
        <f t="shared" si="40"/>
        <v>2.4822931553498462E-2</v>
      </c>
      <c r="AK47" s="215">
        <f t="shared" si="41"/>
        <v>0</v>
      </c>
    </row>
    <row r="48" spans="1:37" x14ac:dyDescent="0.25">
      <c r="A48" s="210" t="s">
        <v>82</v>
      </c>
      <c r="B48" s="202">
        <f>VLOOKUP($A48,Costdrivere!$A$1:$G$128,2,FALSE)</f>
        <v>218359.25002808185</v>
      </c>
      <c r="C48" s="203">
        <f>VLOOKUP($A48,Costdrivere!$A$1:$G$128,3,FALSE)</f>
        <v>551147.58299999998</v>
      </c>
      <c r="D48" s="203">
        <f>VLOOKUP($A48,Costdrivere!$A$1:$G$128,4,FALSE)</f>
        <v>425436</v>
      </c>
      <c r="E48" s="203">
        <f>VLOOKUP($A48,Costdrivere!$A$1:$G$128,5,FALSE)</f>
        <v>283290</v>
      </c>
      <c r="F48" s="203">
        <f>VLOOKUP($A48,Costdrivere!$A$1:$G$128,6,FALSE)</f>
        <v>346425.80000000005</v>
      </c>
      <c r="G48" s="203">
        <f>VLOOKUP($A48,Costdrivere!$A$1:$G$128,7,FALSE)</f>
        <v>375548.60000000003</v>
      </c>
      <c r="H48" s="25">
        <v>26.360375173170016</v>
      </c>
      <c r="I48" s="15">
        <f>VLOOKUP(A48,Costdrivere!$A$1:$H$128,8,FALSE)</f>
        <v>3.5814285714285715E-2</v>
      </c>
      <c r="J48" s="32">
        <f t="shared" si="44"/>
        <v>2200207.2330280817</v>
      </c>
      <c r="K48" s="33">
        <f t="shared" si="45"/>
        <v>2309088.3451753124</v>
      </c>
      <c r="L48" s="33">
        <f t="shared" si="46"/>
        <v>2631598.9735069629</v>
      </c>
      <c r="M48" s="32">
        <f>J48+'Potentialer og krav'!F47</f>
        <v>2200207.2330280817</v>
      </c>
      <c r="N48" s="33">
        <f t="shared" si="42"/>
        <v>2309088.3451753124</v>
      </c>
      <c r="O48" s="43">
        <f t="shared" si="43"/>
        <v>2631598.9735069629</v>
      </c>
      <c r="P48" s="33">
        <f>M48+(0.25*'Potentialer og krav'!$C47)</f>
        <v>2661529.2330280817</v>
      </c>
      <c r="Q48" s="33">
        <f>N48+(0.25*'Potentialer og krav'!$C47)</f>
        <v>2770410.3451753124</v>
      </c>
      <c r="R48" s="33">
        <f>O48+(0.25*'Potentialer og krav'!$C47)</f>
        <v>3092920.9735069629</v>
      </c>
      <c r="S48" s="24">
        <v>1967567</v>
      </c>
      <c r="T48" s="24">
        <f t="shared" si="47"/>
        <v>2028561.5769999998</v>
      </c>
      <c r="V48" s="216">
        <f t="shared" si="20"/>
        <v>9.9244856007295421E-2</v>
      </c>
      <c r="W48" s="217">
        <f t="shared" si="21"/>
        <v>0.25049803251554242</v>
      </c>
      <c r="X48" s="217">
        <f t="shared" si="22"/>
        <v>0.19336178593253905</v>
      </c>
      <c r="Y48" s="217">
        <f t="shared" si="23"/>
        <v>0.12875605340598584</v>
      </c>
      <c r="Z48" s="217">
        <f t="shared" si="24"/>
        <v>0.15745144130047434</v>
      </c>
      <c r="AA48" s="218">
        <f t="shared" si="25"/>
        <v>0.17068783083816305</v>
      </c>
      <c r="AC48" s="216">
        <f t="shared" si="34"/>
        <v>1.8044425673340539E-2</v>
      </c>
      <c r="AD48" s="217">
        <f t="shared" si="35"/>
        <v>4.4125227665876288E-2</v>
      </c>
      <c r="AE48" s="217">
        <f t="shared" si="36"/>
        <v>-0.14658996833937027</v>
      </c>
      <c r="AF48" s="217">
        <f t="shared" si="37"/>
        <v>9.9702915863102565E-2</v>
      </c>
      <c r="AG48" s="217">
        <f t="shared" si="38"/>
        <v>-9.386445356237616E-3</v>
      </c>
      <c r="AH48" s="218">
        <f t="shared" si="39"/>
        <v>-7.3735637555902289E-3</v>
      </c>
      <c r="AI48" s="11"/>
      <c r="AJ48" s="214">
        <f t="shared" si="40"/>
        <v>-7.3735637555902289E-3</v>
      </c>
      <c r="AK48" s="215">
        <f t="shared" si="41"/>
        <v>0</v>
      </c>
    </row>
    <row r="49" spans="1:37" s="6" customFormat="1" x14ac:dyDescent="0.25">
      <c r="A49" s="210" t="s">
        <v>96</v>
      </c>
      <c r="B49" s="206">
        <f>VLOOKUP($A49,Costdrivere!$A$1:$G$128,2,FALSE)</f>
        <v>228886.64927661911</v>
      </c>
      <c r="C49" s="207">
        <f>VLOOKUP($A49,Costdrivere!$A$1:$G$128,3,FALSE)</f>
        <v>637566.73</v>
      </c>
      <c r="D49" s="207">
        <f>VLOOKUP($A49,Costdrivere!$A$1:$G$128,4,FALSE)</f>
        <v>70906</v>
      </c>
      <c r="E49" s="207">
        <f>VLOOKUP($A49,Costdrivere!$A$1:$G$128,5,FALSE)</f>
        <v>2468893.5</v>
      </c>
      <c r="F49" s="207">
        <f>VLOOKUP($A49,Costdrivere!$A$1:$G$128,6,FALSE)</f>
        <v>995672.79999999993</v>
      </c>
      <c r="G49" s="207">
        <f>VLOOKUP($A49,Costdrivere!$A$1:$G$128,7,FALSE)</f>
        <v>414646.4</v>
      </c>
      <c r="H49" s="25">
        <v>15.791035005553521</v>
      </c>
      <c r="I49" s="46">
        <f>VLOOKUP(A49,Costdrivere!$A$1:$H$128,8,FALSE)</f>
        <v>4.1007407407407409E-2</v>
      </c>
      <c r="J49" s="32">
        <f t="shared" ref="J49" si="48">SUM(B49:G49)</f>
        <v>4816572.0792766195</v>
      </c>
      <c r="K49" s="33">
        <f t="shared" ref="K49" si="49">(0.575+0.018*H49)*J49</f>
        <v>4138584.795175374</v>
      </c>
      <c r="L49" s="33">
        <f t="shared" ref="L49" si="50">(0.711+13.544*I49)*J49</f>
        <v>6099727.7173299426</v>
      </c>
      <c r="M49" s="32">
        <f>J49+'Potentialer og krav'!F48</f>
        <v>4816572.0792766195</v>
      </c>
      <c r="N49" s="33">
        <f t="shared" ref="N49" si="51">(0.575+0.018*H49)*M49</f>
        <v>4138584.795175374</v>
      </c>
      <c r="O49" s="43">
        <f t="shared" ref="O49" si="52">(0.711+13.544*I49)*M49</f>
        <v>6099727.7173299426</v>
      </c>
      <c r="P49" s="33">
        <f>M49+(0.25*'Potentialer og krav'!$C48)</f>
        <v>5750404.9741589874</v>
      </c>
      <c r="Q49" s="33">
        <f>N49+(0.25*'Potentialer og krav'!$C48)</f>
        <v>5072417.6900577415</v>
      </c>
      <c r="R49" s="33">
        <f>O49+(0.25*'Potentialer og krav'!$C48)</f>
        <v>7033560.6122123105</v>
      </c>
      <c r="S49" s="24">
        <v>1284893</v>
      </c>
      <c r="T49" s="24">
        <f t="shared" si="47"/>
        <v>1324724.683</v>
      </c>
      <c r="V49" s="216">
        <f t="shared" si="20"/>
        <v>4.7520652760789706E-2</v>
      </c>
      <c r="W49" s="217">
        <f t="shared" si="21"/>
        <v>0.13236939456239871</v>
      </c>
      <c r="X49" s="217">
        <f t="shared" si="22"/>
        <v>1.4721257947135106E-2</v>
      </c>
      <c r="Y49" s="217">
        <f t="shared" si="23"/>
        <v>0.51258311084400765</v>
      </c>
      <c r="Z49" s="217">
        <f t="shared" si="24"/>
        <v>0.20671813555617666</v>
      </c>
      <c r="AA49" s="218">
        <f t="shared" si="25"/>
        <v>8.6087448329492042E-2</v>
      </c>
      <c r="AC49" s="242">
        <f t="shared" si="34"/>
        <v>6.9768628919846254E-2</v>
      </c>
      <c r="AD49" s="243">
        <f t="shared" si="35"/>
        <v>0.16225386561902</v>
      </c>
      <c r="AE49" s="243">
        <f t="shared" si="36"/>
        <v>3.2050559646033677E-2</v>
      </c>
      <c r="AF49" s="243">
        <f t="shared" si="37"/>
        <v>-0.28412414157491928</v>
      </c>
      <c r="AG49" s="243">
        <f t="shared" si="38"/>
        <v>-5.8653139611939936E-2</v>
      </c>
      <c r="AH49" s="244">
        <f t="shared" si="39"/>
        <v>7.7226818753080781E-2</v>
      </c>
      <c r="AI49" s="11"/>
      <c r="AJ49" s="214"/>
      <c r="AK49" s="215"/>
    </row>
    <row r="50" spans="1:37" x14ac:dyDescent="0.25">
      <c r="A50" s="210" t="s">
        <v>98</v>
      </c>
      <c r="B50" s="202">
        <f>VLOOKUP($A50,Costdrivere!$A$1:$G$128,2,FALSE)</f>
        <v>2109008.6445043194</v>
      </c>
      <c r="C50" s="203">
        <f>VLOOKUP($A50,Costdrivere!$A$1:$G$128,3,FALSE)</f>
        <v>6292671.0250000004</v>
      </c>
      <c r="D50" s="203">
        <f>VLOOKUP($A50,Costdrivere!$A$1:$G$128,4,FALSE)</f>
        <v>340093</v>
      </c>
      <c r="E50" s="203">
        <f>VLOOKUP($A50,Costdrivere!$A$1:$G$128,5,FALSE)</f>
        <v>4654982</v>
      </c>
      <c r="F50" s="203">
        <f>VLOOKUP($A50,Costdrivere!$A$1:$G$128,6,FALSE)</f>
        <v>2925541.4000000004</v>
      </c>
      <c r="G50" s="203">
        <f>VLOOKUP($A50,Costdrivere!$A$1:$G$128,7,FALSE)</f>
        <v>2929039.4000000004</v>
      </c>
      <c r="H50" s="25">
        <v>29.653255076053924</v>
      </c>
      <c r="I50" s="15">
        <f>VLOOKUP(A50,Costdrivere!$A$1:$H$128,8,FALSE)</f>
        <v>2.1994375703037122E-2</v>
      </c>
      <c r="J50" s="32">
        <f t="shared" si="44"/>
        <v>19251335.469504319</v>
      </c>
      <c r="K50" s="33">
        <f t="shared" si="45"/>
        <v>21345083.597139109</v>
      </c>
      <c r="L50" s="33">
        <f t="shared" si="46"/>
        <v>19422514.966312051</v>
      </c>
      <c r="M50" s="32">
        <f>J50+'Potentialer og krav'!F49</f>
        <v>19251335.469504319</v>
      </c>
      <c r="N50" s="33">
        <f t="shared" si="42"/>
        <v>21345083.597139109</v>
      </c>
      <c r="O50" s="43">
        <f t="shared" si="43"/>
        <v>19422514.966312051</v>
      </c>
      <c r="P50" s="33">
        <f>M50+(0.25*'Potentialer og krav'!$C49)</f>
        <v>23411422.219504319</v>
      </c>
      <c r="Q50" s="33">
        <f>N50+(0.25*'Potentialer og krav'!$C49)</f>
        <v>25505170.347139109</v>
      </c>
      <c r="R50" s="33">
        <f>O50+(0.25*'Potentialer og krav'!$C49)</f>
        <v>23582601.716312051</v>
      </c>
      <c r="S50" s="24">
        <v>14813339</v>
      </c>
      <c r="T50" s="24">
        <f t="shared" si="47"/>
        <v>15272552.509</v>
      </c>
      <c r="V50" s="216">
        <f t="shared" si="20"/>
        <v>0.10955129049852987</v>
      </c>
      <c r="W50" s="217">
        <f t="shared" si="21"/>
        <v>0.32686932472648988</v>
      </c>
      <c r="X50" s="217">
        <f t="shared" si="22"/>
        <v>1.7665943255663223E-2</v>
      </c>
      <c r="Y50" s="217">
        <f t="shared" si="23"/>
        <v>0.24180047183603809</v>
      </c>
      <c r="Z50" s="217">
        <f t="shared" si="24"/>
        <v>0.15196563400156296</v>
      </c>
      <c r="AA50" s="218">
        <f t="shared" si="25"/>
        <v>0.15214733568171607</v>
      </c>
      <c r="AC50" s="216">
        <f t="shared" si="34"/>
        <v>7.7379911821060937E-3</v>
      </c>
      <c r="AD50" s="217">
        <f t="shared" si="35"/>
        <v>-3.2246064545071174E-2</v>
      </c>
      <c r="AE50" s="217">
        <f t="shared" si="36"/>
        <v>2.9105874337505562E-2</v>
      </c>
      <c r="AF50" s="217">
        <f t="shared" si="37"/>
        <v>-1.3341502566949687E-2</v>
      </c>
      <c r="AG50" s="217">
        <f t="shared" si="38"/>
        <v>-3.9006380573262389E-3</v>
      </c>
      <c r="AH50" s="218">
        <f t="shared" si="39"/>
        <v>1.1166931400856756E-2</v>
      </c>
      <c r="AI50" s="11"/>
      <c r="AJ50" s="214">
        <f t="shared" ref="AJ50:AJ64" si="53">$AA$131-AA50</f>
        <v>1.1166931400856756E-2</v>
      </c>
      <c r="AK50" s="215">
        <f t="shared" ref="AK50:AK64" si="54">IF(AJ50&lt;$AA$134,(AJ50-$AA$134)*0.7658,0)</f>
        <v>0</v>
      </c>
    </row>
    <row r="51" spans="1:37" x14ac:dyDescent="0.25">
      <c r="A51" s="210" t="s">
        <v>167</v>
      </c>
      <c r="B51" s="202">
        <f>VLOOKUP($A51,Costdrivere!$A$1:$G$128,2,FALSE)</f>
        <v>268574.32697427209</v>
      </c>
      <c r="C51" s="203">
        <f>VLOOKUP($A51,Costdrivere!$A$1:$G$128,3,FALSE)</f>
        <v>685184.65700000001</v>
      </c>
      <c r="D51" s="203">
        <f>VLOOKUP($A51,Costdrivere!$A$1:$G$128,4,FALSE)</f>
        <v>525720</v>
      </c>
      <c r="E51" s="203">
        <f>VLOOKUP($A51,Costdrivere!$A$1:$G$128,5,FALSE)</f>
        <v>350874.9</v>
      </c>
      <c r="F51" s="203">
        <f>VLOOKUP($A51,Costdrivere!$A$1:$G$128,6,FALSE)</f>
        <v>407264.2</v>
      </c>
      <c r="G51" s="203">
        <f>VLOOKUP($A51,Costdrivere!$A$1:$G$128,7,FALSE)</f>
        <v>1203043.8</v>
      </c>
      <c r="H51" s="25">
        <v>36.138793014764396</v>
      </c>
      <c r="I51" s="15">
        <f>VLOOKUP(A51,Costdrivere!$A$1:$H$128,8,FALSE)</f>
        <v>9.2629757785467129E-2</v>
      </c>
      <c r="J51" s="32">
        <f t="shared" si="44"/>
        <v>3440661.8839742728</v>
      </c>
      <c r="K51" s="33">
        <f t="shared" si="45"/>
        <v>4216525.2011424461</v>
      </c>
      <c r="L51" s="33">
        <f t="shared" si="46"/>
        <v>6762887.3759028642</v>
      </c>
      <c r="M51" s="32">
        <f>J51+'Potentialer og krav'!F50</f>
        <v>3524116.8839742728</v>
      </c>
      <c r="N51" s="33">
        <f t="shared" si="42"/>
        <v>4318799.1596212955</v>
      </c>
      <c r="O51" s="43">
        <f t="shared" si="43"/>
        <v>6926924.641111861</v>
      </c>
      <c r="P51" s="33">
        <f>M51+(0.25*'Potentialer og krav'!$C50)</f>
        <v>6179049.8839742728</v>
      </c>
      <c r="Q51" s="33">
        <f>N51+(0.25*'Potentialer og krav'!$C50)</f>
        <v>6973732.1596212955</v>
      </c>
      <c r="R51" s="33">
        <f>O51+(0.25*'Potentialer og krav'!$C50)</f>
        <v>9581857.6411118619</v>
      </c>
      <c r="S51" s="24">
        <v>9026706</v>
      </c>
      <c r="T51" s="24">
        <f t="shared" si="47"/>
        <v>9306533.8859999999</v>
      </c>
      <c r="V51" s="216">
        <f t="shared" si="20"/>
        <v>7.8058913090304785E-2</v>
      </c>
      <c r="W51" s="217">
        <f t="shared" si="21"/>
        <v>0.19914326955270314</v>
      </c>
      <c r="X51" s="217">
        <f t="shared" si="22"/>
        <v>0.15279618216735272</v>
      </c>
      <c r="Y51" s="217">
        <f t="shared" si="23"/>
        <v>0.10197889587299641</v>
      </c>
      <c r="Z51" s="217">
        <f t="shared" si="24"/>
        <v>0.11836798085186254</v>
      </c>
      <c r="AA51" s="218">
        <f t="shared" si="25"/>
        <v>0.34965475846478022</v>
      </c>
      <c r="AC51" s="216">
        <f t="shared" si="34"/>
        <v>3.9230368590331174E-2</v>
      </c>
      <c r="AD51" s="217">
        <f t="shared" si="35"/>
        <v>9.5479990628715566E-2</v>
      </c>
      <c r="AE51" s="217">
        <f t="shared" si="36"/>
        <v>-0.10602436457418393</v>
      </c>
      <c r="AF51" s="217">
        <f t="shared" si="37"/>
        <v>0.12648007339609199</v>
      </c>
      <c r="AG51" s="217">
        <f t="shared" si="38"/>
        <v>2.9697015092374185E-2</v>
      </c>
      <c r="AH51" s="218">
        <f t="shared" si="39"/>
        <v>-0.1863404913822074</v>
      </c>
      <c r="AI51" s="11"/>
      <c r="AJ51" s="214">
        <f t="shared" si="53"/>
        <v>-0.1863404913822074</v>
      </c>
      <c r="AK51" s="215">
        <f t="shared" si="54"/>
        <v>-9.8584499414376164E-2</v>
      </c>
    </row>
    <row r="52" spans="1:37" x14ac:dyDescent="0.25">
      <c r="A52" s="210" t="s">
        <v>168</v>
      </c>
      <c r="B52" s="202">
        <f>VLOOKUP($A52,Costdrivere!$A$1:$G$128,2,FALSE)</f>
        <v>0</v>
      </c>
      <c r="C52" s="203">
        <f>VLOOKUP($A52,Costdrivere!$A$1:$G$128,3,FALSE)</f>
        <v>0</v>
      </c>
      <c r="D52" s="203">
        <f>VLOOKUP($A52,Costdrivere!$A$1:$G$128,4,FALSE)</f>
        <v>380093</v>
      </c>
      <c r="E52" s="203">
        <f>VLOOKUP($A52,Costdrivere!$A$1:$G$128,5,FALSE)</f>
        <v>2177235</v>
      </c>
      <c r="F52" s="203">
        <f>VLOOKUP($A52,Costdrivere!$A$1:$G$128,6,FALSE)</f>
        <v>855549.8</v>
      </c>
      <c r="G52" s="203">
        <f>VLOOKUP($A52,Costdrivere!$A$1:$G$128,7,FALSE)</f>
        <v>792591.8</v>
      </c>
      <c r="H52" s="25">
        <v>39.678596925153364</v>
      </c>
      <c r="I52" s="15">
        <f>VLOOKUP(A52,Costdrivere!$A$1:$H$128,8,FALSE)</f>
        <v>4.5612068965517241E-2</v>
      </c>
      <c r="J52" s="32">
        <f t="shared" si="44"/>
        <v>4205469.5999999996</v>
      </c>
      <c r="K52" s="33">
        <f t="shared" si="45"/>
        <v>5421753.4165089456</v>
      </c>
      <c r="L52" s="33">
        <f t="shared" si="46"/>
        <v>5588101.2603272265</v>
      </c>
      <c r="M52" s="32">
        <f>J52+'Potentialer og krav'!F51</f>
        <v>5125327.5999999996</v>
      </c>
      <c r="N52" s="33">
        <f t="shared" si="42"/>
        <v>6607647.9130957453</v>
      </c>
      <c r="O52" s="43">
        <f t="shared" si="43"/>
        <v>6810380.8481102614</v>
      </c>
      <c r="P52" s="33">
        <f>M52+(0.25*'Potentialer og krav'!$C51)</f>
        <v>7361120.5999999996</v>
      </c>
      <c r="Q52" s="33">
        <f>N52+(0.25*'Potentialer og krav'!$C51)</f>
        <v>8843440.9130957462</v>
      </c>
      <c r="R52" s="33">
        <f>O52+(0.25*'Potentialer og krav'!$C51)</f>
        <v>9046173.8481102623</v>
      </c>
      <c r="S52" s="24">
        <v>8916781</v>
      </c>
      <c r="T52" s="24">
        <f t="shared" si="47"/>
        <v>9193201.2109999992</v>
      </c>
      <c r="V52" s="216">
        <f t="shared" si="20"/>
        <v>0</v>
      </c>
      <c r="W52" s="217">
        <f t="shared" si="21"/>
        <v>0</v>
      </c>
      <c r="X52" s="217">
        <f t="shared" si="22"/>
        <v>9.0380631927526003E-2</v>
      </c>
      <c r="Y52" s="217">
        <f t="shared" si="23"/>
        <v>0.51771507277094575</v>
      </c>
      <c r="Z52" s="217">
        <f t="shared" si="24"/>
        <v>0.20343739971393449</v>
      </c>
      <c r="AA52" s="218">
        <f t="shared" si="25"/>
        <v>0.18846689558759386</v>
      </c>
      <c r="AC52" s="216">
        <f t="shared" si="34"/>
        <v>0.11728928168063596</v>
      </c>
      <c r="AD52" s="217">
        <f t="shared" si="35"/>
        <v>0.29462326018141871</v>
      </c>
      <c r="AE52" s="217">
        <f t="shared" si="36"/>
        <v>-4.3608814334357218E-2</v>
      </c>
      <c r="AF52" s="217">
        <f t="shared" si="37"/>
        <v>-0.28925610350185738</v>
      </c>
      <c r="AG52" s="217">
        <f t="shared" si="38"/>
        <v>-5.5372403769697764E-2</v>
      </c>
      <c r="AH52" s="218">
        <f t="shared" si="39"/>
        <v>-2.5152628505021035E-2</v>
      </c>
      <c r="AI52" s="11"/>
      <c r="AJ52" s="214">
        <f t="shared" si="53"/>
        <v>-2.5152628505021035E-2</v>
      </c>
      <c r="AK52" s="215">
        <f t="shared" si="54"/>
        <v>0</v>
      </c>
    </row>
    <row r="53" spans="1:37" x14ac:dyDescent="0.25">
      <c r="A53" s="210" t="s">
        <v>172</v>
      </c>
      <c r="B53" s="202">
        <f>VLOOKUP($A53,Costdrivere!$A$1:$G$128,2,FALSE)</f>
        <v>0</v>
      </c>
      <c r="C53" s="203">
        <f>VLOOKUP($A53,Costdrivere!$A$1:$G$128,3,FALSE)</f>
        <v>0</v>
      </c>
      <c r="D53" s="203">
        <f>VLOOKUP($A53,Costdrivere!$A$1:$G$128,4,FALSE)</f>
        <v>0</v>
      </c>
      <c r="E53" s="203">
        <f>VLOOKUP($A53,Costdrivere!$A$1:$G$128,5,FALSE)</f>
        <v>402824.6</v>
      </c>
      <c r="F53" s="203">
        <f>VLOOKUP($A53,Costdrivere!$A$1:$G$128,6,FALSE)</f>
        <v>323204</v>
      </c>
      <c r="G53" s="203">
        <f>VLOOKUP($A53,Costdrivere!$A$1:$G$128,7,FALSE)</f>
        <v>358321.60000000003</v>
      </c>
      <c r="H53" s="25">
        <v>32.276101872278353</v>
      </c>
      <c r="I53" s="15">
        <f>VLOOKUP(A53,Costdrivere!$A$1:$H$128,8,FALSE)</f>
        <v>4.8519269776876262E-2</v>
      </c>
      <c r="J53" s="32">
        <f t="shared" si="44"/>
        <v>1084350.2</v>
      </c>
      <c r="K53" s="33">
        <f t="shared" si="45"/>
        <v>1253476.1203676572</v>
      </c>
      <c r="L53" s="33">
        <f t="shared" si="46"/>
        <v>1483548.2933815334</v>
      </c>
      <c r="M53" s="32">
        <f>J53+'Potentialer og krav'!F52</f>
        <v>1098856.2</v>
      </c>
      <c r="N53" s="33">
        <f t="shared" si="42"/>
        <v>1270244.618775324</v>
      </c>
      <c r="O53" s="43">
        <f t="shared" si="43"/>
        <v>1503394.6046044135</v>
      </c>
      <c r="P53" s="33">
        <f>M53+(0.25*'Potentialer og krav'!$C52)</f>
        <v>2004890.95</v>
      </c>
      <c r="Q53" s="33">
        <f>N53+(0.25*'Potentialer og krav'!$C52)</f>
        <v>2176279.368775324</v>
      </c>
      <c r="R53" s="33">
        <f>O53+(0.25*'Potentialer og krav'!$C52)</f>
        <v>2409429.3546044137</v>
      </c>
      <c r="S53" s="24">
        <v>2058896</v>
      </c>
      <c r="T53" s="24">
        <f t="shared" si="47"/>
        <v>2122721.7759999996</v>
      </c>
      <c r="V53" s="216">
        <f t="shared" ref="V53:V89" si="55">B53/(SUM($B53:$G53))</f>
        <v>0</v>
      </c>
      <c r="W53" s="217">
        <f t="shared" ref="W53:W89" si="56">C53/(SUM($B53:$G53))</f>
        <v>0</v>
      </c>
      <c r="X53" s="217">
        <f t="shared" ref="X53:X89" si="57">D53/(SUM($B53:$G53))</f>
        <v>0</v>
      </c>
      <c r="Y53" s="217">
        <f t="shared" ref="Y53:Y89" si="58">E53/(SUM($B53:$G53))</f>
        <v>0.37148939521567848</v>
      </c>
      <c r="Z53" s="217">
        <f t="shared" ref="Z53:Z89" si="59">F53/(SUM($B53:$G53))</f>
        <v>0.29806237874074265</v>
      </c>
      <c r="AA53" s="218">
        <f t="shared" ref="AA53:AA89" si="60">G53/(SUM($B53:$G53))</f>
        <v>0.33044822604357893</v>
      </c>
      <c r="AC53" s="216">
        <f t="shared" si="34"/>
        <v>0.11728928168063596</v>
      </c>
      <c r="AD53" s="217">
        <f t="shared" si="35"/>
        <v>0.29462326018141871</v>
      </c>
      <c r="AE53" s="217">
        <f t="shared" si="36"/>
        <v>4.6771817593168785E-2</v>
      </c>
      <c r="AF53" s="217">
        <f t="shared" si="37"/>
        <v>-0.14303042594659007</v>
      </c>
      <c r="AG53" s="217">
        <f t="shared" si="38"/>
        <v>-0.14999738279650593</v>
      </c>
      <c r="AH53" s="218">
        <f t="shared" si="39"/>
        <v>-0.16713395896100611</v>
      </c>
      <c r="AI53" s="11"/>
      <c r="AJ53" s="214">
        <f t="shared" si="53"/>
        <v>-0.16713395896100611</v>
      </c>
      <c r="AK53" s="215">
        <f t="shared" si="54"/>
        <v>-8.3876136886220212E-2</v>
      </c>
    </row>
    <row r="54" spans="1:37" x14ac:dyDescent="0.25">
      <c r="A54" s="210" t="s">
        <v>83</v>
      </c>
      <c r="B54" s="202">
        <f>VLOOKUP($A54,Costdrivere!$A$1:$G$128,2,FALSE)</f>
        <v>1345020.4784485663</v>
      </c>
      <c r="C54" s="203">
        <f>VLOOKUP($A54,Costdrivere!$A$1:$G$128,3,FALSE)</f>
        <v>3875622.8459999999</v>
      </c>
      <c r="D54" s="203">
        <f>VLOOKUP($A54,Costdrivere!$A$1:$G$128,4,FALSE)</f>
        <v>35453</v>
      </c>
      <c r="E54" s="203">
        <f>VLOOKUP($A54,Costdrivere!$A$1:$G$128,5,FALSE)</f>
        <v>2004580</v>
      </c>
      <c r="F54" s="203">
        <f>VLOOKUP($A54,Costdrivere!$A$1:$G$128,6,FALSE)</f>
        <v>1083496.8</v>
      </c>
      <c r="G54" s="203">
        <f>VLOOKUP($A54,Costdrivere!$A$1:$G$128,7,FALSE)</f>
        <v>1129042.6000000001</v>
      </c>
      <c r="H54" s="25">
        <v>29.190292449765231</v>
      </c>
      <c r="I54" s="15">
        <f>VLOOKUP(A54,Costdrivere!$A$1:$H$128,8,FALSE)</f>
        <v>3.5219626168224299E-2</v>
      </c>
      <c r="J54" s="32">
        <f t="shared" si="44"/>
        <v>9473215.7244485654</v>
      </c>
      <c r="K54" s="33">
        <f t="shared" si="45"/>
        <v>10424565.915412553</v>
      </c>
      <c r="L54" s="33">
        <f t="shared" si="46"/>
        <v>11254318.74895698</v>
      </c>
      <c r="M54" s="32">
        <f>J54+'Potentialer og krav'!F53</f>
        <v>9473215.7244485654</v>
      </c>
      <c r="N54" s="33">
        <f t="shared" si="42"/>
        <v>10424565.915412553</v>
      </c>
      <c r="O54" s="43">
        <f t="shared" si="43"/>
        <v>11254318.74895698</v>
      </c>
      <c r="P54" s="33">
        <f>M54+(0.25*'Potentialer og krav'!$C53)</f>
        <v>12025168.724448565</v>
      </c>
      <c r="Q54" s="33">
        <f>N54+(0.25*'Potentialer og krav'!$C53)</f>
        <v>12976518.915412553</v>
      </c>
      <c r="R54" s="33">
        <f>O54+(0.25*'Potentialer og krav'!$C53)</f>
        <v>13806271.74895698</v>
      </c>
      <c r="S54" s="24">
        <v>9975635</v>
      </c>
      <c r="T54" s="24">
        <f t="shared" si="47"/>
        <v>10284879.684999999</v>
      </c>
      <c r="V54" s="216">
        <f t="shared" si="55"/>
        <v>0.14198140500245598</v>
      </c>
      <c r="W54" s="217">
        <f t="shared" si="56"/>
        <v>0.40911375384366638</v>
      </c>
      <c r="X54" s="217">
        <f t="shared" si="57"/>
        <v>3.7424461799706048E-3</v>
      </c>
      <c r="Y54" s="217">
        <f t="shared" si="58"/>
        <v>0.21160501970060291</v>
      </c>
      <c r="Z54" s="217">
        <f t="shared" si="59"/>
        <v>0.1143747626483055</v>
      </c>
      <c r="AA54" s="218">
        <f t="shared" si="60"/>
        <v>0.11918261262499873</v>
      </c>
      <c r="AC54" s="216">
        <f t="shared" si="34"/>
        <v>-2.4692123321820025E-2</v>
      </c>
      <c r="AD54" s="217">
        <f t="shared" si="35"/>
        <v>-0.11449049366224767</v>
      </c>
      <c r="AE54" s="217">
        <f t="shared" si="36"/>
        <v>4.3029371413198181E-2</v>
      </c>
      <c r="AF54" s="217">
        <f t="shared" si="37"/>
        <v>1.6853949568485488E-2</v>
      </c>
      <c r="AG54" s="217">
        <f t="shared" si="38"/>
        <v>3.3690233295931224E-2</v>
      </c>
      <c r="AH54" s="218">
        <f t="shared" si="39"/>
        <v>4.4131654457574096E-2</v>
      </c>
      <c r="AI54" s="11"/>
      <c r="AJ54" s="214">
        <f t="shared" si="53"/>
        <v>4.4131654457574096E-2</v>
      </c>
      <c r="AK54" s="215">
        <f t="shared" si="54"/>
        <v>0</v>
      </c>
    </row>
    <row r="55" spans="1:37" x14ac:dyDescent="0.25">
      <c r="A55" s="210" t="s">
        <v>84</v>
      </c>
      <c r="B55" s="202">
        <f>VLOOKUP($A55,Costdrivere!$A$1:$G$128,2,FALSE)</f>
        <v>146871.15325037367</v>
      </c>
      <c r="C55" s="203">
        <f>VLOOKUP($A55,Costdrivere!$A$1:$G$128,3,FALSE)</f>
        <v>327916.44799999997</v>
      </c>
      <c r="D55" s="203">
        <f>VLOOKUP($A55,Costdrivere!$A$1:$G$128,4,FALSE)</f>
        <v>0</v>
      </c>
      <c r="E55" s="203">
        <f>VLOOKUP($A55,Costdrivere!$A$1:$G$128,5,FALSE)</f>
        <v>129504</v>
      </c>
      <c r="F55" s="203">
        <f>VLOOKUP($A55,Costdrivere!$A$1:$G$128,6,FALSE)</f>
        <v>317636.2</v>
      </c>
      <c r="G55" s="203">
        <f>VLOOKUP($A55,Costdrivere!$A$1:$G$128,7,FALSE)</f>
        <v>356224.4</v>
      </c>
      <c r="H55" s="25">
        <v>25.305153198123197</v>
      </c>
      <c r="I55" s="15">
        <f>VLOOKUP(A55,Costdrivere!$A$1:$H$128,8,FALSE)</f>
        <v>7.4312500000000004E-2</v>
      </c>
      <c r="J55" s="32">
        <f t="shared" si="44"/>
        <v>1278152.2012503739</v>
      </c>
      <c r="K55" s="33">
        <f t="shared" si="45"/>
        <v>1317126.5864558287</v>
      </c>
      <c r="L55" s="33">
        <f t="shared" si="46"/>
        <v>2195211.7068972029</v>
      </c>
      <c r="M55" s="32">
        <f>J55+'Potentialer og krav'!F54</f>
        <v>1278152.2012503739</v>
      </c>
      <c r="N55" s="33">
        <f t="shared" si="42"/>
        <v>1317126.5864558287</v>
      </c>
      <c r="O55" s="43">
        <f t="shared" si="43"/>
        <v>2195211.7068972029</v>
      </c>
      <c r="P55" s="33">
        <f>M55+(0.25*'Potentialer og krav'!$C54)</f>
        <v>1825512.4512503739</v>
      </c>
      <c r="Q55" s="33">
        <f>N55+(0.25*'Potentialer og krav'!$C54)</f>
        <v>1864486.8364558287</v>
      </c>
      <c r="R55" s="33">
        <f>O55+(0.25*'Potentialer og krav'!$C54)</f>
        <v>2742571.9568972029</v>
      </c>
      <c r="S55" s="24">
        <v>3066809</v>
      </c>
      <c r="T55" s="24">
        <f t="shared" si="47"/>
        <v>3161880.0789999999</v>
      </c>
      <c r="V55" s="216">
        <f t="shared" si="55"/>
        <v>0.11490897023585649</v>
      </c>
      <c r="W55" s="217">
        <f t="shared" si="56"/>
        <v>0.25655508606816169</v>
      </c>
      <c r="X55" s="217">
        <f t="shared" si="57"/>
        <v>0</v>
      </c>
      <c r="Y55" s="217">
        <f t="shared" si="58"/>
        <v>0.10132126664829942</v>
      </c>
      <c r="Z55" s="217">
        <f t="shared" si="59"/>
        <v>0.24851203142260136</v>
      </c>
      <c r="AA55" s="218">
        <f t="shared" si="60"/>
        <v>0.2787026456250809</v>
      </c>
      <c r="AC55" s="216">
        <f t="shared" si="34"/>
        <v>2.3803114447794732E-3</v>
      </c>
      <c r="AD55" s="217">
        <f t="shared" si="35"/>
        <v>3.8068174113257025E-2</v>
      </c>
      <c r="AE55" s="217">
        <f t="shared" si="36"/>
        <v>4.6771817593168785E-2</v>
      </c>
      <c r="AF55" s="217">
        <f t="shared" si="37"/>
        <v>0.12713770262078899</v>
      </c>
      <c r="AG55" s="217">
        <f t="shared" si="38"/>
        <v>-0.10044703547836464</v>
      </c>
      <c r="AH55" s="218">
        <f t="shared" si="39"/>
        <v>-0.11538837854250808</v>
      </c>
      <c r="AI55" s="11"/>
      <c r="AJ55" s="214">
        <f t="shared" si="53"/>
        <v>-0.11538837854250808</v>
      </c>
      <c r="AK55" s="215">
        <f t="shared" si="54"/>
        <v>-4.4249371401734419E-2</v>
      </c>
    </row>
    <row r="56" spans="1:37" x14ac:dyDescent="0.25">
      <c r="A56" s="210" t="s">
        <v>85</v>
      </c>
      <c r="B56" s="202">
        <f>VLOOKUP($A56,Costdrivere!$A$1:$G$128,2,FALSE)</f>
        <v>143968.98225848732</v>
      </c>
      <c r="C56" s="203">
        <f>VLOOKUP($A56,Costdrivere!$A$1:$G$128,3,FALSE)</f>
        <v>346925.65299999999</v>
      </c>
      <c r="D56" s="203">
        <f>VLOOKUP($A56,Costdrivere!$A$1:$G$128,4,FALSE)</f>
        <v>70906</v>
      </c>
      <c r="E56" s="203">
        <f>VLOOKUP($A56,Costdrivere!$A$1:$G$128,5,FALSE)</f>
        <v>194256</v>
      </c>
      <c r="F56" s="203">
        <f>VLOOKUP($A56,Costdrivere!$A$1:$G$128,6,FALSE)</f>
        <v>256118.80000000002</v>
      </c>
      <c r="G56" s="203">
        <f>VLOOKUP($A56,Costdrivere!$A$1:$G$128,7,FALSE)</f>
        <v>282522.80000000005</v>
      </c>
      <c r="H56" s="25">
        <v>35.168293165467162</v>
      </c>
      <c r="I56" s="15">
        <f>VLOOKUP(A56,Costdrivere!$A$1:$H$128,8,FALSE)</f>
        <v>3.9291666666666669E-2</v>
      </c>
      <c r="J56" s="32">
        <f t="shared" si="44"/>
        <v>1294698.2352584875</v>
      </c>
      <c r="K56" s="33">
        <f t="shared" si="45"/>
        <v>1564033.3730445327</v>
      </c>
      <c r="L56" s="33">
        <f t="shared" si="46"/>
        <v>1609525.2578994313</v>
      </c>
      <c r="M56" s="32">
        <f>J56+'Potentialer og krav'!F55</f>
        <v>1294698.2352584875</v>
      </c>
      <c r="N56" s="33">
        <f t="shared" si="42"/>
        <v>1564033.3730445327</v>
      </c>
      <c r="O56" s="43">
        <f t="shared" si="43"/>
        <v>1609525.2578994313</v>
      </c>
      <c r="P56" s="33">
        <f>M56+(0.25*'Potentialer og krav'!$C55)</f>
        <v>1595354.9852584875</v>
      </c>
      <c r="Q56" s="33">
        <f>N56+(0.25*'Potentialer og krav'!$C55)</f>
        <v>1864690.1230445327</v>
      </c>
      <c r="R56" s="33">
        <f>O56+(0.25*'Potentialer og krav'!$C55)</f>
        <v>1910182.0078994313</v>
      </c>
      <c r="S56" s="24">
        <v>965332</v>
      </c>
      <c r="T56" s="24">
        <f t="shared" si="47"/>
        <v>995257.2919999999</v>
      </c>
      <c r="V56" s="216">
        <f t="shared" si="55"/>
        <v>0.1111988711637842</v>
      </c>
      <c r="W56" s="217">
        <f t="shared" si="56"/>
        <v>0.26795869767346675</v>
      </c>
      <c r="X56" s="217">
        <f t="shared" si="57"/>
        <v>5.4766429789597698E-2</v>
      </c>
      <c r="Y56" s="217">
        <f t="shared" si="58"/>
        <v>0.15003959587634461</v>
      </c>
      <c r="Z56" s="217">
        <f t="shared" si="59"/>
        <v>0.19782123202544236</v>
      </c>
      <c r="AA56" s="218">
        <f t="shared" si="60"/>
        <v>0.21821517347136427</v>
      </c>
      <c r="AC56" s="216">
        <f t="shared" si="34"/>
        <v>6.0904105168517603E-3</v>
      </c>
      <c r="AD56" s="217">
        <f t="shared" si="35"/>
        <v>2.6664562507951961E-2</v>
      </c>
      <c r="AE56" s="217">
        <f t="shared" si="36"/>
        <v>-7.994612196428913E-3</v>
      </c>
      <c r="AF56" s="217">
        <f t="shared" si="37"/>
        <v>7.8419373392743796E-2</v>
      </c>
      <c r="AG56" s="217">
        <f t="shared" si="38"/>
        <v>-4.9756236081205635E-2</v>
      </c>
      <c r="AH56" s="218">
        <f t="shared" si="39"/>
        <v>-5.4900906388791443E-2</v>
      </c>
      <c r="AI56" s="11"/>
      <c r="AJ56" s="214">
        <f t="shared" si="53"/>
        <v>-5.4900906388791443E-2</v>
      </c>
      <c r="AK56" s="215">
        <f t="shared" si="54"/>
        <v>0</v>
      </c>
    </row>
    <row r="57" spans="1:37" x14ac:dyDescent="0.25">
      <c r="A57" s="210" t="s">
        <v>86</v>
      </c>
      <c r="B57" s="202">
        <f>VLOOKUP($A57,Costdrivere!$A$1:$G$128,2,FALSE)</f>
        <v>567034.08662276878</v>
      </c>
      <c r="C57" s="203">
        <f>VLOOKUP($A57,Costdrivere!$A$1:$G$128,3,FALSE)</f>
        <v>1513858.568</v>
      </c>
      <c r="D57" s="203">
        <f>VLOOKUP($A57,Costdrivere!$A$1:$G$128,4,FALSE)</f>
        <v>1047857</v>
      </c>
      <c r="E57" s="203">
        <f>VLOOKUP($A57,Costdrivere!$A$1:$G$128,5,FALSE)</f>
        <v>3033833</v>
      </c>
      <c r="F57" s="203">
        <f>VLOOKUP($A57,Costdrivere!$A$1:$G$128,6,FALSE)</f>
        <v>1196932.6000000001</v>
      </c>
      <c r="G57" s="203">
        <f>VLOOKUP($A57,Costdrivere!$A$1:$G$128,7,FALSE)</f>
        <v>1222218.2000000002</v>
      </c>
      <c r="H57" s="25">
        <v>32.205294201401365</v>
      </c>
      <c r="I57" s="15">
        <f>VLOOKUP(A57,Costdrivere!$A$1:$H$128,8,FALSE)</f>
        <v>4.3631016042780746E-2</v>
      </c>
      <c r="J57" s="32">
        <f t="shared" si="44"/>
        <v>8581733.4546227679</v>
      </c>
      <c r="K57" s="33">
        <f t="shared" si="45"/>
        <v>9909287.248362517</v>
      </c>
      <c r="L57" s="33">
        <f t="shared" si="46"/>
        <v>11172889.020690704</v>
      </c>
      <c r="M57" s="32">
        <f>J57+'Potentialer og krav'!F56</f>
        <v>8581733.4546227679</v>
      </c>
      <c r="N57" s="33">
        <f t="shared" si="42"/>
        <v>9909287.248362517</v>
      </c>
      <c r="O57" s="43">
        <f t="shared" si="43"/>
        <v>11172889.020690704</v>
      </c>
      <c r="P57" s="33">
        <f>M57+(0.25*'Potentialer og krav'!$C56)</f>
        <v>11227606.204622768</v>
      </c>
      <c r="Q57" s="33">
        <f>N57+(0.25*'Potentialer og krav'!$C56)</f>
        <v>12555159.998362517</v>
      </c>
      <c r="R57" s="33">
        <f>O57+(0.25*'Potentialer og krav'!$C56)</f>
        <v>13818761.770690704</v>
      </c>
      <c r="S57" s="24">
        <v>7884307</v>
      </c>
      <c r="T57" s="24">
        <f t="shared" si="47"/>
        <v>8128720.5169999991</v>
      </c>
      <c r="V57" s="216">
        <f t="shared" si="55"/>
        <v>6.6074539557893344E-2</v>
      </c>
      <c r="W57" s="217">
        <f t="shared" si="56"/>
        <v>0.17640475272329995</v>
      </c>
      <c r="X57" s="217">
        <f t="shared" si="57"/>
        <v>0.12210318644137629</v>
      </c>
      <c r="Y57" s="217">
        <f t="shared" si="58"/>
        <v>0.35352216612667564</v>
      </c>
      <c r="Z57" s="217">
        <f t="shared" si="59"/>
        <v>0.13947445540332437</v>
      </c>
      <c r="AA57" s="218">
        <f t="shared" si="60"/>
        <v>0.14242089974743055</v>
      </c>
      <c r="AC57" s="216">
        <f t="shared" si="34"/>
        <v>5.1214742122742615E-2</v>
      </c>
      <c r="AD57" s="217">
        <f t="shared" si="35"/>
        <v>0.11821850745811877</v>
      </c>
      <c r="AE57" s="217">
        <f t="shared" si="36"/>
        <v>-7.53313688482075E-2</v>
      </c>
      <c r="AF57" s="217">
        <f t="shared" si="37"/>
        <v>-0.12506319685758724</v>
      </c>
      <c r="AG57" s="217">
        <f t="shared" si="38"/>
        <v>8.5905405409123503E-3</v>
      </c>
      <c r="AH57" s="218">
        <f t="shared" si="39"/>
        <v>2.0893367335142271E-2</v>
      </c>
      <c r="AI57" s="11"/>
      <c r="AJ57" s="214">
        <f t="shared" si="53"/>
        <v>2.0893367335142271E-2</v>
      </c>
      <c r="AK57" s="215">
        <f t="shared" si="54"/>
        <v>0</v>
      </c>
    </row>
    <row r="58" spans="1:37" x14ac:dyDescent="0.25">
      <c r="A58" s="210" t="s">
        <v>87</v>
      </c>
      <c r="B58" s="202">
        <f>VLOOKUP($A58,Costdrivere!$A$1:$G$128,2,FALSE)</f>
        <v>226959.15528939228</v>
      </c>
      <c r="C58" s="203">
        <f>VLOOKUP($A58,Costdrivere!$A$1:$G$128,3,FALSE)</f>
        <v>574468.33699999994</v>
      </c>
      <c r="D58" s="203">
        <f>VLOOKUP($A58,Costdrivere!$A$1:$G$128,4,FALSE)</f>
        <v>283624</v>
      </c>
      <c r="E58" s="203">
        <f>VLOOKUP($A58,Costdrivere!$A$1:$G$128,5,FALSE)</f>
        <v>530157</v>
      </c>
      <c r="F58" s="203">
        <f>VLOOKUP($A58,Costdrivere!$A$1:$G$128,6,FALSE)</f>
        <v>288575</v>
      </c>
      <c r="G58" s="203">
        <f>VLOOKUP($A58,Costdrivere!$A$1:$G$128,7,FALSE)</f>
        <v>319523.40000000002</v>
      </c>
      <c r="H58" s="25">
        <v>29.845604786115452</v>
      </c>
      <c r="I58" s="15">
        <f>VLOOKUP(A58,Costdrivere!$A$1:$H$128,8,FALSE)</f>
        <v>1.6282442748091604E-2</v>
      </c>
      <c r="J58" s="32">
        <f t="shared" si="44"/>
        <v>2223306.8922893922</v>
      </c>
      <c r="K58" s="33">
        <f t="shared" si="45"/>
        <v>2472808.3619256839</v>
      </c>
      <c r="L58" s="33">
        <f t="shared" si="46"/>
        <v>2071075.7455732871</v>
      </c>
      <c r="M58" s="32">
        <f>J58+'Potentialer og krav'!F57</f>
        <v>2223306.8922893922</v>
      </c>
      <c r="N58" s="33">
        <f t="shared" si="42"/>
        <v>2472808.3619256839</v>
      </c>
      <c r="O58" s="43">
        <f t="shared" si="43"/>
        <v>2071075.7455732871</v>
      </c>
      <c r="P58" s="33">
        <f>M58+(0.25*'Potentialer og krav'!$C57)</f>
        <v>2680473.1422893922</v>
      </c>
      <c r="Q58" s="33">
        <f>N58+(0.25*'Potentialer og krav'!$C57)</f>
        <v>2929974.6119256839</v>
      </c>
      <c r="R58" s="33">
        <f>O58+(0.25*'Potentialer og krav'!$C57)</f>
        <v>2528241.9955732869</v>
      </c>
      <c r="S58" s="24">
        <v>1335755</v>
      </c>
      <c r="T58" s="24">
        <f t="shared" si="47"/>
        <v>1377163.4049999998</v>
      </c>
      <c r="V58" s="216">
        <f t="shared" si="55"/>
        <v>0.10208179360056183</v>
      </c>
      <c r="W58" s="217">
        <f t="shared" si="56"/>
        <v>0.25838463371489673</v>
      </c>
      <c r="X58" s="217">
        <f t="shared" si="57"/>
        <v>0.12756853360353937</v>
      </c>
      <c r="Y58" s="217">
        <f t="shared" si="58"/>
        <v>0.23845426011075091</v>
      </c>
      <c r="Z58" s="217">
        <f t="shared" si="59"/>
        <v>0.12979539666826986</v>
      </c>
      <c r="AA58" s="218">
        <f t="shared" si="60"/>
        <v>0.14371538230198133</v>
      </c>
      <c r="AC58" s="216">
        <f t="shared" si="34"/>
        <v>1.5207488080074133E-2</v>
      </c>
      <c r="AD58" s="217">
        <f t="shared" si="35"/>
        <v>3.6238626466521984E-2</v>
      </c>
      <c r="AE58" s="217">
        <f t="shared" si="36"/>
        <v>-8.0796716010370584E-2</v>
      </c>
      <c r="AF58" s="217">
        <f t="shared" si="37"/>
        <v>-9.9952908416625075E-3</v>
      </c>
      <c r="AG58" s="217">
        <f t="shared" si="38"/>
        <v>1.8269599275966858E-2</v>
      </c>
      <c r="AH58" s="218">
        <f t="shared" si="39"/>
        <v>1.9598884780591491E-2</v>
      </c>
      <c r="AI58" s="11"/>
      <c r="AJ58" s="214">
        <f t="shared" si="53"/>
        <v>1.9598884780591491E-2</v>
      </c>
      <c r="AK58" s="215">
        <f t="shared" si="54"/>
        <v>0</v>
      </c>
    </row>
    <row r="59" spans="1:37" x14ac:dyDescent="0.25">
      <c r="A59" s="210" t="s">
        <v>169</v>
      </c>
      <c r="B59" s="202">
        <f>VLOOKUP($A59,Costdrivere!$A$1:$G$128,2,FALSE)</f>
        <v>156879.95327270828</v>
      </c>
      <c r="C59" s="203">
        <f>VLOOKUP($A59,Costdrivere!$A$1:$G$128,3,FALSE)</f>
        <v>345425.56300000002</v>
      </c>
      <c r="D59" s="203">
        <f>VLOOKUP($A59,Costdrivere!$A$1:$G$128,4,FALSE)</f>
        <v>35453</v>
      </c>
      <c r="E59" s="203">
        <f>VLOOKUP($A59,Costdrivere!$A$1:$G$128,5,FALSE)</f>
        <v>338329.19999999995</v>
      </c>
      <c r="F59" s="203">
        <f>VLOOKUP($A59,Costdrivere!$A$1:$G$128,6,FALSE)</f>
        <v>92072.400000000009</v>
      </c>
      <c r="G59" s="203">
        <f>VLOOKUP($A59,Costdrivere!$A$1:$G$128,7,FALSE)</f>
        <v>101564.40000000001</v>
      </c>
      <c r="H59" s="25">
        <v>42.66829796908808</v>
      </c>
      <c r="I59" s="15">
        <f>VLOOKUP(A59,Costdrivere!$A$1:$H$128,8,FALSE)</f>
        <v>8.1100478468899527E-3</v>
      </c>
      <c r="J59" s="32">
        <f t="shared" si="44"/>
        <v>1069724.5162727083</v>
      </c>
      <c r="K59" s="33">
        <f t="shared" si="45"/>
        <v>1436671.4361497329</v>
      </c>
      <c r="L59" s="33">
        <f t="shared" si="46"/>
        <v>878075.33345283277</v>
      </c>
      <c r="M59" s="32">
        <f>J59+'Potentialer og krav'!F58</f>
        <v>1069724.5162727083</v>
      </c>
      <c r="N59" s="33">
        <f t="shared" si="42"/>
        <v>1436671.4361497329</v>
      </c>
      <c r="O59" s="43">
        <f t="shared" si="43"/>
        <v>878075.33345283277</v>
      </c>
      <c r="P59" s="33">
        <f>M59+(0.25*'Potentialer og krav'!$C58)</f>
        <v>1282145.5162727083</v>
      </c>
      <c r="Q59" s="33">
        <f>N59+(0.25*'Potentialer og krav'!$C58)</f>
        <v>1649092.4361497329</v>
      </c>
      <c r="R59" s="33">
        <f>O59+(0.25*'Potentialer og krav'!$C58)</f>
        <v>1090496.3334528329</v>
      </c>
      <c r="S59" s="24">
        <v>851919</v>
      </c>
      <c r="T59" s="24">
        <f t="shared" si="47"/>
        <v>878328.48899999994</v>
      </c>
      <c r="V59" s="216">
        <f t="shared" si="55"/>
        <v>0.14665453664587638</v>
      </c>
      <c r="W59" s="217">
        <f t="shared" si="56"/>
        <v>0.32291076603870184</v>
      </c>
      <c r="X59" s="217">
        <f t="shared" si="57"/>
        <v>3.3142177692188045E-2</v>
      </c>
      <c r="Y59" s="217">
        <f t="shared" si="58"/>
        <v>0.31627694313191623</v>
      </c>
      <c r="Z59" s="217">
        <f t="shared" si="59"/>
        <v>8.6071131959106845E-2</v>
      </c>
      <c r="AA59" s="218">
        <f t="shared" si="60"/>
        <v>9.494444453221064E-2</v>
      </c>
      <c r="AC59" s="216">
        <f t="shared" si="34"/>
        <v>-2.9365254965240423E-2</v>
      </c>
      <c r="AD59" s="217">
        <f t="shared" si="35"/>
        <v>-2.8287505857283124E-2</v>
      </c>
      <c r="AE59" s="217">
        <f t="shared" si="36"/>
        <v>1.362963990098074E-2</v>
      </c>
      <c r="AF59" s="217">
        <f t="shared" si="37"/>
        <v>-8.7817973862827831E-2</v>
      </c>
      <c r="AG59" s="217">
        <f t="shared" si="38"/>
        <v>6.1993863985129877E-2</v>
      </c>
      <c r="AH59" s="218">
        <f t="shared" si="39"/>
        <v>6.8369822550362183E-2</v>
      </c>
      <c r="AI59" s="11"/>
      <c r="AJ59" s="214">
        <f t="shared" si="53"/>
        <v>6.8369822550362183E-2</v>
      </c>
      <c r="AK59" s="215">
        <f t="shared" si="54"/>
        <v>0</v>
      </c>
    </row>
    <row r="60" spans="1:37" x14ac:dyDescent="0.25">
      <c r="A60" s="210" t="s">
        <v>88</v>
      </c>
      <c r="B60" s="202">
        <f>VLOOKUP($A60,Costdrivere!$A$1:$G$128,2,FALSE)</f>
        <v>174128.33287076172</v>
      </c>
      <c r="C60" s="203">
        <f>VLOOKUP($A60,Costdrivere!$A$1:$G$128,3,FALSE)</f>
        <v>432319.48599999998</v>
      </c>
      <c r="D60" s="203">
        <f>VLOOKUP($A60,Costdrivere!$A$1:$G$128,4,FALSE)</f>
        <v>0</v>
      </c>
      <c r="E60" s="203">
        <f>VLOOKUP($A60,Costdrivere!$A$1:$G$128,5,FALSE)</f>
        <v>372324</v>
      </c>
      <c r="F60" s="203">
        <f>VLOOKUP($A60,Costdrivere!$A$1:$G$128,6,FALSE)</f>
        <v>291019.40000000002</v>
      </c>
      <c r="G60" s="203">
        <f>VLOOKUP($A60,Costdrivere!$A$1:$G$128,7,FALSE)</f>
        <v>310086</v>
      </c>
      <c r="H60" s="25">
        <v>33.270808179510752</v>
      </c>
      <c r="I60" s="15">
        <f>VLOOKUP(A60,Costdrivere!$A$1:$H$128,8,FALSE)</f>
        <v>2.2499999999999999E-2</v>
      </c>
      <c r="J60" s="32">
        <f t="shared" si="44"/>
        <v>1579877.2188707618</v>
      </c>
      <c r="K60" s="33">
        <f t="shared" si="45"/>
        <v>1854577.6549827924</v>
      </c>
      <c r="L60" s="33">
        <f t="shared" si="46"/>
        <v>1604744.4862957876</v>
      </c>
      <c r="M60" s="32">
        <f>J60+'Potentialer og krav'!F59</f>
        <v>1579877.2188707618</v>
      </c>
      <c r="N60" s="33">
        <f t="shared" si="42"/>
        <v>1854577.6549827924</v>
      </c>
      <c r="O60" s="43">
        <f t="shared" si="43"/>
        <v>1604744.4862957876</v>
      </c>
      <c r="P60" s="33">
        <f>M60+(0.25*'Potentialer og krav'!$C59)</f>
        <v>1982100.2188707618</v>
      </c>
      <c r="Q60" s="33">
        <f>N60+(0.25*'Potentialer og krav'!$C59)</f>
        <v>2256800.6549827922</v>
      </c>
      <c r="R60" s="33">
        <f>O60+(0.25*'Potentialer og krav'!$C59)</f>
        <v>2006967.4862957876</v>
      </c>
      <c r="S60" s="24">
        <v>1437260</v>
      </c>
      <c r="T60" s="24">
        <f t="shared" si="47"/>
        <v>1481815.0599999998</v>
      </c>
      <c r="V60" s="216">
        <f t="shared" si="55"/>
        <v>0.11021637048176583</v>
      </c>
      <c r="W60" s="217">
        <f t="shared" si="56"/>
        <v>0.27364119238899215</v>
      </c>
      <c r="X60" s="217">
        <f t="shared" si="57"/>
        <v>0</v>
      </c>
      <c r="Y60" s="217">
        <f t="shared" si="58"/>
        <v>0.23566641480286898</v>
      </c>
      <c r="Z60" s="217">
        <f t="shared" si="59"/>
        <v>0.18420380807061071</v>
      </c>
      <c r="AA60" s="218">
        <f t="shared" si="60"/>
        <v>0.19627221425576227</v>
      </c>
      <c r="AC60" s="216">
        <f t="shared" si="34"/>
        <v>7.0729111988701299E-3</v>
      </c>
      <c r="AD60" s="217">
        <f t="shared" si="35"/>
        <v>2.0982067792426562E-2</v>
      </c>
      <c r="AE60" s="217">
        <f t="shared" si="36"/>
        <v>4.6771817593168785E-2</v>
      </c>
      <c r="AF60" s="217">
        <f t="shared" si="37"/>
        <v>-7.2074455337805821E-3</v>
      </c>
      <c r="AG60" s="217">
        <f t="shared" si="38"/>
        <v>-3.6138812126373987E-2</v>
      </c>
      <c r="AH60" s="218">
        <f t="shared" si="39"/>
        <v>-3.295794717318945E-2</v>
      </c>
      <c r="AI60" s="11"/>
      <c r="AJ60" s="214">
        <f t="shared" si="53"/>
        <v>-3.295794717318945E-2</v>
      </c>
      <c r="AK60" s="215">
        <f t="shared" si="54"/>
        <v>0</v>
      </c>
    </row>
    <row r="61" spans="1:37" x14ac:dyDescent="0.25">
      <c r="A61" s="210" t="s">
        <v>89</v>
      </c>
      <c r="B61" s="202">
        <f>VLOOKUP($A61,Costdrivere!$A$1:$G$128,2,FALSE)</f>
        <v>246902.54187154354</v>
      </c>
      <c r="C61" s="203">
        <f>VLOOKUP($A61,Costdrivere!$A$1:$G$128,3,FALSE)</f>
        <v>617346.71600000001</v>
      </c>
      <c r="D61" s="203">
        <f>VLOOKUP($A61,Costdrivere!$A$1:$G$128,4,FALSE)</f>
        <v>283624</v>
      </c>
      <c r="E61" s="203">
        <f>VLOOKUP($A61,Costdrivere!$A$1:$G$128,5,FALSE)</f>
        <v>513969</v>
      </c>
      <c r="F61" s="203">
        <f>VLOOKUP($A61,Costdrivere!$A$1:$G$128,6,FALSE)</f>
        <v>326870.60000000003</v>
      </c>
      <c r="G61" s="203">
        <f>VLOOKUP($A61,Costdrivere!$A$1:$G$128,7,FALSE)</f>
        <v>363265</v>
      </c>
      <c r="H61" s="25">
        <v>32.869603676372577</v>
      </c>
      <c r="I61" s="15">
        <f>VLOOKUP(A61,Costdrivere!$A$1:$H$128,8,FALSE)</f>
        <v>1.9094488188976379E-2</v>
      </c>
      <c r="J61" s="32">
        <f t="shared" si="44"/>
        <v>2351977.8578715436</v>
      </c>
      <c r="K61" s="33">
        <f t="shared" si="45"/>
        <v>2743941.7090652823</v>
      </c>
      <c r="L61" s="33">
        <f t="shared" si="46"/>
        <v>2280514.7700136327</v>
      </c>
      <c r="M61" s="32">
        <f>J61+'Potentialer og krav'!F60</f>
        <v>2351977.8578715436</v>
      </c>
      <c r="N61" s="33">
        <f t="shared" si="42"/>
        <v>2743941.7090652823</v>
      </c>
      <c r="O61" s="43">
        <f t="shared" si="43"/>
        <v>2280514.7700136327</v>
      </c>
      <c r="P61" s="33">
        <f>M61+(0.25*'Potentialer og krav'!$C60)</f>
        <v>2769857.6078715436</v>
      </c>
      <c r="Q61" s="33">
        <f>N61+(0.25*'Potentialer og krav'!$C60)</f>
        <v>3161821.4590652823</v>
      </c>
      <c r="R61" s="33">
        <f>O61+(0.25*'Potentialer og krav'!$C60)</f>
        <v>2698394.5200136327</v>
      </c>
      <c r="S61" s="24">
        <v>1979051</v>
      </c>
      <c r="T61" s="24">
        <f t="shared" si="47"/>
        <v>2040401.5809999998</v>
      </c>
      <c r="V61" s="216">
        <f t="shared" si="55"/>
        <v>0.10497655879081343</v>
      </c>
      <c r="W61" s="217">
        <f t="shared" si="56"/>
        <v>0.26247981626777594</v>
      </c>
      <c r="X61" s="217">
        <f t="shared" si="57"/>
        <v>0.12058957062489935</v>
      </c>
      <c r="Y61" s="217">
        <f t="shared" si="58"/>
        <v>0.2185262919375966</v>
      </c>
      <c r="Z61" s="217">
        <f t="shared" si="59"/>
        <v>0.13897690359032816</v>
      </c>
      <c r="AA61" s="218">
        <f t="shared" si="60"/>
        <v>0.15445085878858653</v>
      </c>
      <c r="AC61" s="216">
        <f t="shared" si="34"/>
        <v>1.2312722889822533E-2</v>
      </c>
      <c r="AD61" s="217">
        <f t="shared" si="35"/>
        <v>3.2143443913642766E-2</v>
      </c>
      <c r="AE61" s="217">
        <f t="shared" si="36"/>
        <v>-7.3817753031730562E-2</v>
      </c>
      <c r="AF61" s="217">
        <f t="shared" si="37"/>
        <v>9.9326773314918071E-3</v>
      </c>
      <c r="AG61" s="217">
        <f t="shared" si="38"/>
        <v>9.0880923539085612E-3</v>
      </c>
      <c r="AH61" s="218">
        <f t="shared" si="39"/>
        <v>8.8634082939862968E-3</v>
      </c>
      <c r="AI61" s="11"/>
      <c r="AJ61" s="214">
        <f t="shared" si="53"/>
        <v>8.8634082939862968E-3</v>
      </c>
      <c r="AK61" s="215">
        <f t="shared" si="54"/>
        <v>0</v>
      </c>
    </row>
    <row r="62" spans="1:37" x14ac:dyDescent="0.25">
      <c r="A62" s="210" t="s">
        <v>90</v>
      </c>
      <c r="B62" s="202">
        <f>VLOOKUP($A62,Costdrivere!$A$1:$G$128,2,FALSE)</f>
        <v>148231.82733545703</v>
      </c>
      <c r="C62" s="203">
        <f>VLOOKUP($A62,Costdrivere!$A$1:$G$128,3,FALSE)</f>
        <v>388593.43100000004</v>
      </c>
      <c r="D62" s="203">
        <f>VLOOKUP($A62,Costdrivere!$A$1:$G$128,4,FALSE)</f>
        <v>0</v>
      </c>
      <c r="E62" s="203">
        <f>VLOOKUP($A62,Costdrivere!$A$1:$G$128,5,FALSE)</f>
        <v>437076</v>
      </c>
      <c r="F62" s="203">
        <f>VLOOKUP($A62,Costdrivere!$A$1:$G$128,6,FALSE)</f>
        <v>202613.6</v>
      </c>
      <c r="G62" s="203">
        <f>VLOOKUP($A62,Costdrivere!$A$1:$G$128,7,FALSE)</f>
        <v>252862.40000000002</v>
      </c>
      <c r="H62" s="25">
        <v>26.733499542652066</v>
      </c>
      <c r="I62" s="15">
        <f>VLOOKUP(A62,Costdrivere!$A$1:$H$128,8,FALSE)</f>
        <v>1.5629629629629629E-2</v>
      </c>
      <c r="J62" s="32">
        <f t="shared" si="44"/>
        <v>1429377.2583354572</v>
      </c>
      <c r="K62" s="33">
        <f t="shared" si="45"/>
        <v>1509712.5366186756</v>
      </c>
      <c r="L62" s="33">
        <f t="shared" si="46"/>
        <v>1318868.8202198385</v>
      </c>
      <c r="M62" s="32">
        <f>J62+'Potentialer og krav'!F61</f>
        <v>1429377.2583354572</v>
      </c>
      <c r="N62" s="33">
        <f t="shared" si="42"/>
        <v>1509712.5366186756</v>
      </c>
      <c r="O62" s="43">
        <f t="shared" si="43"/>
        <v>1318868.8202198385</v>
      </c>
      <c r="P62" s="33">
        <f>M62+(0.25*'Potentialer og krav'!$C61)</f>
        <v>1801803.7583354572</v>
      </c>
      <c r="Q62" s="33">
        <f>N62+(0.25*'Potentialer og krav'!$C61)</f>
        <v>1882139.0366186756</v>
      </c>
      <c r="R62" s="33">
        <f>O62+(0.25*'Potentialer og krav'!$C61)</f>
        <v>1691295.3202198385</v>
      </c>
      <c r="S62" s="24">
        <v>1182478</v>
      </c>
      <c r="T62" s="24">
        <f t="shared" si="47"/>
        <v>1219134.818</v>
      </c>
      <c r="V62" s="216">
        <f t="shared" si="55"/>
        <v>0.10370378181899746</v>
      </c>
      <c r="W62" s="217">
        <f t="shared" si="56"/>
        <v>0.2718620495281463</v>
      </c>
      <c r="X62" s="217">
        <f t="shared" si="57"/>
        <v>0</v>
      </c>
      <c r="Y62" s="217">
        <f t="shared" si="58"/>
        <v>0.30578071495903403</v>
      </c>
      <c r="Z62" s="217">
        <f t="shared" si="59"/>
        <v>0.14174956178885079</v>
      </c>
      <c r="AA62" s="218">
        <f t="shared" si="60"/>
        <v>0.17690389190497136</v>
      </c>
      <c r="AC62" s="216">
        <f t="shared" si="34"/>
        <v>1.3585499861638498E-2</v>
      </c>
      <c r="AD62" s="217">
        <f t="shared" si="35"/>
        <v>2.2761210653272412E-2</v>
      </c>
      <c r="AE62" s="217">
        <f t="shared" si="36"/>
        <v>4.6771817593168785E-2</v>
      </c>
      <c r="AF62" s="217">
        <f t="shared" si="37"/>
        <v>-7.7321745689945626E-2</v>
      </c>
      <c r="AG62" s="217">
        <f t="shared" si="38"/>
        <v>6.315434155385935E-3</v>
      </c>
      <c r="AH62" s="218">
        <f t="shared" si="39"/>
        <v>-1.3589624822398533E-2</v>
      </c>
      <c r="AI62" s="11"/>
      <c r="AJ62" s="214">
        <f t="shared" si="53"/>
        <v>-1.3589624822398533E-2</v>
      </c>
      <c r="AK62" s="215">
        <f t="shared" si="54"/>
        <v>0</v>
      </c>
    </row>
    <row r="63" spans="1:37" x14ac:dyDescent="0.25">
      <c r="A63" s="210" t="s">
        <v>91</v>
      </c>
      <c r="B63" s="202">
        <f>VLOOKUP($A63,Costdrivere!$A$1:$G$128,2,FALSE)</f>
        <v>204129.52943739016</v>
      </c>
      <c r="C63" s="203">
        <f>VLOOKUP($A63,Costdrivere!$A$1:$G$128,3,FALSE)</f>
        <v>508675.68</v>
      </c>
      <c r="D63" s="203">
        <f>VLOOKUP($A63,Costdrivere!$A$1:$G$128,4,FALSE)</f>
        <v>70906</v>
      </c>
      <c r="E63" s="203">
        <f>VLOOKUP($A63,Costdrivere!$A$1:$G$128,5,FALSE)</f>
        <v>157833</v>
      </c>
      <c r="F63" s="203">
        <f>VLOOKUP($A63,Costdrivere!$A$1:$G$128,6,FALSE)</f>
        <v>103208.00000000001</v>
      </c>
      <c r="G63" s="203">
        <f>VLOOKUP($A63,Costdrivere!$A$1:$G$128,7,FALSE)</f>
        <v>115046.40000000001</v>
      </c>
      <c r="H63" s="25">
        <v>31.647380295078129</v>
      </c>
      <c r="I63" s="15">
        <f>VLOOKUP(A63,Costdrivere!$A$1:$H$128,8,FALSE)</f>
        <v>1.9692307692307693E-2</v>
      </c>
      <c r="J63" s="32">
        <f t="shared" si="44"/>
        <v>1159798.60943739</v>
      </c>
      <c r="K63" s="33">
        <f t="shared" si="45"/>
        <v>1327566.7782807208</v>
      </c>
      <c r="L63" s="33">
        <f t="shared" si="46"/>
        <v>1133949.7317524706</v>
      </c>
      <c r="M63" s="32">
        <f>J63+'Potentialer og krav'!F62</f>
        <v>1159798.60943739</v>
      </c>
      <c r="N63" s="33">
        <f t="shared" si="42"/>
        <v>1327566.7782807208</v>
      </c>
      <c r="O63" s="43">
        <f t="shared" si="43"/>
        <v>1133949.7317524706</v>
      </c>
      <c r="P63" s="33">
        <f>M63+(0.25*'Potentialer og krav'!$C62)</f>
        <v>1400749.85943739</v>
      </c>
      <c r="Q63" s="33">
        <f>N63+(0.25*'Potentialer og krav'!$C62)</f>
        <v>1568518.0282807208</v>
      </c>
      <c r="R63" s="33">
        <f>O63+(0.25*'Potentialer og krav'!$C62)</f>
        <v>1374900.9817524706</v>
      </c>
      <c r="S63" s="24">
        <v>995764</v>
      </c>
      <c r="T63" s="24">
        <f t="shared" si="47"/>
        <v>1026632.6839999999</v>
      </c>
      <c r="V63" s="216">
        <f t="shared" si="55"/>
        <v>0.176004288827706</v>
      </c>
      <c r="W63" s="217">
        <f t="shared" si="56"/>
        <v>0.43858966191273063</v>
      </c>
      <c r="X63" s="217">
        <f t="shared" si="57"/>
        <v>6.1136476128727205E-2</v>
      </c>
      <c r="Y63" s="217">
        <f t="shared" si="58"/>
        <v>0.1360865573692692</v>
      </c>
      <c r="Z63" s="217">
        <f t="shared" si="59"/>
        <v>8.8987863203306886E-2</v>
      </c>
      <c r="AA63" s="218">
        <f t="shared" si="60"/>
        <v>9.9195152558260266E-2</v>
      </c>
      <c r="AC63" s="216">
        <f t="shared" si="34"/>
        <v>-5.8715007147070036E-2</v>
      </c>
      <c r="AD63" s="217">
        <f t="shared" si="35"/>
        <v>-0.14396640173131192</v>
      </c>
      <c r="AE63" s="217">
        <f t="shared" si="36"/>
        <v>-1.4364658535558419E-2</v>
      </c>
      <c r="AF63" s="217">
        <f t="shared" si="37"/>
        <v>9.2372411899819207E-2</v>
      </c>
      <c r="AG63" s="217">
        <f t="shared" si="38"/>
        <v>5.9077132740929836E-2</v>
      </c>
      <c r="AH63" s="218">
        <f t="shared" si="39"/>
        <v>6.4119114524312557E-2</v>
      </c>
      <c r="AI63" s="11"/>
      <c r="AJ63" s="214">
        <f t="shared" si="53"/>
        <v>6.4119114524312557E-2</v>
      </c>
      <c r="AK63" s="215">
        <f t="shared" si="54"/>
        <v>0</v>
      </c>
    </row>
    <row r="64" spans="1:37" x14ac:dyDescent="0.25">
      <c r="A64" s="210" t="s">
        <v>92</v>
      </c>
      <c r="B64" s="202">
        <f>VLOOKUP($A64,Costdrivere!$A$1:$G$128,2,FALSE)</f>
        <v>103891.07385173446</v>
      </c>
      <c r="C64" s="203">
        <f>VLOOKUP($A64,Costdrivere!$A$1:$G$128,3,FALSE)</f>
        <v>248413.291</v>
      </c>
      <c r="D64" s="203">
        <f>VLOOKUP($A64,Costdrivere!$A$1:$G$128,4,FALSE)</f>
        <v>177265</v>
      </c>
      <c r="E64" s="203">
        <f>VLOOKUP($A64,Costdrivere!$A$1:$G$128,5,FALSE)</f>
        <v>485640</v>
      </c>
      <c r="F64" s="203">
        <f>VLOOKUP($A64,Costdrivere!$A$1:$G$128,6,FALSE)</f>
        <v>115022.6</v>
      </c>
      <c r="G64" s="203">
        <f>VLOOKUP($A64,Costdrivere!$A$1:$G$128,7,FALSE)</f>
        <v>159836.6</v>
      </c>
      <c r="H64" s="25">
        <v>33.002514003356957</v>
      </c>
      <c r="I64" s="15">
        <f>VLOOKUP(A64,Costdrivere!$A$1:$H$128,8,FALSE)</f>
        <v>8.8916666666666675E-3</v>
      </c>
      <c r="J64" s="32">
        <f t="shared" si="44"/>
        <v>1290068.5648517346</v>
      </c>
      <c r="K64" s="33">
        <f t="shared" si="45"/>
        <v>1508148.5305723269</v>
      </c>
      <c r="L64" s="33">
        <f t="shared" si="46"/>
        <v>1072600.0727878287</v>
      </c>
      <c r="M64" s="32">
        <f>J64+'Potentialer og krav'!F63</f>
        <v>1290068.5648517346</v>
      </c>
      <c r="N64" s="33">
        <f t="shared" si="42"/>
        <v>1508148.5305723269</v>
      </c>
      <c r="O64" s="43">
        <f t="shared" si="43"/>
        <v>1072600.0727878287</v>
      </c>
      <c r="P64" s="33">
        <f>M64+(0.25*'Potentialer og krav'!$C63)</f>
        <v>1517976.0648517346</v>
      </c>
      <c r="Q64" s="33">
        <f>N64+(0.25*'Potentialer og krav'!$C63)</f>
        <v>1736056.0305723269</v>
      </c>
      <c r="R64" s="33">
        <f>O64+(0.25*'Potentialer og krav'!$C63)</f>
        <v>1300507.5727878287</v>
      </c>
      <c r="S64" s="24">
        <v>891143</v>
      </c>
      <c r="T64" s="24">
        <f t="shared" si="47"/>
        <v>918768.43299999996</v>
      </c>
      <c r="V64" s="216">
        <f t="shared" si="55"/>
        <v>8.0531435833935294E-2</v>
      </c>
      <c r="W64" s="217">
        <f t="shared" si="56"/>
        <v>0.19255820796513223</v>
      </c>
      <c r="X64" s="217">
        <f t="shared" si="57"/>
        <v>0.13740742533353084</v>
      </c>
      <c r="Y64" s="217">
        <f t="shared" si="58"/>
        <v>0.37644510782712842</v>
      </c>
      <c r="Z64" s="217">
        <f t="shared" si="59"/>
        <v>8.9160067250549091E-2</v>
      </c>
      <c r="AA64" s="218">
        <f t="shared" si="60"/>
        <v>0.12389775578972406</v>
      </c>
      <c r="AC64" s="216">
        <f t="shared" si="34"/>
        <v>3.6757845846700665E-2</v>
      </c>
      <c r="AD64" s="217">
        <f t="shared" si="35"/>
        <v>0.10206505221628648</v>
      </c>
      <c r="AE64" s="217">
        <f t="shared" si="36"/>
        <v>-9.0635607740362056E-2</v>
      </c>
      <c r="AF64" s="217">
        <f t="shared" si="37"/>
        <v>-0.14798613855804002</v>
      </c>
      <c r="AG64" s="217">
        <f t="shared" si="38"/>
        <v>5.890492869368763E-2</v>
      </c>
      <c r="AH64" s="218">
        <f t="shared" si="39"/>
        <v>3.941651129284876E-2</v>
      </c>
      <c r="AI64" s="11"/>
      <c r="AJ64" s="214">
        <f t="shared" si="53"/>
        <v>3.941651129284876E-2</v>
      </c>
      <c r="AK64" s="215">
        <f t="shared" si="54"/>
        <v>0</v>
      </c>
    </row>
    <row r="65" spans="1:37" s="6" customFormat="1" x14ac:dyDescent="0.25">
      <c r="A65" s="49" t="s">
        <v>174</v>
      </c>
      <c r="B65" s="204"/>
      <c r="C65" s="205"/>
      <c r="D65" s="205"/>
      <c r="E65" s="205"/>
      <c r="F65" s="205"/>
      <c r="G65" s="205"/>
      <c r="H65" s="29"/>
      <c r="I65" s="30"/>
      <c r="J65" s="34">
        <v>342328</v>
      </c>
      <c r="K65" s="342" t="s">
        <v>218</v>
      </c>
      <c r="L65" s="342" t="s">
        <v>218</v>
      </c>
      <c r="M65" s="344" t="s">
        <v>218</v>
      </c>
      <c r="N65" s="342" t="s">
        <v>218</v>
      </c>
      <c r="O65" s="342" t="s">
        <v>218</v>
      </c>
      <c r="P65" s="344" t="s">
        <v>218</v>
      </c>
      <c r="Q65" s="342" t="s">
        <v>218</v>
      </c>
      <c r="R65" s="342" t="s">
        <v>218</v>
      </c>
      <c r="S65" s="343" t="s">
        <v>218</v>
      </c>
      <c r="T65" s="343" t="s">
        <v>218</v>
      </c>
      <c r="U65" s="28"/>
      <c r="V65" s="219"/>
      <c r="W65" s="220"/>
      <c r="X65" s="220"/>
      <c r="Y65" s="220"/>
      <c r="Z65" s="220"/>
      <c r="AA65" s="221"/>
      <c r="AB65" s="28"/>
      <c r="AC65" s="219"/>
      <c r="AD65" s="220"/>
      <c r="AE65" s="220"/>
      <c r="AF65" s="220"/>
      <c r="AG65" s="220"/>
      <c r="AH65" s="221"/>
      <c r="AI65" s="12"/>
      <c r="AJ65" s="237"/>
      <c r="AK65" s="238"/>
    </row>
    <row r="66" spans="1:37" x14ac:dyDescent="0.25">
      <c r="A66" s="210" t="s">
        <v>107</v>
      </c>
      <c r="B66" s="202">
        <f>VLOOKUP($A66,Costdrivere!$A$1:$G$128,2,FALSE)</f>
        <v>0</v>
      </c>
      <c r="C66" s="203">
        <f>VLOOKUP($A66,Costdrivere!$A$1:$G$128,3,FALSE)</f>
        <v>4161902.5319999997</v>
      </c>
      <c r="D66" s="203">
        <f>VLOOKUP($A66,Costdrivere!$A$1:$G$128,4,FALSE)</f>
        <v>0</v>
      </c>
      <c r="E66" s="203">
        <f>VLOOKUP($A66,Costdrivere!$A$1:$G$128,5,FALSE)</f>
        <v>0</v>
      </c>
      <c r="F66" s="203">
        <f>VLOOKUP($A66,Costdrivere!$A$1:$G$128,6,FALSE)</f>
        <v>950.60000000000014</v>
      </c>
      <c r="G66" s="203">
        <f>VLOOKUP($A66,Costdrivere!$A$1:$G$128,7,FALSE)</f>
        <v>1348.2</v>
      </c>
      <c r="H66" s="25">
        <v>12.245865347050398</v>
      </c>
      <c r="I66" s="15">
        <f>VLOOKUP(A66,Costdrivere!$A$1:$H$128,8,FALSE)</f>
        <v>0</v>
      </c>
      <c r="J66" s="32">
        <f t="shared" si="44"/>
        <v>4164201.3319999999</v>
      </c>
      <c r="K66" s="33">
        <f t="shared" si="45"/>
        <v>3312312.2441142383</v>
      </c>
      <c r="L66" s="33">
        <v>0</v>
      </c>
      <c r="M66" s="32">
        <f>J66+'Potentialer og krav'!F65</f>
        <v>6138308.3320000004</v>
      </c>
      <c r="N66" s="33">
        <f t="shared" si="42"/>
        <v>4882567.4421622921</v>
      </c>
      <c r="O66" s="43">
        <f t="shared" si="43"/>
        <v>4364337.2240519999</v>
      </c>
      <c r="P66" s="33">
        <f>M66+(0.25*'Potentialer og krav'!$C65)</f>
        <v>7478263.3320000004</v>
      </c>
      <c r="Q66" s="33">
        <f>N66+(0.25*'Potentialer og krav'!$C65)</f>
        <v>6222522.4421622921</v>
      </c>
      <c r="R66" s="33">
        <f>O66+(0.25*'Potentialer og krav'!$C65)</f>
        <v>5704292.2240519999</v>
      </c>
      <c r="S66" s="24">
        <v>4630645</v>
      </c>
      <c r="T66" s="24">
        <f t="shared" si="47"/>
        <v>4774194.9949999992</v>
      </c>
      <c r="V66" s="216">
        <f t="shared" si="55"/>
        <v>0</v>
      </c>
      <c r="W66" s="217">
        <f t="shared" si="56"/>
        <v>0.99944796136960645</v>
      </c>
      <c r="X66" s="217">
        <f t="shared" si="57"/>
        <v>0</v>
      </c>
      <c r="Y66" s="217">
        <f t="shared" si="58"/>
        <v>0</v>
      </c>
      <c r="Z66" s="217">
        <f t="shared" si="59"/>
        <v>2.2827906823214093E-4</v>
      </c>
      <c r="AA66" s="218">
        <f t="shared" si="60"/>
        <v>3.2375956216134272E-4</v>
      </c>
      <c r="AC66" s="216">
        <f t="shared" ref="AC66:AC80" si="61">V$131-V66</f>
        <v>0.11728928168063596</v>
      </c>
      <c r="AD66" s="217">
        <f t="shared" ref="AD66:AD80" si="62">W$131-W66</f>
        <v>-0.70482470118818774</v>
      </c>
      <c r="AE66" s="217">
        <f t="shared" ref="AE66:AE80" si="63">X$131-X66</f>
        <v>4.6771817593168785E-2</v>
      </c>
      <c r="AF66" s="217">
        <f t="shared" ref="AF66:AF80" si="64">Y$131-Y66</f>
        <v>0.2284589692690884</v>
      </c>
      <c r="AG66" s="217">
        <f t="shared" ref="AG66:AG80" si="65">Z$131-Z66</f>
        <v>0.14783671687600458</v>
      </c>
      <c r="AH66" s="218">
        <f t="shared" ref="AH66:AH80" si="66">AA$131-AA66</f>
        <v>0.16299050752041147</v>
      </c>
      <c r="AI66" s="11"/>
      <c r="AJ66" s="214">
        <f t="shared" ref="AJ66:AJ80" si="67">$AA$131-AA66</f>
        <v>0.16299050752041147</v>
      </c>
      <c r="AK66" s="215">
        <f t="shared" ref="AK66:AK80" si="68">IF(AJ66&lt;$AA$134,(AJ66-$AA$134)*0.7658,0)</f>
        <v>0</v>
      </c>
    </row>
    <row r="67" spans="1:37" s="6" customFormat="1" x14ac:dyDescent="0.25">
      <c r="A67" s="210" t="s">
        <v>93</v>
      </c>
      <c r="B67" s="202">
        <f>VLOOKUP($A67,Costdrivere!$A$1:$G$128,2,FALSE)</f>
        <v>471410.80007640144</v>
      </c>
      <c r="C67" s="203">
        <f>VLOOKUP($A67,Costdrivere!$A$1:$G$128,3,FALSE)</f>
        <v>1258470.665</v>
      </c>
      <c r="D67" s="203">
        <f>VLOOKUP($A67,Costdrivere!$A$1:$G$128,4,FALSE)</f>
        <v>35453</v>
      </c>
      <c r="E67" s="203">
        <f>VLOOKUP($A67,Costdrivere!$A$1:$G$128,5,FALSE)</f>
        <v>523074.75</v>
      </c>
      <c r="F67" s="203">
        <f>VLOOKUP($A67,Costdrivere!$A$1:$G$128,6,FALSE)</f>
        <v>543200</v>
      </c>
      <c r="G67" s="203">
        <f>VLOOKUP($A67,Costdrivere!$A$1:$G$128,7,FALSE)</f>
        <v>599200</v>
      </c>
      <c r="H67" s="25">
        <v>35.366572794339689</v>
      </c>
      <c r="I67" s="15">
        <f>VLOOKUP(A67,Costdrivere!$A$1:$H$128,8,FALSE)</f>
        <v>3.0947775628626693E-2</v>
      </c>
      <c r="J67" s="32">
        <f t="shared" ref="J67" si="69">SUM(B67:G67)</f>
        <v>3430809.2150764014</v>
      </c>
      <c r="K67" s="33">
        <f t="shared" ref="K67" si="70">(0.575+0.018*H67)*J67</f>
        <v>4156762.6479417677</v>
      </c>
      <c r="L67" s="33">
        <f t="shared" ref="L67" si="71">(0.711+13.544*I67)*J67</f>
        <v>3877351.9286000109</v>
      </c>
      <c r="M67" s="32">
        <f>J67+'Potentialer og krav'!F66</f>
        <v>3430809.2150764014</v>
      </c>
      <c r="N67" s="33">
        <f t="shared" ref="N67" si="72">(0.575+0.018*H67)*M67</f>
        <v>4156762.6479417677</v>
      </c>
      <c r="O67" s="43">
        <f t="shared" ref="O67" si="73">(0.711+13.544*I67)*M67</f>
        <v>3877351.9286000109</v>
      </c>
      <c r="P67" s="33">
        <f>M67+(0.25*'Potentialer og krav'!$C66)</f>
        <v>3969116.4650764014</v>
      </c>
      <c r="Q67" s="33">
        <f>N67+(0.25*'Potentialer og krav'!$C66)</f>
        <v>4695069.8979417682</v>
      </c>
      <c r="R67" s="33">
        <f>O67+(0.25*'Potentialer og krav'!$C66)</f>
        <v>4415659.1786000114</v>
      </c>
      <c r="S67" s="24">
        <v>2234229</v>
      </c>
      <c r="T67" s="24">
        <f t="shared" ref="T67" si="74">1.031*S67</f>
        <v>2303490.0989999999</v>
      </c>
      <c r="V67" s="216">
        <f t="shared" si="55"/>
        <v>0.13740513404383622</v>
      </c>
      <c r="W67" s="217">
        <f t="shared" si="56"/>
        <v>0.36681452861609354</v>
      </c>
      <c r="X67" s="217">
        <f t="shared" si="57"/>
        <v>1.0333713645225385E-2</v>
      </c>
      <c r="Y67" s="217">
        <f t="shared" si="58"/>
        <v>0.15246395739564653</v>
      </c>
      <c r="Z67" s="217">
        <f t="shared" si="59"/>
        <v>0.15832999328932471</v>
      </c>
      <c r="AA67" s="218">
        <f t="shared" si="60"/>
        <v>0.17465267300987364</v>
      </c>
      <c r="AC67" s="242">
        <f t="shared" si="61"/>
        <v>-2.0115852363200265E-2</v>
      </c>
      <c r="AD67" s="243">
        <f t="shared" si="62"/>
        <v>-7.2191268434674827E-2</v>
      </c>
      <c r="AE67" s="243">
        <f t="shared" si="63"/>
        <v>3.6438103947943404E-2</v>
      </c>
      <c r="AF67" s="243">
        <f t="shared" si="64"/>
        <v>7.5995011873441876E-2</v>
      </c>
      <c r="AG67" s="243">
        <f t="shared" si="65"/>
        <v>-1.0264997345087984E-2</v>
      </c>
      <c r="AH67" s="244">
        <f t="shared" si="66"/>
        <v>-1.1338405927300815E-2</v>
      </c>
      <c r="AI67" s="11"/>
      <c r="AJ67" s="239">
        <f t="shared" si="67"/>
        <v>-1.1338405927300815E-2</v>
      </c>
      <c r="AK67" s="238">
        <f t="shared" si="68"/>
        <v>0</v>
      </c>
    </row>
    <row r="68" spans="1:37" x14ac:dyDescent="0.25">
      <c r="A68" s="210" t="s">
        <v>112</v>
      </c>
      <c r="B68" s="202">
        <f>VLOOKUP($A68,Costdrivere!$A$1:$G$128,2,FALSE)</f>
        <v>142481.89182140774</v>
      </c>
      <c r="C68" s="203">
        <f>VLOOKUP($A68,Costdrivere!$A$1:$G$128,3,FALSE)</f>
        <v>346961.13900000002</v>
      </c>
      <c r="D68" s="203">
        <f>VLOOKUP($A68,Costdrivere!$A$1:$G$128,4,FALSE)</f>
        <v>212718</v>
      </c>
      <c r="E68" s="203">
        <f>VLOOKUP($A68,Costdrivere!$A$1:$G$128,5,FALSE)</f>
        <v>367062.89999999997</v>
      </c>
      <c r="F68" s="203">
        <f>VLOOKUP($A68,Costdrivere!$A$1:$G$128,6,FALSE)</f>
        <v>184009.00000000003</v>
      </c>
      <c r="G68" s="203">
        <f>VLOOKUP($A68,Costdrivere!$A$1:$G$128,7,FALSE)</f>
        <v>273534.80000000005</v>
      </c>
      <c r="H68" s="25">
        <v>26.880789804635125</v>
      </c>
      <c r="I68" s="15">
        <f>VLOOKUP(A68,Costdrivere!$A$1:$H$128,8,FALSE)</f>
        <v>2.0132304299889749E-2</v>
      </c>
      <c r="J68" s="32">
        <f t="shared" si="44"/>
        <v>1526767.7308214079</v>
      </c>
      <c r="K68" s="33">
        <f t="shared" si="45"/>
        <v>1616624.4493710897</v>
      </c>
      <c r="L68" s="33">
        <f t="shared" si="46"/>
        <v>1501838.5595803235</v>
      </c>
      <c r="M68" s="32">
        <f>J68+'Potentialer og krav'!F67</f>
        <v>1526767.7308214079</v>
      </c>
      <c r="N68" s="33">
        <f t="shared" si="42"/>
        <v>1616624.4493710897</v>
      </c>
      <c r="O68" s="43">
        <f t="shared" si="43"/>
        <v>1501838.5595803235</v>
      </c>
      <c r="P68" s="33">
        <f>M68+(0.25*'Potentialer og krav'!$C67)</f>
        <v>1837793.7308214079</v>
      </c>
      <c r="Q68" s="33">
        <f>N68+(0.25*'Potentialer og krav'!$C67)</f>
        <v>1927650.4493710897</v>
      </c>
      <c r="R68" s="33">
        <f>O68+(0.25*'Potentialer og krav'!$C67)</f>
        <v>1812864.5595803235</v>
      </c>
      <c r="S68" s="24">
        <v>1471190</v>
      </c>
      <c r="T68" s="24">
        <f t="shared" si="47"/>
        <v>1516796.89</v>
      </c>
      <c r="V68" s="216">
        <f t="shared" si="55"/>
        <v>9.332257221912324E-2</v>
      </c>
      <c r="W68" s="217">
        <f t="shared" si="56"/>
        <v>0.22725207770361597</v>
      </c>
      <c r="X68" s="217">
        <f t="shared" si="57"/>
        <v>0.13932571124329224</v>
      </c>
      <c r="Y68" s="217">
        <f t="shared" si="58"/>
        <v>0.2404182984680443</v>
      </c>
      <c r="Z68" s="217">
        <f t="shared" si="59"/>
        <v>0.12052193420475449</v>
      </c>
      <c r="AA68" s="218">
        <f t="shared" si="60"/>
        <v>0.17915940616116971</v>
      </c>
      <c r="AC68" s="242">
        <f t="shared" si="61"/>
        <v>2.396670946151272E-2</v>
      </c>
      <c r="AD68" s="243">
        <f t="shared" si="62"/>
        <v>6.7371182477802743E-2</v>
      </c>
      <c r="AE68" s="243">
        <f t="shared" si="63"/>
        <v>-9.2553893650123453E-2</v>
      </c>
      <c r="AF68" s="243">
        <f t="shared" si="64"/>
        <v>-1.1959329198955898E-2</v>
      </c>
      <c r="AG68" s="243">
        <f t="shared" si="65"/>
        <v>2.7543061739482233E-2</v>
      </c>
      <c r="AH68" s="244">
        <f t="shared" si="66"/>
        <v>-1.5845139078596887E-2</v>
      </c>
      <c r="AI68" s="11"/>
      <c r="AJ68" s="214">
        <f t="shared" si="67"/>
        <v>-1.5845139078596887E-2</v>
      </c>
      <c r="AK68" s="215">
        <f t="shared" si="68"/>
        <v>0</v>
      </c>
    </row>
    <row r="69" spans="1:37" x14ac:dyDescent="0.25">
      <c r="A69" s="210" t="s">
        <v>94</v>
      </c>
      <c r="B69" s="202">
        <f>VLOOKUP($A69,Costdrivere!$A$1:$G$128,2,FALSE)</f>
        <v>1199087.2874185892</v>
      </c>
      <c r="C69" s="203">
        <f>VLOOKUP($A69,Costdrivere!$A$1:$G$128,3,FALSE)</f>
        <v>3150604.74</v>
      </c>
      <c r="D69" s="203">
        <f>VLOOKUP($A69,Costdrivere!$A$1:$G$128,4,FALSE)</f>
        <v>307601</v>
      </c>
      <c r="E69" s="203">
        <f>VLOOKUP($A69,Costdrivere!$A$1:$G$128,5,FALSE)</f>
        <v>2182265</v>
      </c>
      <c r="F69" s="203">
        <f>VLOOKUP($A69,Costdrivere!$A$1:$G$128,6,FALSE)</f>
        <v>1069384.2000000002</v>
      </c>
      <c r="G69" s="203">
        <f>VLOOKUP($A69,Costdrivere!$A$1:$G$128,7,FALSE)</f>
        <v>1180274.2000000002</v>
      </c>
      <c r="H69" s="25">
        <v>25.988737380763229</v>
      </c>
      <c r="I69" s="15">
        <f>VLOOKUP(A69,Costdrivere!$A$1:$H$128,8,FALSE)</f>
        <v>2.8341726618705036E-2</v>
      </c>
      <c r="J69" s="32">
        <f t="shared" si="44"/>
        <v>9089216.4274185896</v>
      </c>
      <c r="K69" s="33">
        <f t="shared" si="45"/>
        <v>9478210.1028895006</v>
      </c>
      <c r="L69" s="33">
        <f t="shared" si="46"/>
        <v>9951422.6364457346</v>
      </c>
      <c r="M69" s="32">
        <f>J69+'Potentialer og krav'!F68</f>
        <v>9089216.4274185896</v>
      </c>
      <c r="N69" s="33">
        <f t="shared" si="42"/>
        <v>9478210.1028895006</v>
      </c>
      <c r="O69" s="43">
        <f t="shared" si="43"/>
        <v>9951422.6364457346</v>
      </c>
      <c r="P69" s="33">
        <f>M69+(0.25*'Potentialer og krav'!$C68)</f>
        <v>12535506.17741859</v>
      </c>
      <c r="Q69" s="33">
        <f>N69+(0.25*'Potentialer og krav'!$C68)</f>
        <v>12924499.852889501</v>
      </c>
      <c r="R69" s="33">
        <f>O69+(0.25*'Potentialer og krav'!$C68)</f>
        <v>13397712.386445735</v>
      </c>
      <c r="S69" s="24">
        <v>10233815</v>
      </c>
      <c r="T69" s="24">
        <f t="shared" si="47"/>
        <v>10551063.264999999</v>
      </c>
      <c r="V69" s="216">
        <f t="shared" si="55"/>
        <v>0.13192416496997636</v>
      </c>
      <c r="W69" s="217">
        <f t="shared" si="56"/>
        <v>0.34663106167170421</v>
      </c>
      <c r="X69" s="217">
        <f t="shared" si="57"/>
        <v>3.3842411219529203E-2</v>
      </c>
      <c r="Y69" s="217">
        <f t="shared" si="58"/>
        <v>0.24009385379106665</v>
      </c>
      <c r="Z69" s="217">
        <f t="shared" si="59"/>
        <v>0.11765416838068558</v>
      </c>
      <c r="AA69" s="218">
        <f t="shared" si="60"/>
        <v>0.12985433996703802</v>
      </c>
      <c r="AC69" s="216">
        <f t="shared" si="61"/>
        <v>-1.46348832893404E-2</v>
      </c>
      <c r="AD69" s="217">
        <f t="shared" si="62"/>
        <v>-5.2007801490285499E-2</v>
      </c>
      <c r="AE69" s="217">
        <f t="shared" si="63"/>
        <v>1.2929406373639582E-2</v>
      </c>
      <c r="AF69" s="217">
        <f t="shared" si="64"/>
        <v>-1.163488452197825E-2</v>
      </c>
      <c r="AG69" s="217">
        <f t="shared" si="65"/>
        <v>3.0410827563551138E-2</v>
      </c>
      <c r="AH69" s="218">
        <f t="shared" si="66"/>
        <v>3.3459927115534804E-2</v>
      </c>
      <c r="AI69" s="11"/>
      <c r="AJ69" s="214">
        <f t="shared" si="67"/>
        <v>3.3459927115534804E-2</v>
      </c>
      <c r="AK69" s="215">
        <f t="shared" si="68"/>
        <v>0</v>
      </c>
    </row>
    <row r="70" spans="1:37" x14ac:dyDescent="0.25">
      <c r="A70" s="210" t="s">
        <v>95</v>
      </c>
      <c r="B70" s="202">
        <f>VLOOKUP($A70,Costdrivere!$A$1:$G$128,2,FALSE)</f>
        <v>538666.17509119015</v>
      </c>
      <c r="C70" s="203">
        <f>VLOOKUP($A70,Costdrivere!$A$1:$G$128,3,FALSE)</f>
        <v>1409886.2009999999</v>
      </c>
      <c r="D70" s="203">
        <f>VLOOKUP($A70,Costdrivere!$A$1:$G$128,4,FALSE)</f>
        <v>183844</v>
      </c>
      <c r="E70" s="203">
        <f>VLOOKUP($A70,Costdrivere!$A$1:$G$128,5,FALSE)</f>
        <v>1363839</v>
      </c>
      <c r="F70" s="203">
        <f>VLOOKUP($A70,Costdrivere!$A$1:$G$128,6,FALSE)</f>
        <v>962686.20000000007</v>
      </c>
      <c r="G70" s="203">
        <f>VLOOKUP($A70,Costdrivere!$A$1:$G$128,7,FALSE)</f>
        <v>1112714.4000000001</v>
      </c>
      <c r="H70" s="25">
        <v>32.746129308994512</v>
      </c>
      <c r="I70" s="15">
        <f>VLOOKUP(A70,Costdrivere!$A$1:$H$128,8,FALSE)</f>
        <v>2.2041543026706231E-2</v>
      </c>
      <c r="J70" s="32">
        <f t="shared" si="44"/>
        <v>5571635.9760911902</v>
      </c>
      <c r="K70" s="33">
        <f t="shared" si="45"/>
        <v>6487781.9046955369</v>
      </c>
      <c r="L70" s="33">
        <f t="shared" si="46"/>
        <v>5624737.3372792043</v>
      </c>
      <c r="M70" s="32">
        <f>J70+'Potentialer og krav'!F69</f>
        <v>5985646.9760911902</v>
      </c>
      <c r="N70" s="33">
        <f t="shared" si="42"/>
        <v>6969868.8690397665</v>
      </c>
      <c r="O70" s="43">
        <f t="shared" si="43"/>
        <v>6042694.1348404866</v>
      </c>
      <c r="P70" s="33">
        <f>M70+(0.25*'Potentialer og krav'!$C69)</f>
        <v>7219141.7260911902</v>
      </c>
      <c r="Q70" s="33">
        <f>N70+(0.25*'Potentialer og krav'!$C69)</f>
        <v>8203363.6190397665</v>
      </c>
      <c r="R70" s="33">
        <f>O70+(0.25*'Potentialer og krav'!$C69)</f>
        <v>7276188.8848404866</v>
      </c>
      <c r="S70" s="24">
        <v>4777275</v>
      </c>
      <c r="T70" s="24">
        <f t="shared" si="47"/>
        <v>4925370.5249999994</v>
      </c>
      <c r="V70" s="216">
        <f t="shared" si="55"/>
        <v>9.6680073393648772E-2</v>
      </c>
      <c r="W70" s="217">
        <f t="shared" si="56"/>
        <v>0.25304707756394251</v>
      </c>
      <c r="X70" s="217">
        <f t="shared" si="57"/>
        <v>3.2996412685413215E-2</v>
      </c>
      <c r="Y70" s="217">
        <f t="shared" si="58"/>
        <v>0.24478250299417592</v>
      </c>
      <c r="Z70" s="217">
        <f t="shared" si="59"/>
        <v>0.17278339865185835</v>
      </c>
      <c r="AA70" s="218">
        <f t="shared" si="60"/>
        <v>0.19971053471096126</v>
      </c>
      <c r="AC70" s="216">
        <f t="shared" si="61"/>
        <v>2.0609208286987188E-2</v>
      </c>
      <c r="AD70" s="217">
        <f t="shared" si="62"/>
        <v>4.1576182617476198E-2</v>
      </c>
      <c r="AE70" s="217">
        <f t="shared" si="63"/>
        <v>1.377540490775557E-2</v>
      </c>
      <c r="AF70" s="217">
        <f t="shared" si="64"/>
        <v>-1.6323533725087519E-2</v>
      </c>
      <c r="AG70" s="217">
        <f t="shared" si="65"/>
        <v>-2.4718402707621628E-2</v>
      </c>
      <c r="AH70" s="218">
        <f t="shared" si="66"/>
        <v>-3.6396267628388435E-2</v>
      </c>
      <c r="AI70" s="11"/>
      <c r="AJ70" s="214">
        <f t="shared" si="67"/>
        <v>-3.6396267628388435E-2</v>
      </c>
      <c r="AK70" s="215">
        <f t="shared" si="68"/>
        <v>0</v>
      </c>
    </row>
    <row r="71" spans="1:37" x14ac:dyDescent="0.25">
      <c r="A71" s="210" t="s">
        <v>97</v>
      </c>
      <c r="B71" s="202">
        <f>VLOOKUP($A71,Costdrivere!$A$1:$G$128,2,FALSE)</f>
        <v>216250.45497020119</v>
      </c>
      <c r="C71" s="203">
        <f>VLOOKUP($A71,Costdrivere!$A$1:$G$128,3,FALSE)</f>
        <v>540600.17599999998</v>
      </c>
      <c r="D71" s="203">
        <f>VLOOKUP($A71,Costdrivere!$A$1:$G$128,4,FALSE)</f>
        <v>0</v>
      </c>
      <c r="E71" s="203">
        <f>VLOOKUP($A71,Costdrivere!$A$1:$G$128,5,FALSE)</f>
        <v>416841</v>
      </c>
      <c r="F71" s="203">
        <f>VLOOKUP($A71,Costdrivere!$A$1:$G$128,6,FALSE)</f>
        <v>324154.60000000003</v>
      </c>
      <c r="G71" s="203">
        <f>VLOOKUP($A71,Costdrivere!$A$1:$G$128,7,FALSE)</f>
        <v>418241.60000000003</v>
      </c>
      <c r="H71" s="25">
        <v>27.918431573055404</v>
      </c>
      <c r="I71" s="15">
        <f>VLOOKUP(A71,Costdrivere!$A$1:$H$128,8,FALSE)</f>
        <v>2.7106796116504853E-2</v>
      </c>
      <c r="J71" s="32">
        <f t="shared" si="44"/>
        <v>1916087.8309702014</v>
      </c>
      <c r="K71" s="33">
        <f t="shared" si="45"/>
        <v>2064645.5087521686</v>
      </c>
      <c r="L71" s="33">
        <f t="shared" si="46"/>
        <v>2065800.2932837727</v>
      </c>
      <c r="M71" s="32">
        <f>J71+'Potentialer og krav'!F70</f>
        <v>1916087.8309702014</v>
      </c>
      <c r="N71" s="33">
        <f t="shared" si="42"/>
        <v>2064645.5087521686</v>
      </c>
      <c r="O71" s="43">
        <f t="shared" si="43"/>
        <v>2065800.2932837727</v>
      </c>
      <c r="P71" s="33">
        <f>M71+(0.25*'Potentialer og krav'!$C70)</f>
        <v>2238981.0809702016</v>
      </c>
      <c r="Q71" s="33">
        <f>N71+(0.25*'Potentialer og krav'!$C70)</f>
        <v>2387538.7587521686</v>
      </c>
      <c r="R71" s="33">
        <f>O71+(0.25*'Potentialer og krav'!$C70)</f>
        <v>2388693.5432837727</v>
      </c>
      <c r="S71" s="24">
        <v>1163089</v>
      </c>
      <c r="T71" s="24">
        <f t="shared" si="47"/>
        <v>1199144.7589999998</v>
      </c>
      <c r="V71" s="216">
        <f t="shared" si="55"/>
        <v>0.11286040831473987</v>
      </c>
      <c r="W71" s="217">
        <f t="shared" si="56"/>
        <v>0.28213747160341279</v>
      </c>
      <c r="X71" s="217">
        <f t="shared" si="57"/>
        <v>0</v>
      </c>
      <c r="Y71" s="217">
        <f t="shared" si="58"/>
        <v>0.21754796062189627</v>
      </c>
      <c r="Z71" s="217">
        <f t="shared" si="59"/>
        <v>0.16917523025855552</v>
      </c>
      <c r="AA71" s="218">
        <f t="shared" si="60"/>
        <v>0.21827892920139549</v>
      </c>
      <c r="AC71" s="216">
        <f t="shared" si="61"/>
        <v>4.428873365896091E-3</v>
      </c>
      <c r="AD71" s="217">
        <f t="shared" si="62"/>
        <v>1.2485788578005919E-2</v>
      </c>
      <c r="AE71" s="217">
        <f t="shared" si="63"/>
        <v>4.6771817593168785E-2</v>
      </c>
      <c r="AF71" s="217">
        <f t="shared" si="64"/>
        <v>1.0911008647192133E-2</v>
      </c>
      <c r="AG71" s="217">
        <f t="shared" si="65"/>
        <v>-2.1110234314318799E-2</v>
      </c>
      <c r="AH71" s="218">
        <f t="shared" si="66"/>
        <v>-5.4964662118822671E-2</v>
      </c>
      <c r="AI71" s="11"/>
      <c r="AJ71" s="214">
        <f t="shared" si="67"/>
        <v>-5.4964662118822671E-2</v>
      </c>
      <c r="AK71" s="215">
        <f t="shared" si="68"/>
        <v>0</v>
      </c>
    </row>
    <row r="72" spans="1:37" x14ac:dyDescent="0.25">
      <c r="A72" s="210" t="s">
        <v>115</v>
      </c>
      <c r="B72" s="202">
        <f>VLOOKUP($A72,Costdrivere!$A$1:$G$128,2,FALSE)</f>
        <v>77504.813919088585</v>
      </c>
      <c r="C72" s="203">
        <f>VLOOKUP($A72,Costdrivere!$A$1:$G$128,3,FALSE)</f>
        <v>379892.69400000002</v>
      </c>
      <c r="D72" s="203">
        <f>VLOOKUP($A72,Costdrivere!$A$1:$G$128,4,FALSE)</f>
        <v>35453</v>
      </c>
      <c r="E72" s="203">
        <f>VLOOKUP($A72,Costdrivere!$A$1:$G$128,5,FALSE)</f>
        <v>311619</v>
      </c>
      <c r="F72" s="203">
        <f>VLOOKUP($A72,Costdrivere!$A$1:$G$128,6,FALSE)</f>
        <v>223255.2</v>
      </c>
      <c r="G72" s="203">
        <f>VLOOKUP($A72,Costdrivere!$A$1:$G$128,7,FALSE)</f>
        <v>254060.80000000002</v>
      </c>
      <c r="H72" s="25">
        <v>33.086699237832022</v>
      </c>
      <c r="I72" s="15">
        <f>VLOOKUP(A72,Costdrivere!$A$1:$H$128,8,FALSE)</f>
        <v>2.2025974025974025E-2</v>
      </c>
      <c r="J72" s="32">
        <f t="shared" si="44"/>
        <v>1281785.5079190887</v>
      </c>
      <c r="K72" s="33">
        <f t="shared" si="45"/>
        <v>1500407.5956362274</v>
      </c>
      <c r="L72" s="33">
        <f t="shared" si="46"/>
        <v>1293731.4825078538</v>
      </c>
      <c r="M72" s="32">
        <f>J72+'Potentialer og krav'!F71</f>
        <v>1281785.5079190887</v>
      </c>
      <c r="N72" s="33">
        <f t="shared" si="42"/>
        <v>1500407.5956362274</v>
      </c>
      <c r="O72" s="43">
        <f t="shared" si="43"/>
        <v>1293731.4825078538</v>
      </c>
      <c r="P72" s="33">
        <f>M72+(0.25*'Potentialer og krav'!$C71)</f>
        <v>1611727.2579190887</v>
      </c>
      <c r="Q72" s="33">
        <f>N72+(0.25*'Potentialer og krav'!$C71)</f>
        <v>1830349.3456362274</v>
      </c>
      <c r="R72" s="33">
        <f>O72+(0.25*'Potentialer og krav'!$C71)</f>
        <v>1623673.2325078538</v>
      </c>
      <c r="S72" s="24">
        <v>954233</v>
      </c>
      <c r="T72" s="24">
        <f t="shared" si="47"/>
        <v>983814.22299999988</v>
      </c>
      <c r="V72" s="216">
        <f t="shared" si="55"/>
        <v>6.0466289749923581E-2</v>
      </c>
      <c r="W72" s="217">
        <f t="shared" si="56"/>
        <v>0.29637774155891011</v>
      </c>
      <c r="X72" s="217">
        <f t="shared" si="57"/>
        <v>2.7659073831749027E-2</v>
      </c>
      <c r="Y72" s="217">
        <f t="shared" si="58"/>
        <v>0.24311321829960228</v>
      </c>
      <c r="Z72" s="217">
        <f t="shared" si="59"/>
        <v>0.1741751631772176</v>
      </c>
      <c r="AA72" s="218">
        <f t="shared" si="60"/>
        <v>0.19820851338259735</v>
      </c>
      <c r="AC72" s="216">
        <f t="shared" si="61"/>
        <v>5.6822991930712378E-2</v>
      </c>
      <c r="AD72" s="217">
        <f t="shared" si="62"/>
        <v>-1.7544813774914014E-3</v>
      </c>
      <c r="AE72" s="217">
        <f t="shared" si="63"/>
        <v>1.9112743761419759E-2</v>
      </c>
      <c r="AF72" s="217">
        <f t="shared" si="64"/>
        <v>-1.4654249030513877E-2</v>
      </c>
      <c r="AG72" s="217">
        <f t="shared" si="65"/>
        <v>-2.6110167232980874E-2</v>
      </c>
      <c r="AH72" s="218">
        <f t="shared" si="66"/>
        <v>-3.4894246300024523E-2</v>
      </c>
      <c r="AI72" s="11"/>
      <c r="AJ72" s="214">
        <f t="shared" si="67"/>
        <v>-3.4894246300024523E-2</v>
      </c>
      <c r="AK72" s="215">
        <f t="shared" si="68"/>
        <v>0</v>
      </c>
    </row>
    <row r="73" spans="1:37" x14ac:dyDescent="0.25">
      <c r="A73" s="210" t="s">
        <v>116</v>
      </c>
      <c r="B73" s="202">
        <f>VLOOKUP($A73,Costdrivere!$A$1:$G$128,2,FALSE)</f>
        <v>1135817.1078274578</v>
      </c>
      <c r="C73" s="203">
        <f>VLOOKUP($A73,Costdrivere!$A$1:$G$128,3,FALSE)</f>
        <v>3186341.1689999998</v>
      </c>
      <c r="D73" s="203">
        <f>VLOOKUP($A73,Costdrivere!$A$1:$G$128,4,FALSE)</f>
        <v>994366</v>
      </c>
      <c r="E73" s="203">
        <f>VLOOKUP($A73,Costdrivere!$A$1:$G$128,5,FALSE)</f>
        <v>2761672.8</v>
      </c>
      <c r="F73" s="203">
        <f>VLOOKUP($A73,Costdrivere!$A$1:$G$128,6,FALSE)</f>
        <v>1183361.2000000002</v>
      </c>
      <c r="G73" s="203">
        <f>VLOOKUP($A73,Costdrivere!$A$1:$G$128,7,FALSE)</f>
        <v>1356888.4000000001</v>
      </c>
      <c r="H73" s="25">
        <v>27.354213365152205</v>
      </c>
      <c r="I73" s="15">
        <f>VLOOKUP(A73,Costdrivere!$A$1:$H$128,8,FALSE)</f>
        <v>1.3273739742086753E-2</v>
      </c>
      <c r="J73" s="32">
        <f t="shared" si="44"/>
        <v>10618446.676827459</v>
      </c>
      <c r="K73" s="33">
        <f t="shared" si="45"/>
        <v>11333873.447255522</v>
      </c>
      <c r="L73" s="33">
        <f t="shared" si="46"/>
        <v>9458694.9514424279</v>
      </c>
      <c r="M73" s="32">
        <f>J73+'Potentialer og krav'!F72</f>
        <v>10655526.676827459</v>
      </c>
      <c r="N73" s="33">
        <f t="shared" si="42"/>
        <v>11373451.743423959</v>
      </c>
      <c r="O73" s="43">
        <f t="shared" si="43"/>
        <v>9491725.0564543866</v>
      </c>
      <c r="P73" s="33">
        <f>M73+(0.25*'Potentialer og krav'!$C72)</f>
        <v>12724044.926827459</v>
      </c>
      <c r="Q73" s="33">
        <f>N73+(0.25*'Potentialer og krav'!$C72)</f>
        <v>13441969.993423959</v>
      </c>
      <c r="R73" s="33">
        <f>O73+(0.25*'Potentialer og krav'!$C72)</f>
        <v>11560243.306454387</v>
      </c>
      <c r="S73" s="24">
        <v>6388789</v>
      </c>
      <c r="T73" s="24">
        <f t="shared" si="47"/>
        <v>6586841.4589999998</v>
      </c>
      <c r="V73" s="216">
        <f t="shared" si="55"/>
        <v>0.10696640877861556</v>
      </c>
      <c r="W73" s="217">
        <f t="shared" si="56"/>
        <v>0.30007601544522738</v>
      </c>
      <c r="X73" s="217">
        <f t="shared" si="57"/>
        <v>9.3645147003468598E-2</v>
      </c>
      <c r="Y73" s="217">
        <f t="shared" si="58"/>
        <v>0.26008256047720929</v>
      </c>
      <c r="Z73" s="217">
        <f t="shared" si="59"/>
        <v>0.11144390851276192</v>
      </c>
      <c r="AA73" s="218">
        <f t="shared" si="60"/>
        <v>0.12778595978271715</v>
      </c>
      <c r="AC73" s="216">
        <f t="shared" si="61"/>
        <v>1.03228729020204E-2</v>
      </c>
      <c r="AD73" s="217">
        <f t="shared" si="62"/>
        <v>-5.4527552638086729E-3</v>
      </c>
      <c r="AE73" s="217">
        <f t="shared" si="63"/>
        <v>-4.6873329410299813E-2</v>
      </c>
      <c r="AF73" s="217">
        <f t="shared" si="64"/>
        <v>-3.1623591208120888E-2</v>
      </c>
      <c r="AG73" s="217">
        <f t="shared" si="65"/>
        <v>3.6621087431474797E-2</v>
      </c>
      <c r="AH73" s="218">
        <f t="shared" si="66"/>
        <v>3.5528307299855677E-2</v>
      </c>
      <c r="AI73" s="11"/>
      <c r="AJ73" s="214">
        <f t="shared" si="67"/>
        <v>3.5528307299855677E-2</v>
      </c>
      <c r="AK73" s="215">
        <f t="shared" si="68"/>
        <v>0</v>
      </c>
    </row>
    <row r="74" spans="1:37" x14ac:dyDescent="0.25">
      <c r="A74" s="210" t="s">
        <v>99</v>
      </c>
      <c r="B74" s="202">
        <f>VLOOKUP($A74,Costdrivere!$A$1:$G$128,2,FALSE)</f>
        <v>239880.59407179389</v>
      </c>
      <c r="C74" s="203">
        <f>VLOOKUP($A74,Costdrivere!$A$1:$G$128,3,FALSE)</f>
        <v>598171.37199999997</v>
      </c>
      <c r="D74" s="203">
        <f>VLOOKUP($A74,Costdrivere!$A$1:$G$128,4,FALSE)</f>
        <v>70906</v>
      </c>
      <c r="E74" s="203">
        <f>VLOOKUP($A74,Costdrivere!$A$1:$G$128,5,FALSE)</f>
        <v>133551</v>
      </c>
      <c r="F74" s="203">
        <f>VLOOKUP($A74,Costdrivere!$A$1:$G$128,6,FALSE)</f>
        <v>100084.6</v>
      </c>
      <c r="G74" s="203">
        <f>VLOOKUP($A74,Costdrivere!$A$1:$G$128,7,FALSE)</f>
        <v>110402.6</v>
      </c>
      <c r="H74" s="25">
        <v>30.92316589971486</v>
      </c>
      <c r="I74" s="15">
        <f>VLOOKUP(A74,Costdrivere!$A$1:$H$128,8,FALSE)</f>
        <v>2.2333333333333334E-2</v>
      </c>
      <c r="J74" s="32">
        <f t="shared" si="44"/>
        <v>1252996.166071794</v>
      </c>
      <c r="K74" s="33">
        <f t="shared" si="45"/>
        <v>1417911.745163887</v>
      </c>
      <c r="L74" s="33">
        <f t="shared" si="46"/>
        <v>1269889.8957135512</v>
      </c>
      <c r="M74" s="32">
        <f>J74+'Potentialer og krav'!F73</f>
        <v>1252996.166071794</v>
      </c>
      <c r="N74" s="33">
        <f t="shared" si="42"/>
        <v>1417911.745163887</v>
      </c>
      <c r="O74" s="43">
        <f t="shared" si="43"/>
        <v>1269889.8957135512</v>
      </c>
      <c r="P74" s="33">
        <f>M74+(0.25*'Potentialer og krav'!$C73)</f>
        <v>1486850.166071794</v>
      </c>
      <c r="Q74" s="33">
        <f>N74+(0.25*'Potentialer og krav'!$C73)</f>
        <v>1651765.745163887</v>
      </c>
      <c r="R74" s="33">
        <f>O74+(0.25*'Potentialer og krav'!$C73)</f>
        <v>1503743.8957135512</v>
      </c>
      <c r="S74" s="24">
        <v>651519</v>
      </c>
      <c r="T74" s="24">
        <f t="shared" si="47"/>
        <v>671716.08899999992</v>
      </c>
      <c r="V74" s="216">
        <f t="shared" si="55"/>
        <v>0.19144559302510208</v>
      </c>
      <c r="W74" s="217">
        <f t="shared" si="56"/>
        <v>0.47739281906607689</v>
      </c>
      <c r="X74" s="217">
        <f t="shared" si="57"/>
        <v>5.6589159584018424E-2</v>
      </c>
      <c r="Y74" s="217">
        <f t="shared" si="58"/>
        <v>0.10658532213924413</v>
      </c>
      <c r="Z74" s="217">
        <f t="shared" si="59"/>
        <v>7.9876222058819432E-2</v>
      </c>
      <c r="AA74" s="218">
        <f t="shared" si="60"/>
        <v>8.8110884126738953E-2</v>
      </c>
      <c r="AC74" s="216">
        <f t="shared" si="61"/>
        <v>-7.4156311344466125E-2</v>
      </c>
      <c r="AD74" s="217">
        <f t="shared" si="62"/>
        <v>-0.18276955888465818</v>
      </c>
      <c r="AE74" s="217">
        <f t="shared" si="63"/>
        <v>-9.8173419908496387E-3</v>
      </c>
      <c r="AF74" s="217">
        <f t="shared" si="64"/>
        <v>0.12187364712984428</v>
      </c>
      <c r="AG74" s="217">
        <f t="shared" si="65"/>
        <v>6.8188773885417289E-2</v>
      </c>
      <c r="AH74" s="218">
        <f t="shared" si="66"/>
        <v>7.520338295583387E-2</v>
      </c>
      <c r="AI74" s="11"/>
      <c r="AJ74" s="214">
        <f t="shared" si="67"/>
        <v>7.520338295583387E-2</v>
      </c>
      <c r="AK74" s="215">
        <f t="shared" si="68"/>
        <v>0</v>
      </c>
    </row>
    <row r="75" spans="1:37" x14ac:dyDescent="0.25">
      <c r="A75" s="210" t="s">
        <v>100</v>
      </c>
      <c r="B75" s="202">
        <f>VLOOKUP($A75,Costdrivere!$A$1:$G$128,2,FALSE)</f>
        <v>427201.52138216095</v>
      </c>
      <c r="C75" s="203">
        <f>VLOOKUP($A75,Costdrivere!$A$1:$G$128,3,FALSE)</f>
        <v>1065112.29</v>
      </c>
      <c r="D75" s="203">
        <f>VLOOKUP($A75,Costdrivere!$A$1:$G$128,4,FALSE)</f>
        <v>0</v>
      </c>
      <c r="E75" s="203">
        <f>VLOOKUP($A75,Costdrivere!$A$1:$G$128,5,FALSE)</f>
        <v>1470376</v>
      </c>
      <c r="F75" s="203">
        <f>VLOOKUP($A75,Costdrivere!$A$1:$G$128,6,FALSE)</f>
        <v>802642.60000000009</v>
      </c>
      <c r="G75" s="203">
        <f>VLOOKUP($A75,Costdrivere!$A$1:$G$128,7,FALSE)</f>
        <v>578228</v>
      </c>
      <c r="H75" s="25">
        <v>25.461860598873539</v>
      </c>
      <c r="I75" s="15">
        <f>VLOOKUP(A75,Costdrivere!$A$1:$H$128,8,FALSE)</f>
        <v>4.7073170731707317E-2</v>
      </c>
      <c r="J75" s="32">
        <f t="shared" si="44"/>
        <v>4343560.4113821611</v>
      </c>
      <c r="K75" s="33">
        <f t="shared" si="45"/>
        <v>4488259.5710979132</v>
      </c>
      <c r="L75" s="33">
        <f t="shared" si="46"/>
        <v>5857547.590753614</v>
      </c>
      <c r="M75" s="32">
        <f>J75+'Potentialer og krav'!F74</f>
        <v>4343560.4113821611</v>
      </c>
      <c r="N75" s="33">
        <f t="shared" si="42"/>
        <v>4488259.5710979132</v>
      </c>
      <c r="O75" s="43">
        <f t="shared" si="43"/>
        <v>5857547.590753614</v>
      </c>
      <c r="P75" s="33">
        <f>M75+(0.25*'Potentialer og krav'!$C74)</f>
        <v>5310746.1613821611</v>
      </c>
      <c r="Q75" s="33">
        <f>N75+(0.25*'Potentialer og krav'!$C74)</f>
        <v>5455445.3210979132</v>
      </c>
      <c r="R75" s="33">
        <f>O75+(0.25*'Potentialer og krav'!$C74)</f>
        <v>6824733.340753614</v>
      </c>
      <c r="S75" s="24">
        <v>3280654</v>
      </c>
      <c r="T75" s="24">
        <f t="shared" si="47"/>
        <v>3382354.2739999997</v>
      </c>
      <c r="V75" s="216">
        <f t="shared" si="55"/>
        <v>9.8352844422905469E-2</v>
      </c>
      <c r="W75" s="217">
        <f t="shared" si="56"/>
        <v>0.24521640983947349</v>
      </c>
      <c r="X75" s="217">
        <f t="shared" si="57"/>
        <v>0</v>
      </c>
      <c r="Y75" s="217">
        <f t="shared" si="58"/>
        <v>0.33851860242277898</v>
      </c>
      <c r="Z75" s="217">
        <f t="shared" si="59"/>
        <v>0.18478909557622378</v>
      </c>
      <c r="AA75" s="218">
        <f t="shared" si="60"/>
        <v>0.1331230477386183</v>
      </c>
      <c r="AC75" s="216">
        <f t="shared" si="61"/>
        <v>1.893643725773049E-2</v>
      </c>
      <c r="AD75" s="217">
        <f t="shared" si="62"/>
        <v>4.9406850341945224E-2</v>
      </c>
      <c r="AE75" s="217">
        <f t="shared" si="63"/>
        <v>4.6771817593168785E-2</v>
      </c>
      <c r="AF75" s="217">
        <f t="shared" si="64"/>
        <v>-0.11005963315369058</v>
      </c>
      <c r="AG75" s="217">
        <f t="shared" si="65"/>
        <v>-3.6724099631987056E-2</v>
      </c>
      <c r="AH75" s="218">
        <f t="shared" si="66"/>
        <v>3.0191219343954523E-2</v>
      </c>
      <c r="AI75" s="11"/>
      <c r="AJ75" s="214">
        <f t="shared" si="67"/>
        <v>3.0191219343954523E-2</v>
      </c>
      <c r="AK75" s="215">
        <f t="shared" si="68"/>
        <v>0</v>
      </c>
    </row>
    <row r="76" spans="1:37" x14ac:dyDescent="0.25">
      <c r="A76" s="210" t="s">
        <v>101</v>
      </c>
      <c r="B76" s="202">
        <f>VLOOKUP($A76,Costdrivere!$A$1:$G$128,2,FALSE)</f>
        <v>207522.71148492425</v>
      </c>
      <c r="C76" s="203">
        <f>VLOOKUP($A76,Costdrivere!$A$1:$G$128,3,FALSE)</f>
        <v>456368.451</v>
      </c>
      <c r="D76" s="203">
        <f>VLOOKUP($A76,Costdrivere!$A$1:$G$128,4,FALSE)</f>
        <v>70906</v>
      </c>
      <c r="E76" s="203">
        <f>VLOOKUP($A76,Costdrivere!$A$1:$G$128,5,FALSE)</f>
        <v>186162</v>
      </c>
      <c r="F76" s="203">
        <f>VLOOKUP($A76,Costdrivere!$A$1:$G$128,6,FALSE)</f>
        <v>272550.60000000003</v>
      </c>
      <c r="G76" s="203">
        <f>VLOOKUP($A76,Costdrivere!$A$1:$G$128,7,FALSE)</f>
        <v>300648.60000000003</v>
      </c>
      <c r="H76" s="25">
        <v>29.558053455444213</v>
      </c>
      <c r="I76" s="15">
        <f>VLOOKUP(A76,Costdrivere!$A$1:$H$128,8,FALSE)</f>
        <v>4.3630434782608696E-2</v>
      </c>
      <c r="J76" s="32">
        <f t="shared" si="44"/>
        <v>1494158.3624849245</v>
      </c>
      <c r="K76" s="33">
        <f t="shared" si="45"/>
        <v>1654100.4879149422</v>
      </c>
      <c r="L76" s="33">
        <f t="shared" si="46"/>
        <v>1945290.5063576966</v>
      </c>
      <c r="M76" s="32">
        <f>J76+'Potentialer og krav'!F75</f>
        <v>1494158.3624849245</v>
      </c>
      <c r="N76" s="33">
        <f t="shared" si="42"/>
        <v>1654100.4879149422</v>
      </c>
      <c r="O76" s="43">
        <f t="shared" si="43"/>
        <v>1945290.5063576966</v>
      </c>
      <c r="P76" s="33">
        <f>M76+(0.25*'Potentialer og krav'!$C75)</f>
        <v>1878232.3624849245</v>
      </c>
      <c r="Q76" s="33">
        <f>N76+(0.25*'Potentialer og krav'!$C75)</f>
        <v>2038174.4879149422</v>
      </c>
      <c r="R76" s="33">
        <f>O76+(0.25*'Potentialer og krav'!$C75)</f>
        <v>2329364.5063576968</v>
      </c>
      <c r="S76" s="24">
        <v>3819123</v>
      </c>
      <c r="T76" s="24">
        <f t="shared" si="47"/>
        <v>3937515.8129999996</v>
      </c>
      <c r="V76" s="216">
        <f t="shared" si="55"/>
        <v>0.13888936855380887</v>
      </c>
      <c r="W76" s="217">
        <f t="shared" si="56"/>
        <v>0.30543512820221863</v>
      </c>
      <c r="X76" s="217">
        <f t="shared" si="57"/>
        <v>4.7455478468879778E-2</v>
      </c>
      <c r="Y76" s="217">
        <f t="shared" si="58"/>
        <v>0.12459321894795358</v>
      </c>
      <c r="Z76" s="217">
        <f t="shared" si="59"/>
        <v>0.18241078512368863</v>
      </c>
      <c r="AA76" s="218">
        <f t="shared" si="60"/>
        <v>0.20121602070345035</v>
      </c>
      <c r="AC76" s="216">
        <f t="shared" si="61"/>
        <v>-2.1600086873172913E-2</v>
      </c>
      <c r="AD76" s="217">
        <f t="shared" si="62"/>
        <v>-1.081186802079992E-2</v>
      </c>
      <c r="AE76" s="217">
        <f t="shared" si="63"/>
        <v>-6.8366087571099243E-4</v>
      </c>
      <c r="AF76" s="217">
        <f t="shared" si="64"/>
        <v>0.10386575032113482</v>
      </c>
      <c r="AG76" s="217">
        <f t="shared" si="65"/>
        <v>-3.4345789179451913E-2</v>
      </c>
      <c r="AH76" s="218">
        <f t="shared" si="66"/>
        <v>-3.7901753620877526E-2</v>
      </c>
      <c r="AI76" s="11"/>
      <c r="AJ76" s="214">
        <f t="shared" si="67"/>
        <v>-3.7901753620877526E-2</v>
      </c>
      <c r="AK76" s="215">
        <f t="shared" si="68"/>
        <v>0</v>
      </c>
    </row>
    <row r="77" spans="1:37" x14ac:dyDescent="0.25">
      <c r="A77" s="210" t="s">
        <v>102</v>
      </c>
      <c r="B77" s="202">
        <f>VLOOKUP($A77,Costdrivere!$A$1:$G$128,2,FALSE)</f>
        <v>196387.26410877911</v>
      </c>
      <c r="C77" s="203">
        <f>VLOOKUP($A77,Costdrivere!$A$1:$G$128,3,FALSE)</f>
        <v>403825.84100000001</v>
      </c>
      <c r="D77" s="203">
        <f>VLOOKUP($A77,Costdrivere!$A$1:$G$128,4,FALSE)</f>
        <v>0</v>
      </c>
      <c r="E77" s="203">
        <f>VLOOKUP($A77,Costdrivere!$A$1:$G$128,5,FALSE)</f>
        <v>254961</v>
      </c>
      <c r="F77" s="203">
        <f>VLOOKUP($A77,Costdrivere!$A$1:$G$128,6,FALSE)</f>
        <v>366252.60000000003</v>
      </c>
      <c r="G77" s="203">
        <f>VLOOKUP($A77,Costdrivere!$A$1:$G$128,7,FALSE)</f>
        <v>392176.4</v>
      </c>
      <c r="H77" s="25">
        <v>26.872577661090578</v>
      </c>
      <c r="I77" s="15">
        <f>VLOOKUP(A77,Costdrivere!$A$1:$H$128,8,FALSE)</f>
        <v>4.1555555555555554E-2</v>
      </c>
      <c r="J77" s="32">
        <f t="shared" si="44"/>
        <v>1613603.1051087794</v>
      </c>
      <c r="K77" s="33">
        <f t="shared" si="45"/>
        <v>1708331.9310493744</v>
      </c>
      <c r="L77" s="33">
        <f t="shared" si="46"/>
        <v>2055453.5333314417</v>
      </c>
      <c r="M77" s="32">
        <f>J77+'Potentialer og krav'!F76</f>
        <v>1613603.1051087794</v>
      </c>
      <c r="N77" s="33">
        <f t="shared" si="42"/>
        <v>1708331.9310493744</v>
      </c>
      <c r="O77" s="43">
        <f t="shared" si="43"/>
        <v>2055453.5333314417</v>
      </c>
      <c r="P77" s="33">
        <f>M77+(0.25*'Potentialer og krav'!$C76)</f>
        <v>1997055.8551087794</v>
      </c>
      <c r="Q77" s="33">
        <f>N77+(0.25*'Potentialer og krav'!$C76)</f>
        <v>2091784.6810493744</v>
      </c>
      <c r="R77" s="33">
        <f>O77+(0.25*'Potentialer og krav'!$C76)</f>
        <v>2438906.2833314417</v>
      </c>
      <c r="S77" s="24">
        <v>1596846</v>
      </c>
      <c r="T77" s="24">
        <f t="shared" si="47"/>
        <v>1646348.2259999998</v>
      </c>
      <c r="V77" s="216">
        <f t="shared" si="55"/>
        <v>0.12170729189043043</v>
      </c>
      <c r="W77" s="217">
        <f t="shared" si="56"/>
        <v>0.25026342582104572</v>
      </c>
      <c r="X77" s="217">
        <f t="shared" si="57"/>
        <v>0</v>
      </c>
      <c r="Y77" s="217">
        <f t="shared" si="58"/>
        <v>0.15800725667469018</v>
      </c>
      <c r="Z77" s="217">
        <f t="shared" si="59"/>
        <v>0.22697812048106433</v>
      </c>
      <c r="AA77" s="218">
        <f t="shared" si="60"/>
        <v>0.24304390513276922</v>
      </c>
      <c r="AC77" s="216">
        <f t="shared" si="61"/>
        <v>-4.4180102097944735E-3</v>
      </c>
      <c r="AD77" s="217">
        <f t="shared" si="62"/>
        <v>4.4359834360372996E-2</v>
      </c>
      <c r="AE77" s="217">
        <f t="shared" si="63"/>
        <v>4.6771817593168785E-2</v>
      </c>
      <c r="AF77" s="217">
        <f t="shared" si="64"/>
        <v>7.0451712594398225E-2</v>
      </c>
      <c r="AG77" s="217">
        <f t="shared" si="65"/>
        <v>-7.8913124536827611E-2</v>
      </c>
      <c r="AH77" s="218">
        <f t="shared" si="66"/>
        <v>-7.9729638050196394E-2</v>
      </c>
      <c r="AI77" s="11"/>
      <c r="AJ77" s="214">
        <f t="shared" si="67"/>
        <v>-7.9729638050196394E-2</v>
      </c>
      <c r="AK77" s="215">
        <f t="shared" si="68"/>
        <v>-1.6941907932722124E-2</v>
      </c>
    </row>
    <row r="78" spans="1:37" x14ac:dyDescent="0.25">
      <c r="A78" s="210" t="s">
        <v>123</v>
      </c>
      <c r="B78" s="202">
        <f>VLOOKUP($A78,Costdrivere!$A$1:$G$128,2,FALSE)</f>
        <v>148280.84360495376</v>
      </c>
      <c r="C78" s="203">
        <f>VLOOKUP($A78,Costdrivere!$A$1:$G$128,3,FALSE)</f>
        <v>379511.82</v>
      </c>
      <c r="D78" s="203">
        <f>VLOOKUP($A78,Costdrivere!$A$1:$G$128,4,FALSE)</f>
        <v>106359</v>
      </c>
      <c r="E78" s="203">
        <f>VLOOKUP($A78,Costdrivere!$A$1:$G$128,5,FALSE)</f>
        <v>311619</v>
      </c>
      <c r="F78" s="203">
        <f>VLOOKUP($A78,Costdrivere!$A$1:$G$128,6,FALSE)</f>
        <v>187539.80000000002</v>
      </c>
      <c r="G78" s="203">
        <f>VLOOKUP($A78,Costdrivere!$A$1:$G$128,7,FALSE)</f>
        <v>206873.80000000002</v>
      </c>
      <c r="H78" s="25">
        <v>23.973084560161702</v>
      </c>
      <c r="I78" s="15">
        <f>VLOOKUP(A78,Costdrivere!$A$1:$H$128,8,FALSE)</f>
        <v>1.7935064935064936E-2</v>
      </c>
      <c r="J78" s="32">
        <f t="shared" si="44"/>
        <v>1340184.2636049539</v>
      </c>
      <c r="K78" s="33">
        <f t="shared" si="45"/>
        <v>1348916.2637696411</v>
      </c>
      <c r="L78" s="33">
        <f t="shared" si="46"/>
        <v>1278418.5474635463</v>
      </c>
      <c r="M78" s="32">
        <f>J78+'Potentialer og krav'!F77</f>
        <v>1340184.2636049539</v>
      </c>
      <c r="N78" s="33">
        <f t="shared" si="42"/>
        <v>1348916.2637696411</v>
      </c>
      <c r="O78" s="43">
        <f t="shared" si="43"/>
        <v>1278418.5474635463</v>
      </c>
      <c r="P78" s="33">
        <f>M78+(0.25*'Potentialer og krav'!$C77)</f>
        <v>1533096.2636049539</v>
      </c>
      <c r="Q78" s="33">
        <f>N78+(0.25*'Potentialer og krav'!$C77)</f>
        <v>1541828.2637696411</v>
      </c>
      <c r="R78" s="33">
        <f>O78+(0.25*'Potentialer og krav'!$C77)</f>
        <v>1471330.5474635463</v>
      </c>
      <c r="S78" s="24">
        <v>715852</v>
      </c>
      <c r="T78" s="24">
        <f t="shared" si="47"/>
        <v>738043.41199999989</v>
      </c>
      <c r="V78" s="216">
        <f t="shared" si="55"/>
        <v>0.11064213155741284</v>
      </c>
      <c r="W78" s="217">
        <f t="shared" si="56"/>
        <v>0.28317883615433104</v>
      </c>
      <c r="X78" s="217">
        <f t="shared" si="57"/>
        <v>7.9361475051128824E-2</v>
      </c>
      <c r="Y78" s="217">
        <f t="shared" si="58"/>
        <v>0.23251951874272711</v>
      </c>
      <c r="Z78" s="217">
        <f t="shared" si="59"/>
        <v>0.13993583202920007</v>
      </c>
      <c r="AA78" s="218">
        <f t="shared" si="60"/>
        <v>0.15436220646520007</v>
      </c>
      <c r="AC78" s="216">
        <f t="shared" si="61"/>
        <v>6.6471501232231167E-3</v>
      </c>
      <c r="AD78" s="217">
        <f t="shared" si="62"/>
        <v>1.1444424027087674E-2</v>
      </c>
      <c r="AE78" s="217">
        <f t="shared" si="63"/>
        <v>-3.2589657457960039E-2</v>
      </c>
      <c r="AF78" s="217">
        <f t="shared" si="64"/>
        <v>-4.0605494736387082E-3</v>
      </c>
      <c r="AG78" s="217">
        <f t="shared" si="65"/>
        <v>8.1291639150366524E-3</v>
      </c>
      <c r="AH78" s="218">
        <f t="shared" si="66"/>
        <v>8.9520606173727479E-3</v>
      </c>
      <c r="AI78" s="11"/>
      <c r="AJ78" s="214">
        <f t="shared" si="67"/>
        <v>8.9520606173727479E-3</v>
      </c>
      <c r="AK78" s="215">
        <f t="shared" si="68"/>
        <v>0</v>
      </c>
    </row>
    <row r="79" spans="1:37" x14ac:dyDescent="0.25">
      <c r="A79" s="210" t="s">
        <v>103</v>
      </c>
      <c r="B79" s="202">
        <f>VLOOKUP($A79,Costdrivere!$A$1:$G$128,2,FALSE)</f>
        <v>996837.92349784286</v>
      </c>
      <c r="C79" s="203">
        <f>VLOOKUP($A79,Costdrivere!$A$1:$G$128,3,FALSE)</f>
        <v>2755239.4980000001</v>
      </c>
      <c r="D79" s="203">
        <f>VLOOKUP($A79,Costdrivere!$A$1:$G$128,4,FALSE)</f>
        <v>180226</v>
      </c>
      <c r="E79" s="203">
        <f>VLOOKUP($A79,Costdrivere!$A$1:$G$128,5,FALSE)</f>
        <v>1736163</v>
      </c>
      <c r="F79" s="203">
        <f>VLOOKUP($A79,Costdrivere!$A$1:$G$128,6,FALSE)</f>
        <v>1021623.4000000001</v>
      </c>
      <c r="G79" s="203">
        <f>VLOOKUP($A79,Costdrivere!$A$1:$G$128,7,FALSE)</f>
        <v>1125147.8</v>
      </c>
      <c r="H79" s="25">
        <v>27.471663599184211</v>
      </c>
      <c r="I79" s="15">
        <f>VLOOKUP(A79,Costdrivere!$A$1:$H$128,8,FALSE)</f>
        <v>1.7508158508158508E-2</v>
      </c>
      <c r="J79" s="32">
        <f t="shared" si="44"/>
        <v>7815237.6214978434</v>
      </c>
      <c r="K79" s="33">
        <f t="shared" si="45"/>
        <v>8358318.0522998506</v>
      </c>
      <c r="L79" s="33">
        <f t="shared" si="46"/>
        <v>7409865.1445808914</v>
      </c>
      <c r="M79" s="32">
        <f>J79+'Potentialer og krav'!F78</f>
        <v>7815237.6214978434</v>
      </c>
      <c r="N79" s="33">
        <f t="shared" si="42"/>
        <v>8358318.0522998506</v>
      </c>
      <c r="O79" s="43">
        <f t="shared" si="43"/>
        <v>7409865.1445808914</v>
      </c>
      <c r="P79" s="33">
        <f>M79+(0.25*'Potentialer og krav'!$C78)</f>
        <v>9159596.3714978434</v>
      </c>
      <c r="Q79" s="33">
        <f>N79+(0.25*'Potentialer og krav'!$C78)</f>
        <v>9702676.8022998497</v>
      </c>
      <c r="R79" s="33">
        <f>O79+(0.25*'Potentialer og krav'!$C78)</f>
        <v>8754223.8945808914</v>
      </c>
      <c r="S79" s="24">
        <v>5961237</v>
      </c>
      <c r="T79" s="24">
        <f t="shared" si="47"/>
        <v>6146035.3469999991</v>
      </c>
      <c r="V79" s="216">
        <f t="shared" si="55"/>
        <v>0.12755055850839148</v>
      </c>
      <c r="W79" s="217">
        <f t="shared" si="56"/>
        <v>0.35254711775122455</v>
      </c>
      <c r="X79" s="217">
        <f t="shared" si="57"/>
        <v>2.3060847120533037E-2</v>
      </c>
      <c r="Y79" s="217">
        <f t="shared" si="58"/>
        <v>0.22215101882817129</v>
      </c>
      <c r="Z79" s="217">
        <f t="shared" si="59"/>
        <v>0.13072198818238864</v>
      </c>
      <c r="AA79" s="218">
        <f t="shared" si="60"/>
        <v>0.14396846960929102</v>
      </c>
      <c r="AC79" s="216">
        <f t="shared" si="61"/>
        <v>-1.0261276827755517E-2</v>
      </c>
      <c r="AD79" s="217">
        <f t="shared" si="62"/>
        <v>-5.7923857569805837E-2</v>
      </c>
      <c r="AE79" s="217">
        <f t="shared" si="63"/>
        <v>2.3710970472635748E-2</v>
      </c>
      <c r="AF79" s="217">
        <f t="shared" si="64"/>
        <v>6.307950440917115E-3</v>
      </c>
      <c r="AG79" s="217">
        <f t="shared" si="65"/>
        <v>1.7343007761848078E-2</v>
      </c>
      <c r="AH79" s="218">
        <f t="shared" si="66"/>
        <v>1.9345797473281801E-2</v>
      </c>
      <c r="AI79" s="11"/>
      <c r="AJ79" s="214">
        <f t="shared" si="67"/>
        <v>1.9345797473281801E-2</v>
      </c>
      <c r="AK79" s="215">
        <f t="shared" si="68"/>
        <v>0</v>
      </c>
    </row>
    <row r="80" spans="1:37" x14ac:dyDescent="0.25">
      <c r="A80" s="210" t="s">
        <v>104</v>
      </c>
      <c r="B80" s="202">
        <f>VLOOKUP($A80,Costdrivere!$A$1:$G$128,2,FALSE)</f>
        <v>193417.82401185945</v>
      </c>
      <c r="C80" s="203">
        <f>VLOOKUP($A80,Costdrivere!$A$1:$G$128,3,FALSE)</f>
        <v>483900</v>
      </c>
      <c r="D80" s="203">
        <f>VLOOKUP($A80,Costdrivere!$A$1:$G$128,4,FALSE)</f>
        <v>35453</v>
      </c>
      <c r="E80" s="203">
        <f>VLOOKUP($A80,Costdrivere!$A$1:$G$128,5,FALSE)</f>
        <v>141645</v>
      </c>
      <c r="F80" s="203">
        <f>VLOOKUP($A80,Costdrivere!$A$1:$G$128,6,FALSE)</f>
        <v>115430.00000000001</v>
      </c>
      <c r="G80" s="203">
        <f>VLOOKUP($A80,Costdrivere!$A$1:$G$128,7,FALSE)</f>
        <v>127330.00000000001</v>
      </c>
      <c r="H80" s="25">
        <v>25.983691755659439</v>
      </c>
      <c r="I80" s="15">
        <f>VLOOKUP(A80,Costdrivere!$A$1:$H$128,8,FALSE)</f>
        <v>2.4285714285714285E-2</v>
      </c>
      <c r="J80" s="32">
        <f t="shared" si="44"/>
        <v>1097175.8240118595</v>
      </c>
      <c r="K80" s="33">
        <f t="shared" si="45"/>
        <v>1144032.3102387637</v>
      </c>
      <c r="L80" s="33">
        <f t="shared" si="46"/>
        <v>1140981.3524825501</v>
      </c>
      <c r="M80" s="32">
        <f>J80+'Potentialer og krav'!F79</f>
        <v>1097175.8240118595</v>
      </c>
      <c r="N80" s="33">
        <f t="shared" si="42"/>
        <v>1144032.3102387637</v>
      </c>
      <c r="O80" s="43">
        <f t="shared" si="43"/>
        <v>1140981.3524825501</v>
      </c>
      <c r="P80" s="33">
        <f>M80+(0.25*'Potentialer og krav'!$C79)</f>
        <v>1281844.0740118595</v>
      </c>
      <c r="Q80" s="33">
        <f>N80+(0.25*'Potentialer og krav'!$C79)</f>
        <v>1328700.5602387637</v>
      </c>
      <c r="R80" s="33">
        <f>O80+(0.25*'Potentialer og krav'!$C79)</f>
        <v>1325649.6024825501</v>
      </c>
      <c r="S80" s="24">
        <v>776122</v>
      </c>
      <c r="T80" s="24">
        <f t="shared" si="47"/>
        <v>800181.78199999989</v>
      </c>
      <c r="V80" s="216">
        <f t="shared" si="55"/>
        <v>0.1762869904521053</v>
      </c>
      <c r="W80" s="217">
        <f t="shared" si="56"/>
        <v>0.44104143511894361</v>
      </c>
      <c r="X80" s="217">
        <f t="shared" si="57"/>
        <v>3.2312961354147358E-2</v>
      </c>
      <c r="Y80" s="217">
        <f t="shared" si="58"/>
        <v>0.12909963644848679</v>
      </c>
      <c r="Z80" s="217">
        <f t="shared" si="59"/>
        <v>0.10520647418016051</v>
      </c>
      <c r="AA80" s="218">
        <f t="shared" si="60"/>
        <v>0.11605250244615642</v>
      </c>
      <c r="AC80" s="216">
        <f t="shared" si="61"/>
        <v>-5.8997708771469343E-2</v>
      </c>
      <c r="AD80" s="217">
        <f t="shared" si="62"/>
        <v>-0.1464181749375249</v>
      </c>
      <c r="AE80" s="217">
        <f t="shared" si="63"/>
        <v>1.4458856239021427E-2</v>
      </c>
      <c r="AF80" s="217">
        <f t="shared" si="64"/>
        <v>9.9359332820601609E-2</v>
      </c>
      <c r="AG80" s="217">
        <f t="shared" si="65"/>
        <v>4.2858521764076216E-2</v>
      </c>
      <c r="AH80" s="218">
        <f t="shared" si="66"/>
        <v>4.7261764636416403E-2</v>
      </c>
      <c r="AI80" s="11"/>
      <c r="AJ80" s="214">
        <f t="shared" si="67"/>
        <v>4.7261764636416403E-2</v>
      </c>
      <c r="AK80" s="215">
        <f t="shared" si="68"/>
        <v>0</v>
      </c>
    </row>
    <row r="81" spans="1:37" s="6" customFormat="1" x14ac:dyDescent="0.25">
      <c r="A81" s="49" t="s">
        <v>127</v>
      </c>
      <c r="B81" s="204"/>
      <c r="C81" s="205"/>
      <c r="D81" s="205"/>
      <c r="E81" s="205"/>
      <c r="F81" s="205"/>
      <c r="G81" s="205"/>
      <c r="H81" s="29">
        <v>27.586474697166427</v>
      </c>
      <c r="I81" s="30"/>
      <c r="J81" s="34">
        <v>1207879</v>
      </c>
      <c r="K81" s="342" t="s">
        <v>218</v>
      </c>
      <c r="L81" s="342" t="s">
        <v>218</v>
      </c>
      <c r="M81" s="344" t="s">
        <v>218</v>
      </c>
      <c r="N81" s="342" t="s">
        <v>218</v>
      </c>
      <c r="O81" s="342" t="s">
        <v>218</v>
      </c>
      <c r="P81" s="344" t="s">
        <v>218</v>
      </c>
      <c r="Q81" s="342" t="s">
        <v>218</v>
      </c>
      <c r="R81" s="342" t="s">
        <v>218</v>
      </c>
      <c r="S81" s="343" t="s">
        <v>218</v>
      </c>
      <c r="T81" s="343" t="s">
        <v>218</v>
      </c>
      <c r="U81" s="28"/>
      <c r="V81" s="219"/>
      <c r="W81" s="220"/>
      <c r="X81" s="220"/>
      <c r="Y81" s="220"/>
      <c r="Z81" s="220"/>
      <c r="AA81" s="221"/>
      <c r="AB81" s="28"/>
      <c r="AC81" s="219"/>
      <c r="AD81" s="220"/>
      <c r="AE81" s="220"/>
      <c r="AF81" s="220"/>
      <c r="AG81" s="220"/>
      <c r="AH81" s="221"/>
      <c r="AI81" s="12"/>
      <c r="AJ81" s="237"/>
      <c r="AK81" s="238"/>
    </row>
    <row r="82" spans="1:37" x14ac:dyDescent="0.25">
      <c r="A82" s="210" t="s">
        <v>105</v>
      </c>
      <c r="B82" s="202">
        <f>VLOOKUP($A82,Costdrivere!$A$1:$G$128,2,FALSE)</f>
        <v>151255.16103541639</v>
      </c>
      <c r="C82" s="203">
        <f>VLOOKUP($A82,Costdrivere!$A$1:$G$128,3,FALSE)</f>
        <v>407262.50199999998</v>
      </c>
      <c r="D82" s="203">
        <f>VLOOKUP($A82,Costdrivere!$A$1:$G$128,4,FALSE)</f>
        <v>0</v>
      </c>
      <c r="E82" s="203">
        <f>VLOOKUP($A82,Costdrivere!$A$1:$G$128,5,FALSE)</f>
        <v>384465</v>
      </c>
      <c r="F82" s="203">
        <f>VLOOKUP($A82,Costdrivere!$A$1:$G$128,6,FALSE)</f>
        <v>102529.00000000001</v>
      </c>
      <c r="G82" s="203">
        <f>VLOOKUP($A82,Costdrivere!$A$1:$G$128,7,FALSE)</f>
        <v>106657.60000000001</v>
      </c>
      <c r="H82" s="25">
        <v>28.724486581706813</v>
      </c>
      <c r="I82" s="15">
        <f>VLOOKUP(A82,Costdrivere!$A$1:$H$128,8,FALSE)</f>
        <v>7.4947368421052632E-3</v>
      </c>
      <c r="J82" s="32">
        <f t="shared" si="44"/>
        <v>1152169.2630354164</v>
      </c>
      <c r="K82" s="33">
        <f t="shared" si="45"/>
        <v>1258215.7958918496</v>
      </c>
      <c r="L82" s="33">
        <f t="shared" si="46"/>
        <v>936147.56828101049</v>
      </c>
      <c r="M82" s="32">
        <f>J82+'Potentialer og krav'!F81</f>
        <v>1152169.2630354164</v>
      </c>
      <c r="N82" s="33">
        <f t="shared" ref="N82:N113" si="75">(0.575+0.018*H82)*M82</f>
        <v>1258215.7958918496</v>
      </c>
      <c r="O82" s="43">
        <f t="shared" ref="O82:O113" si="76">(0.711+13.544*I82)*M82</f>
        <v>936147.56828101049</v>
      </c>
      <c r="P82" s="33">
        <f>M82+(0.25*'Potentialer og krav'!$C81)</f>
        <v>1362948.0130354164</v>
      </c>
      <c r="Q82" s="33">
        <f>N82+(0.25*'Potentialer og krav'!$C81)</f>
        <v>1468994.5458918496</v>
      </c>
      <c r="R82" s="33">
        <f>O82+(0.25*'Potentialer og krav'!$C81)</f>
        <v>1146926.3182810105</v>
      </c>
      <c r="S82" s="24">
        <v>493155</v>
      </c>
      <c r="T82" s="24">
        <f t="shared" si="47"/>
        <v>508442.80499999993</v>
      </c>
      <c r="V82" s="216">
        <f t="shared" si="55"/>
        <v>0.13127859411639847</v>
      </c>
      <c r="W82" s="217">
        <f t="shared" si="56"/>
        <v>0.35347454151576441</v>
      </c>
      <c r="X82" s="217">
        <f t="shared" si="57"/>
        <v>0</v>
      </c>
      <c r="Y82" s="217">
        <f t="shared" si="58"/>
        <v>0.33368795049011996</v>
      </c>
      <c r="Z82" s="217">
        <f t="shared" si="59"/>
        <v>8.8987793104187668E-2</v>
      </c>
      <c r="AA82" s="218">
        <f t="shared" si="60"/>
        <v>9.2571120773529497E-2</v>
      </c>
      <c r="AC82" s="216">
        <f t="shared" ref="AC82:AC95" si="77">V$131-V82</f>
        <v>-1.3989312435762513E-2</v>
      </c>
      <c r="AD82" s="217">
        <f t="shared" ref="AD82:AD95" si="78">W$131-W82</f>
        <v>-5.8851281334345695E-2</v>
      </c>
      <c r="AE82" s="217">
        <f t="shared" ref="AE82:AE95" si="79">X$131-X82</f>
        <v>4.6771817593168785E-2</v>
      </c>
      <c r="AF82" s="217">
        <f t="shared" ref="AF82:AF95" si="80">Y$131-Y82</f>
        <v>-0.10522898122103155</v>
      </c>
      <c r="AG82" s="217">
        <f t="shared" ref="AG82:AG95" si="81">Z$131-Z82</f>
        <v>5.9077202840049053E-2</v>
      </c>
      <c r="AH82" s="218">
        <f t="shared" ref="AH82:AH95" si="82">AA$131-AA82</f>
        <v>7.0743146309043325E-2</v>
      </c>
      <c r="AI82" s="11"/>
      <c r="AJ82" s="214">
        <f t="shared" ref="AJ82:AJ95" si="83">$AA$131-AA82</f>
        <v>7.0743146309043325E-2</v>
      </c>
      <c r="AK82" s="215">
        <f t="shared" ref="AK82:AK95" si="84">IF(AJ82&lt;$AA$134,(AJ82-$AA$134)*0.7658,0)</f>
        <v>0</v>
      </c>
    </row>
    <row r="83" spans="1:37" x14ac:dyDescent="0.25">
      <c r="A83" s="210" t="s">
        <v>131</v>
      </c>
      <c r="B83" s="202">
        <f>VLOOKUP($A83,Costdrivere!$A$1:$G$128,2,FALSE)</f>
        <v>222379.08150244784</v>
      </c>
      <c r="C83" s="203">
        <f>VLOOKUP($A83,Costdrivere!$A$1:$G$128,3,FALSE)</f>
        <v>515155.10100000002</v>
      </c>
      <c r="D83" s="203">
        <f>VLOOKUP($A83,Costdrivere!$A$1:$G$128,4,FALSE)</f>
        <v>0</v>
      </c>
      <c r="E83" s="203">
        <f>VLOOKUP($A83,Costdrivere!$A$1:$G$128,5,FALSE)</f>
        <v>369491.1</v>
      </c>
      <c r="F83" s="203">
        <f>VLOOKUP($A83,Costdrivere!$A$1:$G$128,6,FALSE)</f>
        <v>368018.00000000006</v>
      </c>
      <c r="G83" s="203">
        <f>VLOOKUP($A83,Costdrivere!$A$1:$G$128,7,FALSE)</f>
        <v>405209.00000000006</v>
      </c>
      <c r="H83" s="25">
        <v>29.983998328527772</v>
      </c>
      <c r="I83" s="15">
        <f>VLOOKUP(A83,Costdrivere!$A$1:$H$128,8,FALSE)</f>
        <v>2.9627601314348301E-2</v>
      </c>
      <c r="J83" s="32">
        <f t="shared" si="44"/>
        <v>1880252.2825024477</v>
      </c>
      <c r="K83" s="33">
        <f t="shared" si="45"/>
        <v>2095939.7257626581</v>
      </c>
      <c r="L83" s="33">
        <f t="shared" si="46"/>
        <v>2091359.9243701557</v>
      </c>
      <c r="M83" s="32">
        <f>J83+'Potentialer og krav'!F82</f>
        <v>1880252.2825024477</v>
      </c>
      <c r="N83" s="33">
        <f t="shared" si="75"/>
        <v>2095939.7257626581</v>
      </c>
      <c r="O83" s="43">
        <f t="shared" si="76"/>
        <v>2091359.9243701557</v>
      </c>
      <c r="P83" s="33">
        <f>M83+(0.25*'Potentialer og krav'!$C82)</f>
        <v>2540613.7825024477</v>
      </c>
      <c r="Q83" s="33">
        <f>N83+(0.25*'Potentialer og krav'!$C82)</f>
        <v>2756301.2257626578</v>
      </c>
      <c r="R83" s="33">
        <f>O83+(0.25*'Potentialer og krav'!$C82)</f>
        <v>2751721.4243701557</v>
      </c>
      <c r="S83" s="24">
        <v>2355892</v>
      </c>
      <c r="T83" s="24">
        <f t="shared" si="47"/>
        <v>2428924.6519999998</v>
      </c>
      <c r="V83" s="216">
        <f t="shared" si="55"/>
        <v>0.11827087437781549</v>
      </c>
      <c r="W83" s="217">
        <f t="shared" si="56"/>
        <v>0.27398190434018493</v>
      </c>
      <c r="X83" s="217">
        <f t="shared" si="57"/>
        <v>0</v>
      </c>
      <c r="Y83" s="217">
        <f t="shared" si="58"/>
        <v>0.19651144872338108</v>
      </c>
      <c r="Z83" s="217">
        <f t="shared" si="59"/>
        <v>0.19572799002812591</v>
      </c>
      <c r="AA83" s="218">
        <f t="shared" si="60"/>
        <v>0.21550778253049271</v>
      </c>
      <c r="AC83" s="216">
        <f t="shared" si="77"/>
        <v>-9.815926971795258E-4</v>
      </c>
      <c r="AD83" s="217">
        <f t="shared" si="78"/>
        <v>2.0641355841233777E-2</v>
      </c>
      <c r="AE83" s="217">
        <f t="shared" si="79"/>
        <v>4.6771817593168785E-2</v>
      </c>
      <c r="AF83" s="217">
        <f t="shared" si="80"/>
        <v>3.194752054570732E-2</v>
      </c>
      <c r="AG83" s="217">
        <f t="shared" si="81"/>
        <v>-4.7662994083889187E-2</v>
      </c>
      <c r="AH83" s="218">
        <f t="shared" si="82"/>
        <v>-5.2193515447919892E-2</v>
      </c>
      <c r="AI83" s="11"/>
      <c r="AJ83" s="214">
        <f t="shared" si="83"/>
        <v>-5.2193515447919892E-2</v>
      </c>
      <c r="AK83" s="215">
        <f t="shared" si="84"/>
        <v>0</v>
      </c>
    </row>
    <row r="84" spans="1:37" x14ac:dyDescent="0.25">
      <c r="A84" s="210" t="s">
        <v>106</v>
      </c>
      <c r="B84" s="202">
        <f>VLOOKUP($A84,Costdrivere!$A$1:$G$128,2,FALSE)</f>
        <v>181869.63365314592</v>
      </c>
      <c r="C84" s="203">
        <f>VLOOKUP($A84,Costdrivere!$A$1:$G$128,3,FALSE)</f>
        <v>452972.33799999999</v>
      </c>
      <c r="D84" s="203">
        <f>VLOOKUP($A84,Costdrivere!$A$1:$G$128,4,FALSE)</f>
        <v>35453</v>
      </c>
      <c r="E84" s="203">
        <f>VLOOKUP($A84,Costdrivere!$A$1:$G$128,5,FALSE)</f>
        <v>129504</v>
      </c>
      <c r="F84" s="203">
        <f>VLOOKUP($A84,Costdrivere!$A$1:$G$128,6,FALSE)</f>
        <v>183737.40000000002</v>
      </c>
      <c r="G84" s="203">
        <f>VLOOKUP($A84,Costdrivere!$A$1:$G$128,7,FALSE)</f>
        <v>207622.80000000002</v>
      </c>
      <c r="H84" s="25">
        <v>36.415785548870296</v>
      </c>
      <c r="I84" s="15">
        <f>VLOOKUP(A84,Costdrivere!$A$1:$H$128,8,FALSE)</f>
        <v>4.3312499999999997E-2</v>
      </c>
      <c r="J84" s="32">
        <f t="shared" si="44"/>
        <v>1191159.1716531459</v>
      </c>
      <c r="K84" s="33">
        <f t="shared" si="45"/>
        <v>1465702.4687913959</v>
      </c>
      <c r="L84" s="33">
        <f t="shared" si="46"/>
        <v>1545677.3245368276</v>
      </c>
      <c r="M84" s="32">
        <f>J84+'Potentialer og krav'!F83</f>
        <v>1191159.1716531459</v>
      </c>
      <c r="N84" s="33">
        <f t="shared" si="75"/>
        <v>1465702.4687913959</v>
      </c>
      <c r="O84" s="43">
        <f t="shared" si="76"/>
        <v>1545677.3245368276</v>
      </c>
      <c r="P84" s="33">
        <f>M84+(0.25*'Potentialer og krav'!$C83)</f>
        <v>1675962.1716531459</v>
      </c>
      <c r="Q84" s="33">
        <f>N84+(0.25*'Potentialer og krav'!$C83)</f>
        <v>1950505.4687913959</v>
      </c>
      <c r="R84" s="33">
        <f>O84+(0.25*'Potentialer og krav'!$C83)</f>
        <v>2030480.3245368276</v>
      </c>
      <c r="S84" s="24">
        <v>1901646</v>
      </c>
      <c r="T84" s="24">
        <f t="shared" si="47"/>
        <v>1960597.0259999998</v>
      </c>
      <c r="V84" s="216">
        <f t="shared" si="55"/>
        <v>0.15268289745084093</v>
      </c>
      <c r="W84" s="217">
        <f t="shared" si="56"/>
        <v>0.38027859649633894</v>
      </c>
      <c r="X84" s="217">
        <f t="shared" si="57"/>
        <v>2.9763444587171908E-2</v>
      </c>
      <c r="Y84" s="217">
        <f t="shared" si="58"/>
        <v>0.10872098631475788</v>
      </c>
      <c r="Z84" s="217">
        <f t="shared" si="59"/>
        <v>0.15425092160017603</v>
      </c>
      <c r="AA84" s="218">
        <f t="shared" si="60"/>
        <v>0.17430315355071435</v>
      </c>
      <c r="AC84" s="216">
        <f t="shared" si="77"/>
        <v>-3.5393615770204973E-2</v>
      </c>
      <c r="AD84" s="217">
        <f t="shared" si="78"/>
        <v>-8.5655336314920227E-2</v>
      </c>
      <c r="AE84" s="217">
        <f t="shared" si="79"/>
        <v>1.7008373005996877E-2</v>
      </c>
      <c r="AF84" s="217">
        <f t="shared" si="80"/>
        <v>0.11973798295433052</v>
      </c>
      <c r="AG84" s="217">
        <f t="shared" si="81"/>
        <v>-6.1859256559393117E-3</v>
      </c>
      <c r="AH84" s="218">
        <f t="shared" si="82"/>
        <v>-1.0988886468141529E-2</v>
      </c>
      <c r="AI84" s="11"/>
      <c r="AJ84" s="214">
        <f t="shared" si="83"/>
        <v>-1.0988886468141529E-2</v>
      </c>
      <c r="AK84" s="215">
        <f t="shared" si="84"/>
        <v>0</v>
      </c>
    </row>
    <row r="85" spans="1:37" x14ac:dyDescent="0.25">
      <c r="A85" s="210" t="s">
        <v>108</v>
      </c>
      <c r="B85" s="202">
        <f>VLOOKUP($A85,Costdrivere!$A$1:$G$128,2,FALSE)</f>
        <v>280091.46618174901</v>
      </c>
      <c r="C85" s="203">
        <f>VLOOKUP($A85,Costdrivere!$A$1:$G$128,3,FALSE)</f>
        <v>708736.07</v>
      </c>
      <c r="D85" s="203">
        <f>VLOOKUP($A85,Costdrivere!$A$1:$G$128,4,FALSE)</f>
        <v>178851</v>
      </c>
      <c r="E85" s="203">
        <f>VLOOKUP($A85,Costdrivere!$A$1:$G$128,5,FALSE)</f>
        <v>319713</v>
      </c>
      <c r="F85" s="203">
        <f>VLOOKUP($A85,Costdrivere!$A$1:$G$128,6,FALSE)</f>
        <v>496349.00000000006</v>
      </c>
      <c r="G85" s="203">
        <f>VLOOKUP($A85,Costdrivere!$A$1:$G$128,7,FALSE)</f>
        <v>605042.20000000007</v>
      </c>
      <c r="H85" s="25">
        <v>30.963003042825335</v>
      </c>
      <c r="I85" s="15">
        <f>VLOOKUP(A85,Costdrivere!$A$1:$H$128,8,FALSE)</f>
        <v>5.1126582278481013E-2</v>
      </c>
      <c r="J85" s="32">
        <f t="shared" si="44"/>
        <v>2588782.736181749</v>
      </c>
      <c r="K85" s="33">
        <f t="shared" si="45"/>
        <v>2931366.8525814712</v>
      </c>
      <c r="L85" s="33">
        <f t="shared" si="46"/>
        <v>3633248.9555158238</v>
      </c>
      <c r="M85" s="32">
        <f>J85+'Potentialer og krav'!F84</f>
        <v>2588782.736181749</v>
      </c>
      <c r="N85" s="33">
        <f t="shared" si="75"/>
        <v>2931366.8525814712</v>
      </c>
      <c r="O85" s="43">
        <f t="shared" si="76"/>
        <v>3633248.9555158238</v>
      </c>
      <c r="P85" s="33">
        <f>M85+(0.25*'Potentialer og krav'!$C84)</f>
        <v>3312697.986181749</v>
      </c>
      <c r="Q85" s="33">
        <f>N85+(0.25*'Potentialer og krav'!$C84)</f>
        <v>3655282.1025814712</v>
      </c>
      <c r="R85" s="33">
        <f>O85+(0.25*'Potentialer og krav'!$C84)</f>
        <v>4357164.2055158243</v>
      </c>
      <c r="S85" s="24">
        <v>2457762</v>
      </c>
      <c r="T85" s="24">
        <f t="shared" si="47"/>
        <v>2533952.622</v>
      </c>
      <c r="V85" s="216">
        <f t="shared" si="55"/>
        <v>0.1081942730330711</v>
      </c>
      <c r="W85" s="217">
        <f t="shared" si="56"/>
        <v>0.27377193925718535</v>
      </c>
      <c r="X85" s="217">
        <f t="shared" si="57"/>
        <v>6.9086910037028118E-2</v>
      </c>
      <c r="Y85" s="217">
        <f t="shared" si="58"/>
        <v>0.12349935571323824</v>
      </c>
      <c r="Z85" s="217">
        <f t="shared" si="59"/>
        <v>0.19173065126820021</v>
      </c>
      <c r="AA85" s="218">
        <f t="shared" si="60"/>
        <v>0.233716870691277</v>
      </c>
      <c r="AC85" s="216">
        <f t="shared" si="77"/>
        <v>9.0950086475648645E-3</v>
      </c>
      <c r="AD85" s="217">
        <f t="shared" si="78"/>
        <v>2.0851320924233363E-2</v>
      </c>
      <c r="AE85" s="217">
        <f t="shared" si="79"/>
        <v>-2.2315092443859333E-2</v>
      </c>
      <c r="AF85" s="217">
        <f t="shared" si="80"/>
        <v>0.10495961355585016</v>
      </c>
      <c r="AG85" s="217">
        <f t="shared" si="81"/>
        <v>-4.3665655323963493E-2</v>
      </c>
      <c r="AH85" s="218">
        <f t="shared" si="82"/>
        <v>-7.0402603608704178E-2</v>
      </c>
      <c r="AI85" s="11"/>
      <c r="AJ85" s="214">
        <f t="shared" si="83"/>
        <v>-7.0402603608704178E-2</v>
      </c>
      <c r="AK85" s="215">
        <f t="shared" si="84"/>
        <v>-9.7992649574273876E-3</v>
      </c>
    </row>
    <row r="86" spans="1:37" x14ac:dyDescent="0.25">
      <c r="A86" s="210" t="s">
        <v>134</v>
      </c>
      <c r="B86" s="202">
        <f>VLOOKUP($A86,Costdrivere!$A$1:$G$128,2,FALSE)</f>
        <v>529391.19809171022</v>
      </c>
      <c r="C86" s="203">
        <f>VLOOKUP($A86,Costdrivere!$A$1:$G$128,3,FALSE)</f>
        <v>1015012.51</v>
      </c>
      <c r="D86" s="203">
        <f>VLOOKUP($A86,Costdrivere!$A$1:$G$128,4,FALSE)</f>
        <v>183844</v>
      </c>
      <c r="E86" s="203">
        <f>VLOOKUP($A86,Costdrivere!$A$1:$G$128,5,FALSE)</f>
        <v>1282057.7</v>
      </c>
      <c r="F86" s="203">
        <f>VLOOKUP($A86,Costdrivere!$A$1:$G$128,6,FALSE)</f>
        <v>786966.40000000014</v>
      </c>
      <c r="G86" s="203">
        <f>VLOOKUP($A86,Costdrivere!$A$1:$G$128,7,FALSE)</f>
        <v>769372.8</v>
      </c>
      <c r="H86" s="25">
        <v>29.95626980399333</v>
      </c>
      <c r="I86" s="15">
        <f>VLOOKUP(A86,Costdrivere!$A$1:$H$128,8,FALSE)</f>
        <v>2.4192180876118703E-2</v>
      </c>
      <c r="J86" s="32">
        <f t="shared" ref="J86:J112" si="85">SUM(B86:G86)</f>
        <v>4566644.6080917101</v>
      </c>
      <c r="K86" s="33">
        <f t="shared" ref="K86:K112" si="86">(0.575+0.018*H86)*J86</f>
        <v>5088214.1332737729</v>
      </c>
      <c r="L86" s="33">
        <f t="shared" ref="L86:L112" si="87">(0.711+13.544*I86)*J86</f>
        <v>4743186.0552216088</v>
      </c>
      <c r="M86" s="32">
        <f>J86+'Potentialer og krav'!F85</f>
        <v>4765054.6080917101</v>
      </c>
      <c r="N86" s="33">
        <f t="shared" si="75"/>
        <v>5309285.1061263587</v>
      </c>
      <c r="O86" s="43">
        <f t="shared" si="76"/>
        <v>4949266.3671313589</v>
      </c>
      <c r="P86" s="33">
        <f>M86+(0.25*'Potentialer og krav'!$C85)</f>
        <v>6004575.8580917101</v>
      </c>
      <c r="Q86" s="33">
        <f>N86+(0.25*'Potentialer og krav'!$C85)</f>
        <v>6548806.3561263587</v>
      </c>
      <c r="R86" s="33">
        <f>O86+(0.25*'Potentialer og krav'!$C85)</f>
        <v>6188787.6171313589</v>
      </c>
      <c r="S86" s="24">
        <v>5450611</v>
      </c>
      <c r="T86" s="24">
        <f t="shared" ref="T86:T112" si="88">1.031*S86</f>
        <v>5619579.9409999996</v>
      </c>
      <c r="V86" s="216">
        <f t="shared" si="55"/>
        <v>0.11592563983491808</v>
      </c>
      <c r="W86" s="217">
        <f t="shared" si="56"/>
        <v>0.22226658676295571</v>
      </c>
      <c r="X86" s="217">
        <f t="shared" si="57"/>
        <v>4.025800467902492E-2</v>
      </c>
      <c r="Y86" s="217">
        <f t="shared" si="58"/>
        <v>0.28074391813374344</v>
      </c>
      <c r="Z86" s="217">
        <f t="shared" si="59"/>
        <v>0.17232924116879203</v>
      </c>
      <c r="AA86" s="218">
        <f t="shared" si="60"/>
        <v>0.16847660942056586</v>
      </c>
      <c r="AC86" s="216">
        <f t="shared" si="77"/>
        <v>1.3636418457178834E-3</v>
      </c>
      <c r="AD86" s="217">
        <f t="shared" si="78"/>
        <v>7.2356673418462997E-2</v>
      </c>
      <c r="AE86" s="217">
        <f t="shared" si="79"/>
        <v>6.5138129141438655E-3</v>
      </c>
      <c r="AF86" s="217">
        <f t="shared" si="80"/>
        <v>-5.228494886465504E-2</v>
      </c>
      <c r="AG86" s="217">
        <f t="shared" si="81"/>
        <v>-2.4264245224555309E-2</v>
      </c>
      <c r="AH86" s="218">
        <f t="shared" si="82"/>
        <v>-5.1623423379930367E-3</v>
      </c>
      <c r="AI86" s="11"/>
      <c r="AJ86" s="214">
        <f t="shared" si="83"/>
        <v>-5.1623423379930367E-3</v>
      </c>
      <c r="AK86" s="215">
        <f t="shared" si="84"/>
        <v>0</v>
      </c>
    </row>
    <row r="87" spans="1:37" x14ac:dyDescent="0.25">
      <c r="A87" s="210" t="s">
        <v>109</v>
      </c>
      <c r="B87" s="202">
        <f>VLOOKUP($A87,Costdrivere!$A$1:$G$128,2,FALSE)</f>
        <v>201215.24817864806</v>
      </c>
      <c r="C87" s="203">
        <f>VLOOKUP($A87,Costdrivere!$A$1:$G$128,3,FALSE)</f>
        <v>539421.95400000003</v>
      </c>
      <c r="D87" s="203">
        <f>VLOOKUP($A87,Costdrivere!$A$1:$G$128,4,FALSE)</f>
        <v>0</v>
      </c>
      <c r="E87" s="203">
        <f>VLOOKUP($A87,Costdrivere!$A$1:$G$128,5,FALSE)</f>
        <v>287337</v>
      </c>
      <c r="F87" s="203">
        <f>VLOOKUP($A87,Costdrivere!$A$1:$G$128,6,FALSE)</f>
        <v>287081.2</v>
      </c>
      <c r="G87" s="203">
        <f>VLOOKUP($A87,Costdrivere!$A$1:$G$128,7,FALSE)</f>
        <v>328661.2</v>
      </c>
      <c r="H87" s="25">
        <v>27.396900946061773</v>
      </c>
      <c r="I87" s="15">
        <f>VLOOKUP(A87,Costdrivere!$A$1:$H$128,8,FALSE)</f>
        <v>3.0901408450704226E-2</v>
      </c>
      <c r="J87" s="32">
        <f t="shared" si="85"/>
        <v>1643716.6021786481</v>
      </c>
      <c r="K87" s="33">
        <f t="shared" si="86"/>
        <v>1755726.3830518641</v>
      </c>
      <c r="L87" s="33">
        <f t="shared" si="87"/>
        <v>1856625.0374706711</v>
      </c>
      <c r="M87" s="32">
        <f>J87+'Potentialer og krav'!F86</f>
        <v>1643716.6021786481</v>
      </c>
      <c r="N87" s="33">
        <f t="shared" si="75"/>
        <v>1755726.3830518641</v>
      </c>
      <c r="O87" s="43">
        <f t="shared" si="76"/>
        <v>1856625.0374706711</v>
      </c>
      <c r="P87" s="33">
        <f>M87+(0.25*'Potentialer og krav'!$C86)</f>
        <v>2111349.3521786481</v>
      </c>
      <c r="Q87" s="33">
        <f>N87+(0.25*'Potentialer og krav'!$C86)</f>
        <v>2223359.1330518639</v>
      </c>
      <c r="R87" s="33">
        <f>O87+(0.25*'Potentialer og krav'!$C86)</f>
        <v>2324257.7874706713</v>
      </c>
      <c r="S87" s="24">
        <v>1276031</v>
      </c>
      <c r="T87" s="24">
        <f t="shared" si="88"/>
        <v>1315587.9609999999</v>
      </c>
      <c r="V87" s="216">
        <f t="shared" si="55"/>
        <v>0.12241480551571315</v>
      </c>
      <c r="W87" s="217">
        <f t="shared" si="56"/>
        <v>0.32817211512314742</v>
      </c>
      <c r="X87" s="217">
        <f t="shared" si="57"/>
        <v>0</v>
      </c>
      <c r="Y87" s="217">
        <f t="shared" si="58"/>
        <v>0.17480933125524922</v>
      </c>
      <c r="Z87" s="217">
        <f t="shared" si="59"/>
        <v>0.17465370832142904</v>
      </c>
      <c r="AA87" s="218">
        <f t="shared" si="60"/>
        <v>0.19995003978446116</v>
      </c>
      <c r="AC87" s="216">
        <f t="shared" si="77"/>
        <v>-5.1255238350771948E-3</v>
      </c>
      <c r="AD87" s="217">
        <f t="shared" si="78"/>
        <v>-3.3548854941728712E-2</v>
      </c>
      <c r="AE87" s="217">
        <f t="shared" si="79"/>
        <v>4.6771817593168785E-2</v>
      </c>
      <c r="AF87" s="217">
        <f t="shared" si="80"/>
        <v>5.3649638013839179E-2</v>
      </c>
      <c r="AG87" s="217">
        <f t="shared" si="81"/>
        <v>-2.658871237719232E-2</v>
      </c>
      <c r="AH87" s="218">
        <f t="shared" si="82"/>
        <v>-3.6635772701888336E-2</v>
      </c>
      <c r="AI87" s="11"/>
      <c r="AJ87" s="214">
        <f t="shared" si="83"/>
        <v>-3.6635772701888336E-2</v>
      </c>
      <c r="AK87" s="215">
        <f t="shared" si="84"/>
        <v>0</v>
      </c>
    </row>
    <row r="88" spans="1:37" x14ac:dyDescent="0.25">
      <c r="A88" s="210" t="s">
        <v>110</v>
      </c>
      <c r="B88" s="202">
        <f>VLOOKUP($A88,Costdrivere!$A$1:$G$128,2,FALSE)</f>
        <v>231157.03425575705</v>
      </c>
      <c r="C88" s="203">
        <f>VLOOKUP($A88,Costdrivere!$A$1:$G$128,3,FALSE)</f>
        <v>586975.79799999995</v>
      </c>
      <c r="D88" s="203">
        <f>VLOOKUP($A88,Costdrivere!$A$1:$G$128,4,FALSE)</f>
        <v>0</v>
      </c>
      <c r="E88" s="203">
        <f>VLOOKUP($A88,Costdrivere!$A$1:$G$128,5,FALSE)</f>
        <v>485640</v>
      </c>
      <c r="F88" s="203">
        <f>VLOOKUP($A88,Costdrivere!$A$1:$G$128,6,FALSE)</f>
        <v>432523.00000000006</v>
      </c>
      <c r="G88" s="203">
        <f>VLOOKUP($A88,Costdrivere!$A$1:$G$128,7,FALSE)</f>
        <v>477113.00000000006</v>
      </c>
      <c r="H88" s="25">
        <v>33.452036606297611</v>
      </c>
      <c r="I88" s="15">
        <f>VLOOKUP(A88,Costdrivere!$A$1:$H$128,8,FALSE)</f>
        <v>2.6541666666666668E-2</v>
      </c>
      <c r="J88" s="32">
        <f t="shared" si="85"/>
        <v>2213408.8322557569</v>
      </c>
      <c r="K88" s="33">
        <f t="shared" si="86"/>
        <v>2605484.6776108565</v>
      </c>
      <c r="L88" s="33">
        <f t="shared" si="87"/>
        <v>2369410.6245560865</v>
      </c>
      <c r="M88" s="32">
        <f>J88+'Potentialer og krav'!F87</f>
        <v>2213408.8322557569</v>
      </c>
      <c r="N88" s="33">
        <f t="shared" si="75"/>
        <v>2605484.6776108565</v>
      </c>
      <c r="O88" s="43">
        <f t="shared" si="76"/>
        <v>2369410.6245560865</v>
      </c>
      <c r="P88" s="33">
        <f>M88+(0.25*'Potentialer og krav'!$C87)</f>
        <v>2589140.0822557569</v>
      </c>
      <c r="Q88" s="33">
        <f>N88+(0.25*'Potentialer og krav'!$C87)</f>
        <v>2981215.9276108565</v>
      </c>
      <c r="R88" s="33">
        <f>O88+(0.25*'Potentialer og krav'!$C87)</f>
        <v>2745141.8745560865</v>
      </c>
      <c r="S88" s="24">
        <v>2388253</v>
      </c>
      <c r="T88" s="24">
        <f t="shared" si="88"/>
        <v>2462288.8429999999</v>
      </c>
      <c r="V88" s="216">
        <f t="shared" si="55"/>
        <v>0.1044348567183485</v>
      </c>
      <c r="W88" s="217">
        <f t="shared" si="56"/>
        <v>0.26519086282031046</v>
      </c>
      <c r="X88" s="217">
        <f t="shared" si="57"/>
        <v>0</v>
      </c>
      <c r="Y88" s="217">
        <f t="shared" si="58"/>
        <v>0.21940817842723997</v>
      </c>
      <c r="Z88" s="217">
        <f t="shared" si="59"/>
        <v>0.1954103524377834</v>
      </c>
      <c r="AA88" s="218">
        <f t="shared" si="60"/>
        <v>0.21555574959631776</v>
      </c>
      <c r="AC88" s="216">
        <f t="shared" si="77"/>
        <v>1.2854424962287461E-2</v>
      </c>
      <c r="AD88" s="217">
        <f t="shared" si="78"/>
        <v>2.9432397361108253E-2</v>
      </c>
      <c r="AE88" s="217">
        <f t="shared" si="79"/>
        <v>4.6771817593168785E-2</v>
      </c>
      <c r="AF88" s="217">
        <f t="shared" si="80"/>
        <v>9.0507908418484273E-3</v>
      </c>
      <c r="AG88" s="217">
        <f t="shared" si="81"/>
        <v>-4.7345356493546681E-2</v>
      </c>
      <c r="AH88" s="218">
        <f t="shared" si="82"/>
        <v>-5.2241482513744941E-2</v>
      </c>
      <c r="AI88" s="11"/>
      <c r="AJ88" s="214">
        <f t="shared" si="83"/>
        <v>-5.2241482513744941E-2</v>
      </c>
      <c r="AK88" s="215">
        <f t="shared" si="84"/>
        <v>0</v>
      </c>
    </row>
    <row r="89" spans="1:37" x14ac:dyDescent="0.25">
      <c r="A89" s="210" t="s">
        <v>111</v>
      </c>
      <c r="B89" s="202">
        <f>VLOOKUP($A89,Costdrivere!$A$1:$G$128,2,FALSE)</f>
        <v>360386.53053526999</v>
      </c>
      <c r="C89" s="203">
        <f>VLOOKUP($A89,Costdrivere!$A$1:$G$128,3,FALSE)</f>
        <v>933260.83100000001</v>
      </c>
      <c r="D89" s="203">
        <f>VLOOKUP($A89,Costdrivere!$A$1:$G$128,4,FALSE)</f>
        <v>0</v>
      </c>
      <c r="E89" s="203">
        <f>VLOOKUP($A89,Costdrivere!$A$1:$G$128,5,FALSE)</f>
        <v>809400</v>
      </c>
      <c r="F89" s="203">
        <f>VLOOKUP($A89,Costdrivere!$A$1:$G$128,6,FALSE)</f>
        <v>368697.00000000006</v>
      </c>
      <c r="G89" s="203">
        <f>VLOOKUP($A89,Costdrivere!$A$1:$G$128,7,FALSE)</f>
        <v>406707.00000000006</v>
      </c>
      <c r="H89" s="25">
        <v>22.669615254018396</v>
      </c>
      <c r="I89" s="15">
        <f>VLOOKUP(A89,Costdrivere!$A$1:$H$128,8,FALSE)</f>
        <v>1.3575E-2</v>
      </c>
      <c r="J89" s="32">
        <f t="shared" si="85"/>
        <v>2878451.3615352698</v>
      </c>
      <c r="K89" s="33">
        <f t="shared" si="86"/>
        <v>2829670.4609641596</v>
      </c>
      <c r="L89" s="33">
        <f t="shared" si="87"/>
        <v>2575810.4096931792</v>
      </c>
      <c r="M89" s="32">
        <f>J89+'Potentialer og krav'!F88</f>
        <v>2878451.3615352698</v>
      </c>
      <c r="N89" s="33">
        <f t="shared" si="75"/>
        <v>2829670.4609641596</v>
      </c>
      <c r="O89" s="43">
        <f t="shared" si="76"/>
        <v>2575810.4096931792</v>
      </c>
      <c r="P89" s="33">
        <f>M89+(0.25*'Potentialer og krav'!$C88)</f>
        <v>3509470.3615352698</v>
      </c>
      <c r="Q89" s="33">
        <f>N89+(0.25*'Potentialer og krav'!$C88)</f>
        <v>3460689.4609641596</v>
      </c>
      <c r="R89" s="33">
        <f>O89+(0.25*'Potentialer og krav'!$C88)</f>
        <v>3206829.4096931792</v>
      </c>
      <c r="S89" s="24">
        <v>2313180</v>
      </c>
      <c r="T89" s="24">
        <f t="shared" si="88"/>
        <v>2384888.5799999996</v>
      </c>
      <c r="V89" s="216">
        <f t="shared" si="55"/>
        <v>0.12520153557260452</v>
      </c>
      <c r="W89" s="217">
        <f t="shared" si="56"/>
        <v>0.32422324152186816</v>
      </c>
      <c r="X89" s="217">
        <f t="shared" si="57"/>
        <v>0</v>
      </c>
      <c r="Y89" s="217">
        <f t="shared" si="58"/>
        <v>0.28119287017179023</v>
      </c>
      <c r="Z89" s="217">
        <f t="shared" si="59"/>
        <v>0.12808866772143387</v>
      </c>
      <c r="AA89" s="218">
        <f t="shared" si="60"/>
        <v>0.14129368501230333</v>
      </c>
      <c r="AC89" s="216">
        <f t="shared" si="77"/>
        <v>-7.9122538919685625E-3</v>
      </c>
      <c r="AD89" s="217">
        <f t="shared" si="78"/>
        <v>-2.9599981340449444E-2</v>
      </c>
      <c r="AE89" s="217">
        <f t="shared" si="79"/>
        <v>4.6771817593168785E-2</v>
      </c>
      <c r="AF89" s="217">
        <f t="shared" si="80"/>
        <v>-5.273390090270183E-2</v>
      </c>
      <c r="AG89" s="217">
        <f t="shared" si="81"/>
        <v>1.9976328222802847E-2</v>
      </c>
      <c r="AH89" s="218">
        <f t="shared" si="82"/>
        <v>2.2020582070269495E-2</v>
      </c>
      <c r="AI89" s="11"/>
      <c r="AJ89" s="214">
        <f t="shared" si="83"/>
        <v>2.2020582070269495E-2</v>
      </c>
      <c r="AK89" s="215">
        <f t="shared" si="84"/>
        <v>0</v>
      </c>
    </row>
    <row r="90" spans="1:37" x14ac:dyDescent="0.25">
      <c r="A90" s="210" t="s">
        <v>113</v>
      </c>
      <c r="B90" s="202">
        <f>VLOOKUP($A90,Costdrivere!$A$1:$G$128,2,FALSE)</f>
        <v>3512.1717851650974</v>
      </c>
      <c r="C90" s="203">
        <f>VLOOKUP($A90,Costdrivere!$A$1:$G$128,3,FALSE)</f>
        <v>6477.808</v>
      </c>
      <c r="D90" s="203">
        <f>VLOOKUP($A90,Costdrivere!$A$1:$G$128,4,FALSE)</f>
        <v>0</v>
      </c>
      <c r="E90" s="203">
        <f>VLOOKUP($A90,Costdrivere!$A$1:$G$128,5,FALSE)</f>
        <v>12141</v>
      </c>
      <c r="F90" s="203">
        <f>VLOOKUP($A90,Costdrivere!$A$1:$G$128,6,FALSE)</f>
        <v>4074.0000000000005</v>
      </c>
      <c r="G90" s="203">
        <f>VLOOKUP($A90,Costdrivere!$A$1:$G$128,7,FALSE)</f>
        <v>4494</v>
      </c>
      <c r="H90" s="25">
        <v>19</v>
      </c>
      <c r="I90" s="15">
        <f>VLOOKUP(A90,Costdrivere!$A$1:$H$128,8,FALSE)</f>
        <v>0.01</v>
      </c>
      <c r="J90" s="32">
        <f t="shared" si="85"/>
        <v>30698.979785165098</v>
      </c>
      <c r="K90" s="33">
        <f t="shared" si="86"/>
        <v>28150.964462996391</v>
      </c>
      <c r="L90" s="33">
        <f t="shared" si="87"/>
        <v>25984.844449355143</v>
      </c>
      <c r="M90" s="32">
        <f>J90+'Potentialer og krav'!F89</f>
        <v>30698.979785165098</v>
      </c>
      <c r="N90" s="33">
        <f t="shared" si="75"/>
        <v>28150.964462996391</v>
      </c>
      <c r="O90" s="43">
        <f t="shared" si="76"/>
        <v>25984.844449355143</v>
      </c>
      <c r="P90" s="33">
        <f>M90+(0.25*'Potentialer og krav'!$C89)</f>
        <v>34690.479785165095</v>
      </c>
      <c r="Q90" s="33">
        <f>N90+(0.25*'Potentialer og krav'!$C89)</f>
        <v>32142.464462996391</v>
      </c>
      <c r="R90" s="33">
        <f>O90+(0.25*'Potentialer og krav'!$C89)</f>
        <v>29976.344449355143</v>
      </c>
      <c r="S90" s="24">
        <v>55282</v>
      </c>
      <c r="T90" s="24">
        <f t="shared" si="88"/>
        <v>56995.741999999998</v>
      </c>
      <c r="V90" s="216">
        <f t="shared" ref="V90:V123" si="89">B90/(SUM($B90:$G90))</f>
        <v>0.11440679168310051</v>
      </c>
      <c r="W90" s="217">
        <f t="shared" ref="W90:W123" si="90">C90/(SUM($B90:$G90))</f>
        <v>0.21101053016525065</v>
      </c>
      <c r="X90" s="217">
        <f t="shared" ref="X90:X123" si="91">D90/(SUM($B90:$G90))</f>
        <v>0</v>
      </c>
      <c r="Y90" s="217">
        <f t="shared" ref="Y90:Y123" si="92">E90/(SUM($B90:$G90))</f>
        <v>0.3954854553787806</v>
      </c>
      <c r="Z90" s="217">
        <f t="shared" ref="Z90:Z123" si="93">F90/(SUM($B90:$G90))</f>
        <v>0.13270799318121673</v>
      </c>
      <c r="AA90" s="218">
        <f t="shared" ref="AA90:AA123" si="94">G90/(SUM($B90:$G90))</f>
        <v>0.14638922959165143</v>
      </c>
      <c r="AC90" s="216">
        <f t="shared" si="77"/>
        <v>2.8824899975354451E-3</v>
      </c>
      <c r="AD90" s="217">
        <f t="shared" si="78"/>
        <v>8.3612730016168063E-2</v>
      </c>
      <c r="AE90" s="217">
        <f t="shared" si="79"/>
        <v>4.6771817593168785E-2</v>
      </c>
      <c r="AF90" s="217">
        <f t="shared" si="80"/>
        <v>-0.1670264861096922</v>
      </c>
      <c r="AG90" s="217">
        <f t="shared" si="81"/>
        <v>1.5357002763019989E-2</v>
      </c>
      <c r="AH90" s="218">
        <f t="shared" si="82"/>
        <v>1.6925037490921391E-2</v>
      </c>
      <c r="AI90" s="11"/>
      <c r="AJ90" s="214">
        <f t="shared" si="83"/>
        <v>1.6925037490921391E-2</v>
      </c>
      <c r="AK90" s="215">
        <f t="shared" si="84"/>
        <v>0</v>
      </c>
    </row>
    <row r="91" spans="1:37" x14ac:dyDescent="0.25">
      <c r="A91" s="210" t="s">
        <v>114</v>
      </c>
      <c r="B91" s="202">
        <f>VLOOKUP($A91,Costdrivere!$A$1:$G$128,2,FALSE)</f>
        <v>2008605.1692349645</v>
      </c>
      <c r="C91" s="203">
        <f>VLOOKUP($A91,Costdrivere!$A$1:$G$128,3,FALSE)</f>
        <v>5989045.7439999999</v>
      </c>
      <c r="D91" s="203">
        <f>VLOOKUP($A91,Costdrivere!$A$1:$G$128,4,FALSE)</f>
        <v>813483</v>
      </c>
      <c r="E91" s="203">
        <f>VLOOKUP($A91,Costdrivere!$A$1:$G$128,5,FALSE)</f>
        <v>4609533</v>
      </c>
      <c r="F91" s="203">
        <f>VLOOKUP($A91,Costdrivere!$A$1:$G$128,6,FALSE)</f>
        <v>2592422</v>
      </c>
      <c r="G91" s="203">
        <f>VLOOKUP($A91,Costdrivere!$A$1:$G$128,7,FALSE)</f>
        <v>3279122.0000000005</v>
      </c>
      <c r="H91" s="25">
        <v>30.31307524764766</v>
      </c>
      <c r="I91" s="15">
        <f>VLOOKUP(A91,Costdrivere!$A$1:$H$128,8,FALSE)</f>
        <v>1.9218612818261632E-2</v>
      </c>
      <c r="J91" s="32">
        <f t="shared" si="85"/>
        <v>19292210.913234964</v>
      </c>
      <c r="K91" s="33">
        <f t="shared" si="86"/>
        <v>21619533.615024962</v>
      </c>
      <c r="L91" s="33">
        <f t="shared" si="87"/>
        <v>18738464.500036858</v>
      </c>
      <c r="M91" s="32">
        <f>J91+'Potentialer og krav'!F90</f>
        <v>19767624.913234964</v>
      </c>
      <c r="N91" s="33">
        <f t="shared" si="75"/>
        <v>22152299.351429094</v>
      </c>
      <c r="O91" s="43">
        <f t="shared" si="76"/>
        <v>19200232.640655152</v>
      </c>
      <c r="P91" s="33">
        <f>M91+(0.25*'Potentialer og krav'!$C90)</f>
        <v>23471112.413234964</v>
      </c>
      <c r="Q91" s="33">
        <f>N91+(0.25*'Potentialer og krav'!$C90)</f>
        <v>25855786.851429094</v>
      </c>
      <c r="R91" s="33">
        <f>O91+(0.25*'Potentialer og krav'!$C90)</f>
        <v>22903720.140655152</v>
      </c>
      <c r="S91" s="24">
        <v>12568785</v>
      </c>
      <c r="T91" s="24">
        <f t="shared" si="88"/>
        <v>12958417.334999999</v>
      </c>
      <c r="V91" s="216">
        <f t="shared" si="89"/>
        <v>0.10411482531828473</v>
      </c>
      <c r="W91" s="217">
        <f t="shared" si="90"/>
        <v>0.31043853765310836</v>
      </c>
      <c r="X91" s="217">
        <f t="shared" si="91"/>
        <v>4.216639573652646E-2</v>
      </c>
      <c r="Y91" s="217">
        <f t="shared" si="92"/>
        <v>0.23893233495792537</v>
      </c>
      <c r="Z91" s="217">
        <f t="shared" si="93"/>
        <v>0.134376615083631</v>
      </c>
      <c r="AA91" s="218">
        <f t="shared" si="94"/>
        <v>0.16997129125052415</v>
      </c>
      <c r="AC91" s="216">
        <f t="shared" si="77"/>
        <v>1.3174456362351233E-2</v>
      </c>
      <c r="AD91" s="217">
        <f t="shared" si="78"/>
        <v>-1.5815277471689648E-2</v>
      </c>
      <c r="AE91" s="217">
        <f t="shared" si="79"/>
        <v>4.605421856642325E-3</v>
      </c>
      <c r="AF91" s="217">
        <f t="shared" si="80"/>
        <v>-1.0473365688836972E-2</v>
      </c>
      <c r="AG91" s="217">
        <f t="shared" si="81"/>
        <v>1.3688380860605726E-2</v>
      </c>
      <c r="AH91" s="218">
        <f t="shared" si="82"/>
        <v>-6.6570241679513309E-3</v>
      </c>
      <c r="AI91" s="11"/>
      <c r="AJ91" s="214">
        <f t="shared" si="83"/>
        <v>-6.6570241679513309E-3</v>
      </c>
      <c r="AK91" s="215">
        <f t="shared" si="84"/>
        <v>0</v>
      </c>
    </row>
    <row r="92" spans="1:37" x14ac:dyDescent="0.25">
      <c r="A92" s="210" t="s">
        <v>117</v>
      </c>
      <c r="B92" s="202">
        <f>VLOOKUP($A92,Costdrivere!$A$1:$G$128,2,FALSE)</f>
        <v>175192.68144129872</v>
      </c>
      <c r="C92" s="203">
        <f>VLOOKUP($A92,Costdrivere!$A$1:$G$128,3,FALSE)</f>
        <v>417668.60700000002</v>
      </c>
      <c r="D92" s="203">
        <f>VLOOKUP($A92,Costdrivere!$A$1:$G$128,4,FALSE)</f>
        <v>112938</v>
      </c>
      <c r="E92" s="203">
        <f>VLOOKUP($A92,Costdrivere!$A$1:$G$128,5,FALSE)</f>
        <v>326511.96000000002</v>
      </c>
      <c r="F92" s="203">
        <f>VLOOKUP($A92,Costdrivere!$A$1:$G$128,6,FALSE)</f>
        <v>188897.80000000002</v>
      </c>
      <c r="G92" s="203">
        <f>VLOOKUP($A92,Costdrivere!$A$1:$G$128,7,FALSE)</f>
        <v>240279.2</v>
      </c>
      <c r="H92" s="25">
        <v>25.894919058347313</v>
      </c>
      <c r="I92" s="15">
        <f>VLOOKUP(A92,Costdrivere!$A$1:$H$128,8,FALSE)</f>
        <v>1.9881011403073873E-2</v>
      </c>
      <c r="J92" s="32">
        <f t="shared" si="85"/>
        <v>1461488.2484412987</v>
      </c>
      <c r="K92" s="33">
        <f t="shared" si="86"/>
        <v>1521567.9010197846</v>
      </c>
      <c r="L92" s="33">
        <f t="shared" si="87"/>
        <v>1432650.7738729219</v>
      </c>
      <c r="M92" s="32">
        <f>J92+'Potentialer og krav'!F91</f>
        <v>1461488.2484412987</v>
      </c>
      <c r="N92" s="33">
        <f t="shared" si="75"/>
        <v>1521567.9010197846</v>
      </c>
      <c r="O92" s="43">
        <f t="shared" si="76"/>
        <v>1432650.7738729219</v>
      </c>
      <c r="P92" s="33">
        <f>M92+(0.25*'Potentialer og krav'!$C91)</f>
        <v>1860488.4984412987</v>
      </c>
      <c r="Q92" s="33">
        <f>N92+(0.25*'Potentialer og krav'!$C91)</f>
        <v>1920568.1510197846</v>
      </c>
      <c r="R92" s="33">
        <f>O92+(0.25*'Potentialer og krav'!$C91)</f>
        <v>1831651.0238729219</v>
      </c>
      <c r="S92" s="24">
        <v>1241822</v>
      </c>
      <c r="T92" s="24">
        <f t="shared" si="88"/>
        <v>1280318.4819999998</v>
      </c>
      <c r="V92" s="216">
        <f t="shared" si="89"/>
        <v>0.11987279516489072</v>
      </c>
      <c r="W92" s="217">
        <f t="shared" si="90"/>
        <v>0.2857830758786124</v>
      </c>
      <c r="X92" s="217">
        <f t="shared" si="91"/>
        <v>7.7276023341583649E-2</v>
      </c>
      <c r="Y92" s="217">
        <f t="shared" si="92"/>
        <v>0.22341059556806592</v>
      </c>
      <c r="Z92" s="217">
        <f t="shared" si="93"/>
        <v>0.12925030372393526</v>
      </c>
      <c r="AA92" s="218">
        <f t="shared" si="94"/>
        <v>0.16440720632291209</v>
      </c>
      <c r="AC92" s="216">
        <f t="shared" si="77"/>
        <v>-2.5835134842547569E-3</v>
      </c>
      <c r="AD92" s="217">
        <f t="shared" si="78"/>
        <v>8.8401843028063087E-3</v>
      </c>
      <c r="AE92" s="217">
        <f t="shared" si="79"/>
        <v>-3.0504205748414864E-2</v>
      </c>
      <c r="AF92" s="217">
        <f t="shared" si="80"/>
        <v>5.0483737010224849E-3</v>
      </c>
      <c r="AG92" s="217">
        <f t="shared" si="81"/>
        <v>1.8814692220301465E-2</v>
      </c>
      <c r="AH92" s="218">
        <f t="shared" si="82"/>
        <v>-1.0929392403392635E-3</v>
      </c>
      <c r="AI92" s="11"/>
      <c r="AJ92" s="214">
        <f t="shared" si="83"/>
        <v>-1.0929392403392635E-3</v>
      </c>
      <c r="AK92" s="215">
        <f t="shared" si="84"/>
        <v>0</v>
      </c>
    </row>
    <row r="93" spans="1:37" x14ac:dyDescent="0.25">
      <c r="A93" s="210" t="s">
        <v>118</v>
      </c>
      <c r="B93" s="202">
        <f>VLOOKUP($A93,Costdrivere!$A$1:$G$128,2,FALSE)</f>
        <v>137421.79709501195</v>
      </c>
      <c r="C93" s="203">
        <f>VLOOKUP($A93,Costdrivere!$A$1:$G$128,3,FALSE)</f>
        <v>335352.37800000003</v>
      </c>
      <c r="D93" s="203">
        <f>VLOOKUP($A93,Costdrivere!$A$1:$G$128,4,FALSE)</f>
        <v>106359</v>
      </c>
      <c r="E93" s="203">
        <f>VLOOKUP($A93,Costdrivere!$A$1:$G$128,5,FALSE)</f>
        <v>331854</v>
      </c>
      <c r="F93" s="203">
        <f>VLOOKUP($A93,Costdrivere!$A$1:$G$128,6,FALSE)</f>
        <v>119504.00000000001</v>
      </c>
      <c r="G93" s="203">
        <f>VLOOKUP($A93,Costdrivere!$A$1:$G$128,7,FALSE)</f>
        <v>134820</v>
      </c>
      <c r="H93" s="25">
        <v>25.862307402700019</v>
      </c>
      <c r="I93" s="15">
        <f>VLOOKUP(A93,Costdrivere!$A$1:$H$128,8,FALSE)</f>
        <v>1.097560975609756E-2</v>
      </c>
      <c r="J93" s="32">
        <f t="shared" si="85"/>
        <v>1165311.1750950119</v>
      </c>
      <c r="K93" s="33">
        <f t="shared" si="86"/>
        <v>1212531.3706215899</v>
      </c>
      <c r="L93" s="33">
        <f t="shared" si="87"/>
        <v>1001764.0150039943</v>
      </c>
      <c r="M93" s="32">
        <f>J93+'Potentialer og krav'!F92</f>
        <v>1165311.1750950119</v>
      </c>
      <c r="N93" s="33">
        <f t="shared" si="75"/>
        <v>1212531.3706215899</v>
      </c>
      <c r="O93" s="43">
        <f t="shared" si="76"/>
        <v>1001764.0150039943</v>
      </c>
      <c r="P93" s="33">
        <f>M93+(0.25*'Potentialer og krav'!$C92)</f>
        <v>1344406.4250950119</v>
      </c>
      <c r="Q93" s="33">
        <f>N93+(0.25*'Potentialer og krav'!$C92)</f>
        <v>1391626.6206215899</v>
      </c>
      <c r="R93" s="33">
        <f>O93+(0.25*'Potentialer og krav'!$C92)</f>
        <v>1180859.2650039943</v>
      </c>
      <c r="S93" s="24">
        <v>592116</v>
      </c>
      <c r="T93" s="24">
        <f t="shared" si="88"/>
        <v>610471.5959999999</v>
      </c>
      <c r="V93" s="216">
        <f t="shared" si="89"/>
        <v>0.11792712541678618</v>
      </c>
      <c r="W93" s="217">
        <f t="shared" si="90"/>
        <v>0.28777925172875612</v>
      </c>
      <c r="X93" s="217">
        <f t="shared" si="91"/>
        <v>9.1270900230857377E-2</v>
      </c>
      <c r="Y93" s="217">
        <f t="shared" si="92"/>
        <v>0.28477715402750065</v>
      </c>
      <c r="Z93" s="217">
        <f t="shared" si="93"/>
        <v>0.10255114904416533</v>
      </c>
      <c r="AA93" s="218">
        <f t="shared" si="94"/>
        <v>0.11569441955193439</v>
      </c>
      <c r="AC93" s="216">
        <f t="shared" si="77"/>
        <v>-6.3784373615022316E-4</v>
      </c>
      <c r="AD93" s="217">
        <f t="shared" si="78"/>
        <v>6.8440084526625866E-3</v>
      </c>
      <c r="AE93" s="217">
        <f t="shared" si="79"/>
        <v>-4.4499082637688592E-2</v>
      </c>
      <c r="AF93" s="217">
        <f t="shared" si="80"/>
        <v>-5.6318184758412243E-2</v>
      </c>
      <c r="AG93" s="217">
        <f t="shared" si="81"/>
        <v>4.5513846900071389E-2</v>
      </c>
      <c r="AH93" s="218">
        <f t="shared" si="82"/>
        <v>4.7619847530638429E-2</v>
      </c>
      <c r="AI93" s="11"/>
      <c r="AJ93" s="214">
        <f t="shared" si="83"/>
        <v>4.7619847530638429E-2</v>
      </c>
      <c r="AK93" s="215">
        <f t="shared" si="84"/>
        <v>0</v>
      </c>
    </row>
    <row r="94" spans="1:37" x14ac:dyDescent="0.25">
      <c r="A94" s="210" t="s">
        <v>119</v>
      </c>
      <c r="B94" s="202">
        <f>VLOOKUP($A94,Costdrivere!$A$1:$G$128,2,FALSE)</f>
        <v>243118.59951937801</v>
      </c>
      <c r="C94" s="203">
        <f>VLOOKUP($A94,Costdrivere!$A$1:$G$128,3,FALSE)</f>
        <v>599105.299</v>
      </c>
      <c r="D94" s="203">
        <f>VLOOKUP($A94,Costdrivere!$A$1:$G$128,4,FALSE)</f>
        <v>212718</v>
      </c>
      <c r="E94" s="203">
        <f>VLOOKUP($A94,Costdrivere!$A$1:$G$128,5,FALSE)</f>
        <v>474389.33999999997</v>
      </c>
      <c r="F94" s="203">
        <f>VLOOKUP($A94,Costdrivere!$A$1:$G$128,6,FALSE)</f>
        <v>285994.80000000005</v>
      </c>
      <c r="G94" s="203">
        <f>VLOOKUP($A94,Costdrivere!$A$1:$G$128,7,FALSE)</f>
        <v>340195.80000000005</v>
      </c>
      <c r="H94" s="25">
        <v>33.818809929945218</v>
      </c>
      <c r="I94" s="15">
        <f>VLOOKUP(A94,Costdrivere!$A$1:$H$128,8,FALSE)</f>
        <v>1.937382699198089E-2</v>
      </c>
      <c r="J94" s="32">
        <f t="shared" si="85"/>
        <v>2155521.8385193781</v>
      </c>
      <c r="K94" s="33">
        <f t="shared" si="86"/>
        <v>2551574.3575698347</v>
      </c>
      <c r="L94" s="33">
        <f t="shared" si="87"/>
        <v>2098183.0451913606</v>
      </c>
      <c r="M94" s="32">
        <f>J94+'Potentialer og krav'!F93</f>
        <v>2155521.8385193781</v>
      </c>
      <c r="N94" s="33">
        <f t="shared" si="75"/>
        <v>2551574.3575698347</v>
      </c>
      <c r="O94" s="43">
        <f t="shared" si="76"/>
        <v>2098183.0451913606</v>
      </c>
      <c r="P94" s="33">
        <f>M94+(0.25*'Potentialer og krav'!$C93)</f>
        <v>2634078.0885193781</v>
      </c>
      <c r="Q94" s="33">
        <f>N94+(0.25*'Potentialer og krav'!$C93)</f>
        <v>3030130.6075698347</v>
      </c>
      <c r="R94" s="33">
        <f>O94+(0.25*'Potentialer og krav'!$C93)</f>
        <v>2576739.2951913606</v>
      </c>
      <c r="S94" s="24">
        <v>1615870</v>
      </c>
      <c r="T94" s="24">
        <f t="shared" si="88"/>
        <v>1665961.97</v>
      </c>
      <c r="V94" s="216">
        <f t="shared" si="89"/>
        <v>0.1127887433914265</v>
      </c>
      <c r="W94" s="217">
        <f t="shared" si="90"/>
        <v>0.27793979550284853</v>
      </c>
      <c r="X94" s="217">
        <f t="shared" si="91"/>
        <v>9.8685151873068186E-2</v>
      </c>
      <c r="Y94" s="217">
        <f t="shared" si="92"/>
        <v>0.22008097135580712</v>
      </c>
      <c r="Z94" s="217">
        <f t="shared" si="93"/>
        <v>0.13268007537165527</v>
      </c>
      <c r="AA94" s="218">
        <f t="shared" si="94"/>
        <v>0.15782526250519438</v>
      </c>
      <c r="AC94" s="216">
        <f t="shared" si="77"/>
        <v>4.5005382892094603E-3</v>
      </c>
      <c r="AD94" s="217">
        <f t="shared" si="78"/>
        <v>1.6683464678570181E-2</v>
      </c>
      <c r="AE94" s="217">
        <f t="shared" si="79"/>
        <v>-5.1913334279899401E-2</v>
      </c>
      <c r="AF94" s="217">
        <f t="shared" si="80"/>
        <v>8.3779979132812821E-3</v>
      </c>
      <c r="AG94" s="217">
        <f t="shared" si="81"/>
        <v>1.5384920572581451E-2</v>
      </c>
      <c r="AH94" s="218">
        <f t="shared" si="82"/>
        <v>5.4890045773784424E-3</v>
      </c>
      <c r="AI94" s="11"/>
      <c r="AJ94" s="214">
        <f t="shared" si="83"/>
        <v>5.4890045773784424E-3</v>
      </c>
      <c r="AK94" s="215">
        <f t="shared" si="84"/>
        <v>0</v>
      </c>
    </row>
    <row r="95" spans="1:37" x14ac:dyDescent="0.25">
      <c r="A95" s="210" t="s">
        <v>146</v>
      </c>
      <c r="B95" s="202">
        <f>VLOOKUP($A95,Costdrivere!$A$1:$G$128,2,FALSE)</f>
        <v>675769.53672220022</v>
      </c>
      <c r="C95" s="203">
        <f>VLOOKUP($A95,Costdrivere!$A$1:$G$128,3,FALSE)</f>
        <v>1823655.9269999999</v>
      </c>
      <c r="D95" s="203">
        <f>VLOOKUP($A95,Costdrivere!$A$1:$G$128,4,FALSE)</f>
        <v>361109</v>
      </c>
      <c r="E95" s="203">
        <f>VLOOKUP($A95,Costdrivere!$A$1:$G$128,5,FALSE)</f>
        <v>2237004.2000000002</v>
      </c>
      <c r="F95" s="203">
        <f>VLOOKUP($A95,Costdrivere!$A$1:$G$128,6,FALSE)</f>
        <v>565353.60000000009</v>
      </c>
      <c r="G95" s="203">
        <f>VLOOKUP($A95,Costdrivere!$A$1:$G$128,7,FALSE)</f>
        <v>898350.60000000009</v>
      </c>
      <c r="H95" s="25">
        <v>28.668027336551241</v>
      </c>
      <c r="I95" s="15">
        <f>VLOOKUP(A95,Costdrivere!$A$1:$H$128,8,FALSE)</f>
        <v>2.9820984584783689E-2</v>
      </c>
      <c r="J95" s="32">
        <f t="shared" si="85"/>
        <v>6561242.8637221996</v>
      </c>
      <c r="K95" s="33">
        <f t="shared" si="86"/>
        <v>7158476.6626611808</v>
      </c>
      <c r="L95" s="33">
        <f t="shared" si="87"/>
        <v>7315099.5868846141</v>
      </c>
      <c r="M95" s="32">
        <f>J95+'Potentialer og krav'!F94</f>
        <v>6842956.8637221996</v>
      </c>
      <c r="N95" s="33">
        <f t="shared" si="75"/>
        <v>7465833.5364167867</v>
      </c>
      <c r="O95" s="43">
        <f t="shared" si="76"/>
        <v>7629181.2338868612</v>
      </c>
      <c r="P95" s="33">
        <f>M95+(0.25*'Potentialer og krav'!$C94)</f>
        <v>8287912.6137221996</v>
      </c>
      <c r="Q95" s="33">
        <f>N95+(0.25*'Potentialer og krav'!$C94)</f>
        <v>8910789.2864167877</v>
      </c>
      <c r="R95" s="33">
        <f>O95+(0.25*'Potentialer og krav'!$C94)</f>
        <v>9074136.9838868603</v>
      </c>
      <c r="S95" s="24">
        <v>4477993.25</v>
      </c>
      <c r="T95" s="24">
        <f t="shared" si="88"/>
        <v>4616811.0407499997</v>
      </c>
      <c r="V95" s="216">
        <f t="shared" si="89"/>
        <v>0.10299413552554211</v>
      </c>
      <c r="W95" s="217">
        <f t="shared" si="90"/>
        <v>0.27794367086808885</v>
      </c>
      <c r="X95" s="217">
        <f t="shared" si="91"/>
        <v>5.5036676358470066E-2</v>
      </c>
      <c r="Y95" s="217">
        <f t="shared" si="92"/>
        <v>0.34094214258835492</v>
      </c>
      <c r="Z95" s="217">
        <f t="shared" si="93"/>
        <v>8.6165626199557324E-2</v>
      </c>
      <c r="AA95" s="218">
        <f t="shared" si="94"/>
        <v>0.13691774845998689</v>
      </c>
      <c r="AC95" s="216">
        <f t="shared" si="77"/>
        <v>1.4295146155093849E-2</v>
      </c>
      <c r="AD95" s="217">
        <f t="shared" si="78"/>
        <v>1.6679589313329857E-2</v>
      </c>
      <c r="AE95" s="217">
        <f t="shared" si="79"/>
        <v>-8.2648587653012806E-3</v>
      </c>
      <c r="AF95" s="217">
        <f t="shared" si="80"/>
        <v>-0.11248317331926652</v>
      </c>
      <c r="AG95" s="217">
        <f t="shared" si="81"/>
        <v>6.1899369744679397E-2</v>
      </c>
      <c r="AH95" s="218">
        <f t="shared" si="82"/>
        <v>2.6396518622585935E-2</v>
      </c>
      <c r="AI95" s="11"/>
      <c r="AJ95" s="214">
        <f t="shared" si="83"/>
        <v>2.6396518622585935E-2</v>
      </c>
      <c r="AK95" s="215">
        <f t="shared" si="84"/>
        <v>0</v>
      </c>
    </row>
    <row r="96" spans="1:37" s="6" customFormat="1" x14ac:dyDescent="0.25">
      <c r="A96" s="49" t="s">
        <v>175</v>
      </c>
      <c r="B96" s="204"/>
      <c r="C96" s="205"/>
      <c r="D96" s="205"/>
      <c r="E96" s="205"/>
      <c r="F96" s="205"/>
      <c r="G96" s="205"/>
      <c r="H96" s="29"/>
      <c r="I96" s="30"/>
      <c r="J96" s="34">
        <v>923173</v>
      </c>
      <c r="K96" s="342" t="s">
        <v>218</v>
      </c>
      <c r="L96" s="342" t="s">
        <v>218</v>
      </c>
      <c r="M96" s="344" t="s">
        <v>218</v>
      </c>
      <c r="N96" s="342" t="s">
        <v>218</v>
      </c>
      <c r="O96" s="342" t="s">
        <v>218</v>
      </c>
      <c r="P96" s="344" t="s">
        <v>218</v>
      </c>
      <c r="Q96" s="342" t="s">
        <v>218</v>
      </c>
      <c r="R96" s="342" t="s">
        <v>218</v>
      </c>
      <c r="S96" s="343" t="s">
        <v>218</v>
      </c>
      <c r="T96" s="343" t="s">
        <v>218</v>
      </c>
      <c r="U96" s="28"/>
      <c r="V96" s="219"/>
      <c r="W96" s="220"/>
      <c r="X96" s="220"/>
      <c r="Y96" s="220"/>
      <c r="Z96" s="220"/>
      <c r="AA96" s="221"/>
      <c r="AB96" s="28"/>
      <c r="AC96" s="219"/>
      <c r="AD96" s="220"/>
      <c r="AE96" s="220"/>
      <c r="AF96" s="220"/>
      <c r="AG96" s="220"/>
      <c r="AH96" s="221"/>
      <c r="AI96" s="12"/>
      <c r="AJ96" s="237"/>
      <c r="AK96" s="238"/>
    </row>
    <row r="97" spans="1:37" x14ac:dyDescent="0.25">
      <c r="A97" s="210" t="s">
        <v>120</v>
      </c>
      <c r="B97" s="202">
        <f>VLOOKUP($A97,Costdrivere!$A$1:$G$128,2,FALSE)</f>
        <v>432295.98986444372</v>
      </c>
      <c r="C97" s="203">
        <f>VLOOKUP($A97,Costdrivere!$A$1:$G$128,3,FALSE)</f>
        <v>1083424.679</v>
      </c>
      <c r="D97" s="203">
        <f>VLOOKUP($A97,Costdrivere!$A$1:$G$128,4,FALSE)</f>
        <v>0</v>
      </c>
      <c r="E97" s="203">
        <f>VLOOKUP($A97,Costdrivere!$A$1:$G$128,5,FALSE)</f>
        <v>214822.85399999996</v>
      </c>
      <c r="F97" s="203">
        <f>VLOOKUP($A97,Costdrivere!$A$1:$G$128,6,FALSE)</f>
        <v>218909.6</v>
      </c>
      <c r="G97" s="203">
        <f>VLOOKUP($A97,Costdrivere!$A$1:$G$128,7,FALSE)</f>
        <v>243874.40000000002</v>
      </c>
      <c r="H97" s="25">
        <v>24.38343275477602</v>
      </c>
      <c r="I97" s="15">
        <f>VLOOKUP(A97,Costdrivere!$A$1:$H$128,8,FALSE)</f>
        <v>3.0669530160883165E-2</v>
      </c>
      <c r="J97" s="32">
        <f t="shared" si="85"/>
        <v>2193327.5228644437</v>
      </c>
      <c r="K97" s="33">
        <f t="shared" si="86"/>
        <v>2223818.7005804186</v>
      </c>
      <c r="L97" s="33">
        <f t="shared" si="87"/>
        <v>2470538.0573447016</v>
      </c>
      <c r="M97" s="32">
        <f>J97+'Potentialer og krav'!F96</f>
        <v>2193327.5228644437</v>
      </c>
      <c r="N97" s="33">
        <f t="shared" si="75"/>
        <v>2223818.7005804186</v>
      </c>
      <c r="O97" s="43">
        <f t="shared" si="76"/>
        <v>2470538.0573447016</v>
      </c>
      <c r="P97" s="33">
        <f>M97+(0.25*'Potentialer og krav'!$C96)</f>
        <v>2581029.5228644437</v>
      </c>
      <c r="Q97" s="33">
        <f>N97+(0.25*'Potentialer og krav'!$C96)</f>
        <v>2611520.7005804186</v>
      </c>
      <c r="R97" s="33">
        <f>O97+(0.25*'Potentialer og krav'!$C96)</f>
        <v>2858240.0573447016</v>
      </c>
      <c r="S97" s="24">
        <v>1191575</v>
      </c>
      <c r="T97" s="24">
        <f t="shared" si="88"/>
        <v>1228513.825</v>
      </c>
      <c r="V97" s="216">
        <f t="shared" si="89"/>
        <v>0.19709595824515685</v>
      </c>
      <c r="W97" s="217">
        <f t="shared" si="90"/>
        <v>0.49396392818937873</v>
      </c>
      <c r="X97" s="217">
        <f t="shared" si="91"/>
        <v>0</v>
      </c>
      <c r="Y97" s="217">
        <f t="shared" si="92"/>
        <v>9.7943809923766167E-2</v>
      </c>
      <c r="Z97" s="217">
        <f t="shared" si="93"/>
        <v>9.9807072914540496E-2</v>
      </c>
      <c r="AA97" s="218">
        <f t="shared" si="94"/>
        <v>0.11118923072715776</v>
      </c>
      <c r="AC97" s="216">
        <f t="shared" ref="AC97:AH104" si="95">V$131-V97</f>
        <v>-7.9806676564520895E-2</v>
      </c>
      <c r="AD97" s="217">
        <f t="shared" si="95"/>
        <v>-0.19934066800796002</v>
      </c>
      <c r="AE97" s="217">
        <f t="shared" si="95"/>
        <v>4.6771817593168785E-2</v>
      </c>
      <c r="AF97" s="217">
        <f t="shared" si="95"/>
        <v>0.13051515934532223</v>
      </c>
      <c r="AG97" s="217">
        <f t="shared" si="95"/>
        <v>4.8257923029696226E-2</v>
      </c>
      <c r="AH97" s="218">
        <f t="shared" si="95"/>
        <v>5.2125036355415058E-2</v>
      </c>
      <c r="AI97" s="11"/>
      <c r="AJ97" s="214">
        <f t="shared" ref="AJ97:AJ108" si="96">$AA$131-AA97</f>
        <v>5.2125036355415058E-2</v>
      </c>
      <c r="AK97" s="215">
        <f t="shared" ref="AK97:AK108" si="97">IF(AJ97&lt;$AA$134,(AJ97-$AA$134)*0.7658,0)</f>
        <v>0</v>
      </c>
    </row>
    <row r="98" spans="1:37" x14ac:dyDescent="0.25">
      <c r="A98" s="210" t="s">
        <v>121</v>
      </c>
      <c r="B98" s="202">
        <f>VLOOKUP($A98,Costdrivere!$A$1:$G$128,2,FALSE)</f>
        <v>183707.07461867237</v>
      </c>
      <c r="C98" s="203">
        <f>VLOOKUP($A98,Costdrivere!$A$1:$G$128,3,FALSE)</f>
        <v>447959.13400000002</v>
      </c>
      <c r="D98" s="203">
        <f>VLOOKUP($A98,Costdrivere!$A$1:$G$128,4,FALSE)</f>
        <v>56469</v>
      </c>
      <c r="E98" s="203">
        <f>VLOOKUP($A98,Costdrivere!$A$1:$G$128,5,FALSE)</f>
        <v>356136</v>
      </c>
      <c r="F98" s="203">
        <f>VLOOKUP($A98,Costdrivere!$A$1:$G$128,6,FALSE)</f>
        <v>240094.40000000002</v>
      </c>
      <c r="G98" s="203">
        <f>VLOOKUP($A98,Costdrivere!$A$1:$G$128,7,FALSE)</f>
        <v>269789.80000000005</v>
      </c>
      <c r="H98" s="25">
        <v>30.366647593231995</v>
      </c>
      <c r="I98" s="15">
        <f>VLOOKUP(A98,Costdrivere!$A$1:$H$128,8,FALSE)</f>
        <v>2.046590909090909E-2</v>
      </c>
      <c r="J98" s="32">
        <f t="shared" si="85"/>
        <v>1554155.4086186725</v>
      </c>
      <c r="K98" s="33">
        <f t="shared" si="86"/>
        <v>1743140.1727312333</v>
      </c>
      <c r="L98" s="33">
        <f t="shared" si="87"/>
        <v>1535801.257103452</v>
      </c>
      <c r="M98" s="32">
        <f>J98+'Potentialer og krav'!F97</f>
        <v>1554155.4086186725</v>
      </c>
      <c r="N98" s="33">
        <f t="shared" si="75"/>
        <v>1743140.1727312333</v>
      </c>
      <c r="O98" s="43">
        <f t="shared" si="76"/>
        <v>1535801.257103452</v>
      </c>
      <c r="P98" s="33">
        <f>M98+(0.25*'Potentialer og krav'!$C97)</f>
        <v>1873819.4086186725</v>
      </c>
      <c r="Q98" s="33">
        <f>N98+(0.25*'Potentialer og krav'!$C97)</f>
        <v>2062804.1727312333</v>
      </c>
      <c r="R98" s="33">
        <f>O98+(0.25*'Potentialer og krav'!$C97)</f>
        <v>1855465.257103452</v>
      </c>
      <c r="S98" s="24">
        <v>1517363</v>
      </c>
      <c r="T98" s="24">
        <f t="shared" si="88"/>
        <v>1564401.2529999998</v>
      </c>
      <c r="V98" s="216">
        <f t="shared" si="89"/>
        <v>0.11820379969719406</v>
      </c>
      <c r="W98" s="217">
        <f t="shared" si="90"/>
        <v>0.28823316607580735</v>
      </c>
      <c r="X98" s="217">
        <f t="shared" si="91"/>
        <v>3.6334204215902347E-2</v>
      </c>
      <c r="Y98" s="217">
        <f t="shared" si="92"/>
        <v>0.22915082881996487</v>
      </c>
      <c r="Z98" s="217">
        <f t="shared" si="93"/>
        <v>0.15448545149895596</v>
      </c>
      <c r="AA98" s="218">
        <f t="shared" si="94"/>
        <v>0.17359254969217539</v>
      </c>
      <c r="AC98" s="216">
        <f t="shared" si="95"/>
        <v>-9.1451801655810516E-4</v>
      </c>
      <c r="AD98" s="217">
        <f t="shared" si="95"/>
        <v>6.3900941056113658E-3</v>
      </c>
      <c r="AE98" s="217">
        <f t="shared" si="95"/>
        <v>1.0437613377266439E-2</v>
      </c>
      <c r="AF98" s="217">
        <f t="shared" si="95"/>
        <v>-6.9185955087647244E-4</v>
      </c>
      <c r="AG98" s="217">
        <f t="shared" si="95"/>
        <v>-6.4204555547192343E-3</v>
      </c>
      <c r="AH98" s="218">
        <f t="shared" si="95"/>
        <v>-1.0278282609602563E-2</v>
      </c>
      <c r="AI98" s="11"/>
      <c r="AJ98" s="214">
        <f t="shared" si="96"/>
        <v>-1.0278282609602563E-2</v>
      </c>
      <c r="AK98" s="215">
        <f t="shared" si="97"/>
        <v>0</v>
      </c>
    </row>
    <row r="99" spans="1:37" x14ac:dyDescent="0.25">
      <c r="A99" s="210" t="s">
        <v>147</v>
      </c>
      <c r="B99" s="202">
        <f>VLOOKUP($A99,Costdrivere!$A$1:$G$128,2,FALSE)</f>
        <v>450712.18546538375</v>
      </c>
      <c r="C99" s="203">
        <f>VLOOKUP($A99,Costdrivere!$A$1:$G$128,3,FALSE)</f>
        <v>1157061.355</v>
      </c>
      <c r="D99" s="203">
        <f>VLOOKUP($A99,Costdrivere!$A$1:$G$128,4,FALSE)</f>
        <v>70906</v>
      </c>
      <c r="E99" s="203">
        <f>VLOOKUP($A99,Costdrivere!$A$1:$G$128,5,FALSE)</f>
        <v>3146307.6999999993</v>
      </c>
      <c r="F99" s="203">
        <f>VLOOKUP($A99,Costdrivere!$A$1:$G$128,6,FALSE)</f>
        <v>698419.4</v>
      </c>
      <c r="G99" s="203">
        <f>VLOOKUP($A99,Costdrivere!$A$1:$G$128,7,FALSE)</f>
        <v>770421.4</v>
      </c>
      <c r="H99" s="25">
        <v>34.213744599999998</v>
      </c>
      <c r="I99" s="15">
        <f>VLOOKUP(A99,Costdrivere!$A$1:$H$128,8,FALSE)</f>
        <v>4.6627379873073437E-2</v>
      </c>
      <c r="J99" s="32">
        <f t="shared" si="85"/>
        <v>6293828.0404653838</v>
      </c>
      <c r="K99" s="33">
        <f t="shared" si="86"/>
        <v>7494988.7756580142</v>
      </c>
      <c r="L99" s="33">
        <f t="shared" si="87"/>
        <v>8449597.7811812665</v>
      </c>
      <c r="M99" s="32">
        <f>J99+'Potentialer og krav'!F98</f>
        <v>6293828.0404653838</v>
      </c>
      <c r="N99" s="33">
        <f t="shared" si="75"/>
        <v>7494988.7756580142</v>
      </c>
      <c r="O99" s="43">
        <f t="shared" si="76"/>
        <v>8449597.7811812665</v>
      </c>
      <c r="P99" s="33">
        <f>M99+(0.25*'Potentialer og krav'!$C98)</f>
        <v>7709698.2904653838</v>
      </c>
      <c r="Q99" s="33">
        <f>N99+(0.25*'Potentialer og krav'!$C98)</f>
        <v>8910859.0256580152</v>
      </c>
      <c r="R99" s="33">
        <f>O99+(0.25*'Potentialer og krav'!$C98)</f>
        <v>9865468.0311812665</v>
      </c>
      <c r="S99" s="24">
        <v>4215562</v>
      </c>
      <c r="T99" s="24">
        <f t="shared" si="88"/>
        <v>4346244.4219999993</v>
      </c>
      <c r="V99" s="216">
        <f t="shared" si="89"/>
        <v>7.1611773084295574E-2</v>
      </c>
      <c r="W99" s="217">
        <f t="shared" si="90"/>
        <v>0.18384063682083751</v>
      </c>
      <c r="X99" s="217">
        <f t="shared" si="91"/>
        <v>1.1265957624536086E-2</v>
      </c>
      <c r="Y99" s="217">
        <f t="shared" si="92"/>
        <v>0.49990366431545408</v>
      </c>
      <c r="Z99" s="217">
        <f t="shared" si="93"/>
        <v>0.11096893583834821</v>
      </c>
      <c r="AA99" s="218">
        <f t="shared" si="94"/>
        <v>0.12240903231652844</v>
      </c>
      <c r="AC99" s="216">
        <f t="shared" si="95"/>
        <v>4.5677508596340385E-2</v>
      </c>
      <c r="AD99" s="217">
        <f t="shared" si="95"/>
        <v>0.1107826233605812</v>
      </c>
      <c r="AE99" s="217">
        <f t="shared" si="95"/>
        <v>3.5505859968632703E-2</v>
      </c>
      <c r="AF99" s="217">
        <f t="shared" si="95"/>
        <v>-0.2714446950463657</v>
      </c>
      <c r="AG99" s="217">
        <f t="shared" si="95"/>
        <v>3.7096060105888506E-2</v>
      </c>
      <c r="AH99" s="218">
        <f t="shared" si="95"/>
        <v>4.0905234766044379E-2</v>
      </c>
      <c r="AI99" s="11"/>
      <c r="AJ99" s="214">
        <f t="shared" si="96"/>
        <v>4.0905234766044379E-2</v>
      </c>
      <c r="AK99" s="215">
        <f t="shared" si="97"/>
        <v>0</v>
      </c>
    </row>
    <row r="100" spans="1:37" x14ac:dyDescent="0.25">
      <c r="A100" s="210" t="s">
        <v>122</v>
      </c>
      <c r="B100" s="202">
        <f>VLOOKUP($A100,Costdrivere!$A$1:$G$128,2,FALSE)</f>
        <v>229183.44691434648</v>
      </c>
      <c r="C100" s="203">
        <f>VLOOKUP($A100,Costdrivere!$A$1:$G$128,3,FALSE)</f>
        <v>602486.652</v>
      </c>
      <c r="D100" s="203">
        <f>VLOOKUP($A100,Costdrivere!$A$1:$G$128,4,FALSE)</f>
        <v>0</v>
      </c>
      <c r="E100" s="203">
        <f>VLOOKUP($A100,Costdrivere!$A$1:$G$128,5,FALSE)</f>
        <v>0</v>
      </c>
      <c r="F100" s="203">
        <f>VLOOKUP($A100,Costdrivere!$A$1:$G$128,6,FALSE)</f>
        <v>0</v>
      </c>
      <c r="G100" s="203">
        <f>VLOOKUP($A100,Costdrivere!$A$1:$G$128,7,FALSE)</f>
        <v>0</v>
      </c>
      <c r="H100" s="25">
        <v>0</v>
      </c>
      <c r="I100" s="15">
        <f>VLOOKUP(A100,Costdrivere!$A$1:$H$128,8,FALSE)</f>
        <v>0</v>
      </c>
      <c r="J100" s="32">
        <f t="shared" si="85"/>
        <v>831670.09891434642</v>
      </c>
      <c r="K100" s="33">
        <f t="shared" si="86"/>
        <v>478210.30687574914</v>
      </c>
      <c r="L100" s="33">
        <v>0</v>
      </c>
      <c r="M100" s="32">
        <f>J100+'Potentialer og krav'!F99</f>
        <v>831670.09891434642</v>
      </c>
      <c r="N100" s="33">
        <f t="shared" si="75"/>
        <v>478210.30687574914</v>
      </c>
      <c r="O100" s="43">
        <f t="shared" si="76"/>
        <v>591317.44032810023</v>
      </c>
      <c r="P100" s="33">
        <f>M100+(0.25*'Potentialer og krav'!$C99)</f>
        <v>1031015.5989143464</v>
      </c>
      <c r="Q100" s="33">
        <f>N100+(0.25*'Potentialer og krav'!$C99)</f>
        <v>677555.80687574914</v>
      </c>
      <c r="R100" s="33">
        <f>O100+(0.25*'Potentialer og krav'!$C99)</f>
        <v>790662.94032810023</v>
      </c>
      <c r="S100" s="24">
        <v>866374</v>
      </c>
      <c r="T100" s="24">
        <f t="shared" si="88"/>
        <v>893231.59399999992</v>
      </c>
      <c r="V100" s="216">
        <f t="shared" si="89"/>
        <v>0.2755701415904217</v>
      </c>
      <c r="W100" s="217">
        <f t="shared" si="90"/>
        <v>0.7244298584095783</v>
      </c>
      <c r="X100" s="217">
        <f t="shared" si="91"/>
        <v>0</v>
      </c>
      <c r="Y100" s="217">
        <f t="shared" si="92"/>
        <v>0</v>
      </c>
      <c r="Z100" s="217">
        <f t="shared" si="93"/>
        <v>0</v>
      </c>
      <c r="AA100" s="218">
        <f t="shared" si="94"/>
        <v>0</v>
      </c>
      <c r="AC100" s="216">
        <f t="shared" si="95"/>
        <v>-0.15828085990978574</v>
      </c>
      <c r="AD100" s="217">
        <f t="shared" si="95"/>
        <v>-0.42980659822815959</v>
      </c>
      <c r="AE100" s="217">
        <f t="shared" si="95"/>
        <v>4.6771817593168785E-2</v>
      </c>
      <c r="AF100" s="217">
        <f t="shared" si="95"/>
        <v>0.2284589692690884</v>
      </c>
      <c r="AG100" s="217">
        <f t="shared" si="95"/>
        <v>0.14806499594423672</v>
      </c>
      <c r="AH100" s="218">
        <f t="shared" si="95"/>
        <v>0.16331426708257282</v>
      </c>
      <c r="AI100" s="11"/>
      <c r="AJ100" s="214">
        <f t="shared" si="96"/>
        <v>0.16331426708257282</v>
      </c>
      <c r="AK100" s="215">
        <f t="shared" si="97"/>
        <v>0</v>
      </c>
    </row>
    <row r="101" spans="1:37" x14ac:dyDescent="0.25">
      <c r="A101" s="210" t="s">
        <v>124</v>
      </c>
      <c r="B101" s="202">
        <f>VLOOKUP($A101,Costdrivere!$A$1:$G$128,2,FALSE)</f>
        <v>0</v>
      </c>
      <c r="C101" s="203">
        <f>VLOOKUP($A101,Costdrivere!$A$1:$G$128,3,FALSE)</f>
        <v>0</v>
      </c>
      <c r="D101" s="203">
        <f>VLOOKUP($A101,Costdrivere!$A$1:$G$128,4,FALSE)</f>
        <v>0</v>
      </c>
      <c r="E101" s="203">
        <f>VLOOKUP($A101,Costdrivere!$A$1:$G$128,5,FALSE)</f>
        <v>242820</v>
      </c>
      <c r="F101" s="203">
        <f>VLOOKUP($A101,Costdrivere!$A$1:$G$128,6,FALSE)</f>
        <v>315056</v>
      </c>
      <c r="G101" s="203">
        <f>VLOOKUP($A101,Costdrivere!$A$1:$G$128,7,FALSE)</f>
        <v>347536</v>
      </c>
      <c r="H101" s="25">
        <v>28.054370895395305</v>
      </c>
      <c r="I101" s="15">
        <f>VLOOKUP(A101,Costdrivere!$A$1:$H$128,8,FALSE)</f>
        <v>3.8666666666666669E-2</v>
      </c>
      <c r="J101" s="32">
        <f t="shared" si="85"/>
        <v>905412</v>
      </c>
      <c r="K101" s="33">
        <f t="shared" si="86"/>
        <v>977825.65310054959</v>
      </c>
      <c r="L101" s="33">
        <f t="shared" si="87"/>
        <v>1117913.403616</v>
      </c>
      <c r="M101" s="32">
        <f>J101+'Potentialer og krav'!F100</f>
        <v>905412</v>
      </c>
      <c r="N101" s="33">
        <f t="shared" si="75"/>
        <v>977825.65310054959</v>
      </c>
      <c r="O101" s="43">
        <f t="shared" si="76"/>
        <v>1117913.403616</v>
      </c>
      <c r="P101" s="33">
        <f>M101+(0.25*'Potentialer og krav'!$C100)</f>
        <v>1271090</v>
      </c>
      <c r="Q101" s="33">
        <f>N101+(0.25*'Potentialer og krav'!$C100)</f>
        <v>1343503.6531005497</v>
      </c>
      <c r="R101" s="33">
        <f>O101+(0.25*'Potentialer og krav'!$C100)</f>
        <v>1483591.403616</v>
      </c>
      <c r="S101" s="24">
        <v>1598949</v>
      </c>
      <c r="T101" s="24">
        <f t="shared" si="88"/>
        <v>1648516.4189999998</v>
      </c>
      <c r="V101" s="216">
        <f t="shared" si="89"/>
        <v>0</v>
      </c>
      <c r="W101" s="217">
        <f t="shared" si="90"/>
        <v>0</v>
      </c>
      <c r="X101" s="217">
        <f t="shared" si="91"/>
        <v>0</v>
      </c>
      <c r="Y101" s="217">
        <f t="shared" si="92"/>
        <v>0.26818730036712568</v>
      </c>
      <c r="Z101" s="217">
        <f t="shared" si="93"/>
        <v>0.34796976404112162</v>
      </c>
      <c r="AA101" s="218">
        <f t="shared" si="94"/>
        <v>0.3838429355917527</v>
      </c>
      <c r="AC101" s="216">
        <f t="shared" si="95"/>
        <v>0.11728928168063596</v>
      </c>
      <c r="AD101" s="217">
        <f t="shared" si="95"/>
        <v>0.29462326018141871</v>
      </c>
      <c r="AE101" s="217">
        <f t="shared" si="95"/>
        <v>4.6771817593168785E-2</v>
      </c>
      <c r="AF101" s="217">
        <f t="shared" si="95"/>
        <v>-3.9728331098037278E-2</v>
      </c>
      <c r="AG101" s="217">
        <f t="shared" si="95"/>
        <v>-0.1999047680968849</v>
      </c>
      <c r="AH101" s="218">
        <f t="shared" si="95"/>
        <v>-0.22052866850917988</v>
      </c>
      <c r="AI101" s="11"/>
      <c r="AJ101" s="214">
        <f t="shared" si="96"/>
        <v>-0.22052866850917988</v>
      </c>
      <c r="AK101" s="215">
        <f t="shared" si="97"/>
        <v>-0.1247658054582117</v>
      </c>
    </row>
    <row r="102" spans="1:37" x14ac:dyDescent="0.25">
      <c r="A102" s="210" t="s">
        <v>125</v>
      </c>
      <c r="B102" s="202">
        <f>VLOOKUP($A102,Costdrivere!$A$1:$G$128,2,FALSE)</f>
        <v>166235.49011065956</v>
      </c>
      <c r="C102" s="203">
        <f>VLOOKUP($A102,Costdrivere!$A$1:$G$128,3,FALSE)</f>
        <v>419804.21899999998</v>
      </c>
      <c r="D102" s="203">
        <f>VLOOKUP($A102,Costdrivere!$A$1:$G$128,4,FALSE)</f>
        <v>272148</v>
      </c>
      <c r="E102" s="203">
        <f>VLOOKUP($A102,Costdrivere!$A$1:$G$128,5,FALSE)</f>
        <v>137824.63199999998</v>
      </c>
      <c r="F102" s="203">
        <f>VLOOKUP($A102,Costdrivere!$A$1:$G$128,6,FALSE)</f>
        <v>220675.00000000003</v>
      </c>
      <c r="G102" s="203">
        <f>VLOOKUP($A102,Costdrivere!$A$1:$G$128,7,FALSE)</f>
        <v>241627.40000000002</v>
      </c>
      <c r="H102" s="25">
        <v>32.733940043359816</v>
      </c>
      <c r="I102" s="15">
        <f>VLOOKUP(A102,Costdrivere!$A$1:$H$128,8,FALSE)</f>
        <v>4.7363166549213062E-2</v>
      </c>
      <c r="J102" s="32">
        <f t="shared" si="85"/>
        <v>1458314.7411106597</v>
      </c>
      <c r="K102" s="33">
        <f t="shared" si="86"/>
        <v>1697785.9475361833</v>
      </c>
      <c r="L102" s="33">
        <f t="shared" si="87"/>
        <v>1972351.3322234678</v>
      </c>
      <c r="M102" s="32">
        <f>J102+'Potentialer og krav'!F101</f>
        <v>1458314.7411106597</v>
      </c>
      <c r="N102" s="33">
        <f t="shared" si="75"/>
        <v>1697785.9475361833</v>
      </c>
      <c r="O102" s="43">
        <f t="shared" si="76"/>
        <v>1972351.3322234678</v>
      </c>
      <c r="P102" s="33">
        <f>M102+(0.25*'Potentialer og krav'!$C101)</f>
        <v>1762386.9911106597</v>
      </c>
      <c r="Q102" s="33">
        <f>N102+(0.25*'Potentialer og krav'!$C101)</f>
        <v>2001858.1975361833</v>
      </c>
      <c r="R102" s="33">
        <f>O102+(0.25*'Potentialer og krav'!$C101)</f>
        <v>2276423.5822234675</v>
      </c>
      <c r="S102" s="24">
        <v>1151621</v>
      </c>
      <c r="T102" s="24">
        <f t="shared" si="88"/>
        <v>1187321.2509999999</v>
      </c>
      <c r="V102" s="216">
        <f t="shared" si="89"/>
        <v>0.11399150363388208</v>
      </c>
      <c r="W102" s="217">
        <f t="shared" si="90"/>
        <v>0.2878694202050478</v>
      </c>
      <c r="X102" s="217">
        <f t="shared" si="91"/>
        <v>0.18661815061454481</v>
      </c>
      <c r="Y102" s="217">
        <f t="shared" si="92"/>
        <v>9.450952398316434E-2</v>
      </c>
      <c r="Z102" s="217">
        <f t="shared" si="93"/>
        <v>0.15132192919611637</v>
      </c>
      <c r="AA102" s="218">
        <f t="shared" si="94"/>
        <v>0.16568947236724454</v>
      </c>
      <c r="AC102" s="216">
        <f t="shared" si="95"/>
        <v>3.2977780467538798E-3</v>
      </c>
      <c r="AD102" s="217">
        <f t="shared" si="95"/>
        <v>6.7538399763709123E-3</v>
      </c>
      <c r="AE102" s="217">
        <f t="shared" si="95"/>
        <v>-0.13984633302137603</v>
      </c>
      <c r="AF102" s="217">
        <f t="shared" si="95"/>
        <v>0.13394944528592406</v>
      </c>
      <c r="AG102" s="217">
        <f t="shared" si="95"/>
        <v>-3.2569332518796457E-3</v>
      </c>
      <c r="AH102" s="218">
        <f t="shared" si="95"/>
        <v>-2.375205284671722E-3</v>
      </c>
      <c r="AI102" s="11"/>
      <c r="AJ102" s="214">
        <f t="shared" si="96"/>
        <v>-2.375205284671722E-3</v>
      </c>
      <c r="AK102" s="215">
        <f t="shared" si="97"/>
        <v>0</v>
      </c>
    </row>
    <row r="103" spans="1:37" x14ac:dyDescent="0.25">
      <c r="A103" s="210" t="s">
        <v>148</v>
      </c>
      <c r="B103" s="202">
        <f>VLOOKUP($A103,Costdrivere!$A$1:$G$128,2,FALSE)</f>
        <v>1209097.0734957797</v>
      </c>
      <c r="C103" s="203">
        <f>VLOOKUP($A103,Costdrivere!$A$1:$G$128,3,FALSE)</f>
        <v>3487813.7220000001</v>
      </c>
      <c r="D103" s="203">
        <f>VLOOKUP($A103,Costdrivere!$A$1:$G$128,4,FALSE)</f>
        <v>254750</v>
      </c>
      <c r="E103" s="203">
        <f>VLOOKUP($A103,Costdrivere!$A$1:$G$128,5,FALSE)</f>
        <v>4748778</v>
      </c>
      <c r="F103" s="203">
        <f>VLOOKUP($A103,Costdrivere!$A$1:$G$128,6,FALSE)</f>
        <v>1916138.2000000002</v>
      </c>
      <c r="G103" s="203">
        <f>VLOOKUP($A103,Costdrivere!$A$1:$G$128,7,FALSE)</f>
        <v>2104090.8000000003</v>
      </c>
      <c r="H103" s="25">
        <v>26.124443915546877</v>
      </c>
      <c r="I103" s="15">
        <f>VLOOKUP(A103,Costdrivere!$A$1:$H$128,8,FALSE)</f>
        <v>3.1213333333333333E-2</v>
      </c>
      <c r="J103" s="32">
        <f t="shared" si="85"/>
        <v>13720667.795495782</v>
      </c>
      <c r="K103" s="33">
        <f t="shared" si="86"/>
        <v>14341390.67594111</v>
      </c>
      <c r="L103" s="33">
        <f t="shared" si="87"/>
        <v>15555853.580471611</v>
      </c>
      <c r="M103" s="32">
        <f>J103+'Potentialer og krav'!F102</f>
        <v>13720667.795495782</v>
      </c>
      <c r="N103" s="33">
        <f t="shared" si="75"/>
        <v>14341390.67594111</v>
      </c>
      <c r="O103" s="43">
        <f t="shared" si="76"/>
        <v>15555853.580471611</v>
      </c>
      <c r="P103" s="33">
        <f>M103+(0.25*'Potentialer og krav'!$C102)</f>
        <v>17256376.545495782</v>
      </c>
      <c r="Q103" s="33">
        <f>N103+(0.25*'Potentialer og krav'!$C102)</f>
        <v>17877099.42594111</v>
      </c>
      <c r="R103" s="33">
        <f>O103+(0.25*'Potentialer og krav'!$C102)</f>
        <v>19091562.330471613</v>
      </c>
      <c r="S103" s="24">
        <v>15746401</v>
      </c>
      <c r="T103" s="24">
        <f t="shared" si="88"/>
        <v>16234539.430999998</v>
      </c>
      <c r="V103" s="216">
        <f t="shared" si="89"/>
        <v>8.81223196652791E-2</v>
      </c>
      <c r="W103" s="217">
        <f t="shared" si="90"/>
        <v>0.25420145535080874</v>
      </c>
      <c r="X103" s="217">
        <f t="shared" si="91"/>
        <v>1.8566880548163207E-2</v>
      </c>
      <c r="Y103" s="217">
        <f t="shared" si="92"/>
        <v>0.34610399951224879</v>
      </c>
      <c r="Z103" s="217">
        <f t="shared" si="93"/>
        <v>0.13965342128821381</v>
      </c>
      <c r="AA103" s="218">
        <f t="shared" si="94"/>
        <v>0.15335192363528624</v>
      </c>
      <c r="AC103" s="216">
        <f t="shared" si="95"/>
        <v>2.9166962015356859E-2</v>
      </c>
      <c r="AD103" s="217">
        <f t="shared" si="95"/>
        <v>4.0421804830609975E-2</v>
      </c>
      <c r="AE103" s="217">
        <f t="shared" si="95"/>
        <v>2.8204937045005578E-2</v>
      </c>
      <c r="AF103" s="217">
        <f t="shared" si="95"/>
        <v>-0.11764503024316039</v>
      </c>
      <c r="AG103" s="217">
        <f t="shared" si="95"/>
        <v>8.4115746560229077E-3</v>
      </c>
      <c r="AH103" s="218">
        <f t="shared" si="95"/>
        <v>9.9623434472865813E-3</v>
      </c>
      <c r="AI103" s="11"/>
      <c r="AJ103" s="214">
        <f t="shared" si="96"/>
        <v>9.9623434472865813E-3</v>
      </c>
      <c r="AK103" s="215">
        <f t="shared" si="97"/>
        <v>0</v>
      </c>
    </row>
    <row r="104" spans="1:37" x14ac:dyDescent="0.25">
      <c r="A104" s="210" t="s">
        <v>126</v>
      </c>
      <c r="B104" s="202">
        <f>VLOOKUP($A104,Costdrivere!$A$1:$G$128,2,FALSE)</f>
        <v>352646.14740020345</v>
      </c>
      <c r="C104" s="203">
        <f>VLOOKUP($A104,Costdrivere!$A$1:$G$128,3,FALSE)</f>
        <v>914811.33699999994</v>
      </c>
      <c r="D104" s="203">
        <f>VLOOKUP($A104,Costdrivere!$A$1:$G$128,4,FALSE)</f>
        <v>35453</v>
      </c>
      <c r="E104" s="203">
        <f>VLOOKUP($A104,Costdrivere!$A$1:$G$128,5,FALSE)</f>
        <v>278441.69399999996</v>
      </c>
      <c r="F104" s="203">
        <f>VLOOKUP($A104,Costdrivere!$A$1:$G$128,6,FALSE)</f>
        <v>206959.2</v>
      </c>
      <c r="G104" s="203">
        <f>VLOOKUP($A104,Costdrivere!$A$1:$G$128,7,FALSE)</f>
        <v>228145.40000000002</v>
      </c>
      <c r="H104" s="25">
        <v>31.006422166257206</v>
      </c>
      <c r="I104" s="15">
        <f>VLOOKUP(A104,Costdrivere!$A$1:$H$128,8,FALSE)</f>
        <v>2.2135984419057592E-2</v>
      </c>
      <c r="J104" s="32">
        <f t="shared" si="85"/>
        <v>2016456.7784002032</v>
      </c>
      <c r="K104" s="33">
        <f t="shared" si="86"/>
        <v>2284878.6302996944</v>
      </c>
      <c r="L104" s="33">
        <f t="shared" si="87"/>
        <v>2038254.2183819874</v>
      </c>
      <c r="M104" s="32">
        <f>J104+'Potentialer og krav'!F103</f>
        <v>2016456.7784002032</v>
      </c>
      <c r="N104" s="33">
        <f t="shared" si="75"/>
        <v>2284878.6302996944</v>
      </c>
      <c r="O104" s="43">
        <f t="shared" si="76"/>
        <v>2038254.2183819874</v>
      </c>
      <c r="P104" s="33">
        <f>M104+(0.25*'Potentialer og krav'!$C103)</f>
        <v>2427268.2784002032</v>
      </c>
      <c r="Q104" s="33">
        <f>N104+(0.25*'Potentialer og krav'!$C103)</f>
        <v>2695690.1302996944</v>
      </c>
      <c r="R104" s="33">
        <f>O104+(0.25*'Potentialer og krav'!$C103)</f>
        <v>2449065.7183819874</v>
      </c>
      <c r="S104" s="24">
        <v>1462895</v>
      </c>
      <c r="T104" s="24">
        <f t="shared" si="88"/>
        <v>1508244.7449999999</v>
      </c>
      <c r="V104" s="216">
        <f t="shared" si="89"/>
        <v>0.17488405959287776</v>
      </c>
      <c r="W104" s="217">
        <f t="shared" si="90"/>
        <v>0.45367267317566012</v>
      </c>
      <c r="X104" s="217">
        <f t="shared" si="91"/>
        <v>1.7581829861053284E-2</v>
      </c>
      <c r="Y104" s="217">
        <f t="shared" si="92"/>
        <v>0.13808463289796238</v>
      </c>
      <c r="Z104" s="217">
        <f t="shared" si="93"/>
        <v>0.10263507862747015</v>
      </c>
      <c r="AA104" s="218">
        <f t="shared" si="94"/>
        <v>0.11314172584497635</v>
      </c>
      <c r="AC104" s="216">
        <f t="shared" si="95"/>
        <v>-5.7594777912241796E-2</v>
      </c>
      <c r="AD104" s="217">
        <f t="shared" si="95"/>
        <v>-0.15904941299424141</v>
      </c>
      <c r="AE104" s="217">
        <f t="shared" si="95"/>
        <v>2.9189987732115501E-2</v>
      </c>
      <c r="AF104" s="217">
        <f t="shared" si="95"/>
        <v>9.0374336371126018E-2</v>
      </c>
      <c r="AG104" s="217">
        <f t="shared" si="95"/>
        <v>4.5429917316766572E-2</v>
      </c>
      <c r="AH104" s="218">
        <f t="shared" si="95"/>
        <v>5.0172541237596471E-2</v>
      </c>
      <c r="AI104" s="11"/>
      <c r="AJ104" s="214">
        <f t="shared" si="96"/>
        <v>5.0172541237596471E-2</v>
      </c>
      <c r="AK104" s="215">
        <f t="shared" si="97"/>
        <v>0</v>
      </c>
    </row>
    <row r="105" spans="1:37" x14ac:dyDescent="0.25">
      <c r="A105" s="49" t="s">
        <v>128</v>
      </c>
      <c r="B105" s="204">
        <f>VLOOKUP($A105,Costdrivere!$A$1:$G$128,2,FALSE)</f>
        <v>159596.62341815894</v>
      </c>
      <c r="C105" s="205">
        <f>VLOOKUP($A105,Costdrivere!$A$1:$G$128,3,FALSE)</f>
        <v>0</v>
      </c>
      <c r="D105" s="205">
        <f>VLOOKUP($A105,Costdrivere!$A$1:$G$128,4,FALSE)</f>
        <v>0</v>
      </c>
      <c r="E105" s="205">
        <f>VLOOKUP($A105,Costdrivere!$A$1:$G$128,5,FALSE)</f>
        <v>0</v>
      </c>
      <c r="F105" s="205">
        <f>VLOOKUP($A105,Costdrivere!$A$1:$G$128,6,FALSE)</f>
        <v>0</v>
      </c>
      <c r="G105" s="205">
        <f>VLOOKUP($A105,Costdrivere!$A$1:$G$128,7,FALSE)</f>
        <v>208222.00000000003</v>
      </c>
      <c r="H105" s="29"/>
      <c r="I105" s="30">
        <f>VLOOKUP(A105,Costdrivere!$A$1:$H$128,8,FALSE)</f>
        <v>0</v>
      </c>
      <c r="J105" s="34">
        <v>567570</v>
      </c>
      <c r="K105" s="342" t="s">
        <v>218</v>
      </c>
      <c r="L105" s="342" t="s">
        <v>218</v>
      </c>
      <c r="M105" s="344" t="s">
        <v>218</v>
      </c>
      <c r="N105" s="342" t="s">
        <v>218</v>
      </c>
      <c r="O105" s="342" t="s">
        <v>218</v>
      </c>
      <c r="P105" s="344" t="s">
        <v>218</v>
      </c>
      <c r="Q105" s="342" t="s">
        <v>218</v>
      </c>
      <c r="R105" s="342" t="s">
        <v>218</v>
      </c>
      <c r="S105" s="31">
        <v>687186</v>
      </c>
      <c r="T105" s="31">
        <f t="shared" si="88"/>
        <v>708488.76599999995</v>
      </c>
      <c r="U105" s="28"/>
      <c r="V105" s="219"/>
      <c r="W105" s="220"/>
      <c r="X105" s="220"/>
      <c r="Y105" s="220"/>
      <c r="Z105" s="220"/>
      <c r="AA105" s="221"/>
      <c r="AB105" s="28"/>
      <c r="AC105" s="219"/>
      <c r="AD105" s="220"/>
      <c r="AE105" s="220"/>
      <c r="AF105" s="220"/>
      <c r="AG105" s="220"/>
      <c r="AH105" s="221"/>
      <c r="AI105" s="12"/>
      <c r="AJ105" s="237">
        <f t="shared" si="96"/>
        <v>0.16331426708257282</v>
      </c>
      <c r="AK105" s="238">
        <f t="shared" si="97"/>
        <v>0</v>
      </c>
    </row>
    <row r="106" spans="1:37" x14ac:dyDescent="0.25">
      <c r="A106" s="210" t="s">
        <v>129</v>
      </c>
      <c r="B106" s="202">
        <f>VLOOKUP($A106,Costdrivere!$A$1:$G$128,2,FALSE)</f>
        <v>1886823.6634255899</v>
      </c>
      <c r="C106" s="203">
        <f>VLOOKUP($A106,Costdrivere!$A$1:$G$128,3,FALSE)</f>
        <v>3482683.321</v>
      </c>
      <c r="D106" s="203">
        <f>VLOOKUP($A106,Costdrivere!$A$1:$G$128,4,FALSE)</f>
        <v>460889</v>
      </c>
      <c r="E106" s="203">
        <f>VLOOKUP($A106,Costdrivere!$A$1:$G$128,5,FALSE)</f>
        <v>5111527</v>
      </c>
      <c r="F106" s="203">
        <f>VLOOKUP($A106,Costdrivere!$A$1:$G$128,6,FALSE)</f>
        <v>1849584.8</v>
      </c>
      <c r="G106" s="203">
        <f>VLOOKUP($A106,Costdrivere!$A$1:$G$128,7,FALSE)</f>
        <v>1844637.2000000002</v>
      </c>
      <c r="H106" s="25">
        <v>30.167047714313174</v>
      </c>
      <c r="I106" s="15">
        <f>VLOOKUP(A106,Costdrivere!$A$1:$H$128,8,FALSE)</f>
        <v>1.1817658349328216E-2</v>
      </c>
      <c r="J106" s="32">
        <f t="shared" si="85"/>
        <v>14636144.984425589</v>
      </c>
      <c r="K106" s="33">
        <f t="shared" si="86"/>
        <v>16363310.479822613</v>
      </c>
      <c r="L106" s="33">
        <f t="shared" si="87"/>
        <v>12748936.515401457</v>
      </c>
      <c r="M106" s="32">
        <f>J106+'Potentialer og krav'!F105</f>
        <v>14729438.984425589</v>
      </c>
      <c r="N106" s="33">
        <f t="shared" si="75"/>
        <v>16467613.811712878</v>
      </c>
      <c r="O106" s="43">
        <f t="shared" si="76"/>
        <v>12830201.034476221</v>
      </c>
      <c r="P106" s="33">
        <f>M106+(0.25*'Potentialer og krav'!$C105)</f>
        <v>19057418.234425589</v>
      </c>
      <c r="Q106" s="33">
        <f>N106+(0.25*'Potentialer og krav'!$C105)</f>
        <v>20795593.061712876</v>
      </c>
      <c r="R106" s="33">
        <f>O106+(0.25*'Potentialer og krav'!$C105)</f>
        <v>17158180.284476221</v>
      </c>
      <c r="S106" s="24">
        <v>12658776</v>
      </c>
      <c r="T106" s="24">
        <f t="shared" si="88"/>
        <v>13051198.056</v>
      </c>
      <c r="V106" s="216">
        <f t="shared" si="89"/>
        <v>0.12891534385819287</v>
      </c>
      <c r="W106" s="217">
        <f t="shared" si="90"/>
        <v>0.23795086238254298</v>
      </c>
      <c r="X106" s="217">
        <f t="shared" si="91"/>
        <v>3.148978098334191E-2</v>
      </c>
      <c r="Y106" s="217">
        <f t="shared" si="92"/>
        <v>0.34923998125457262</v>
      </c>
      <c r="Z106" s="217">
        <f t="shared" si="93"/>
        <v>0.12637103567695965</v>
      </c>
      <c r="AA106" s="218">
        <f t="shared" si="94"/>
        <v>0.12603299584439001</v>
      </c>
      <c r="AC106" s="216">
        <f t="shared" ref="AC106:AH108" si="98">V$131-V106</f>
        <v>-1.1626062177556906E-2</v>
      </c>
      <c r="AD106" s="217">
        <f t="shared" si="98"/>
        <v>5.6672397798875729E-2</v>
      </c>
      <c r="AE106" s="217">
        <f t="shared" si="98"/>
        <v>1.5282036609826875E-2</v>
      </c>
      <c r="AF106" s="217">
        <f t="shared" si="98"/>
        <v>-0.12078101198548422</v>
      </c>
      <c r="AG106" s="217">
        <f t="shared" si="98"/>
        <v>2.1693960267277074E-2</v>
      </c>
      <c r="AH106" s="218">
        <f t="shared" si="98"/>
        <v>3.7281271238182812E-2</v>
      </c>
      <c r="AI106" s="11"/>
      <c r="AJ106" s="214">
        <f t="shared" si="96"/>
        <v>3.7281271238182812E-2</v>
      </c>
      <c r="AK106" s="215">
        <f t="shared" si="97"/>
        <v>0</v>
      </c>
    </row>
    <row r="107" spans="1:37" x14ac:dyDescent="0.25">
      <c r="A107" s="210" t="s">
        <v>130</v>
      </c>
      <c r="B107" s="202">
        <f>VLOOKUP($A107,Costdrivere!$A$1:$G$128,2,FALSE)</f>
        <v>238933.30920239529</v>
      </c>
      <c r="C107" s="203">
        <f>VLOOKUP($A107,Costdrivere!$A$1:$G$128,3,FALSE)</f>
        <v>607046.098</v>
      </c>
      <c r="D107" s="203">
        <f>VLOOKUP($A107,Costdrivere!$A$1:$G$128,4,FALSE)</f>
        <v>0</v>
      </c>
      <c r="E107" s="203">
        <f>VLOOKUP($A107,Costdrivere!$A$1:$G$128,5,FALSE)</f>
        <v>412794</v>
      </c>
      <c r="F107" s="203">
        <f>VLOOKUP($A107,Costdrivere!$A$1:$G$128,6,FALSE)</f>
        <v>245933.80000000002</v>
      </c>
      <c r="G107" s="203">
        <f>VLOOKUP($A107,Costdrivere!$A$1:$G$128,7,FALSE)</f>
        <v>271287.80000000005</v>
      </c>
      <c r="H107" s="25">
        <v>23.088797737990379</v>
      </c>
      <c r="I107" s="15">
        <f>VLOOKUP(A107,Costdrivere!$A$1:$H$128,8,FALSE)</f>
        <v>1.7754901960784313E-2</v>
      </c>
      <c r="J107" s="32">
        <f t="shared" si="85"/>
        <v>1775995.0072023952</v>
      </c>
      <c r="K107" s="33">
        <f t="shared" si="86"/>
        <v>1759297.7402309608</v>
      </c>
      <c r="L107" s="33">
        <f t="shared" si="87"/>
        <v>1689810.2179615076</v>
      </c>
      <c r="M107" s="32">
        <f>J107+'Potentialer og krav'!F106</f>
        <v>1775995.0072023952</v>
      </c>
      <c r="N107" s="33">
        <f t="shared" si="75"/>
        <v>1759297.7402309608</v>
      </c>
      <c r="O107" s="43">
        <f t="shared" si="76"/>
        <v>1689810.2179615076</v>
      </c>
      <c r="P107" s="33">
        <f>M107+(0.25*'Potentialer og krav'!$C106)</f>
        <v>2105120.2572023952</v>
      </c>
      <c r="Q107" s="33">
        <f>N107+(0.25*'Potentialer og krav'!$C106)</f>
        <v>2088422.9902309608</v>
      </c>
      <c r="R107" s="33">
        <f>O107+(0.25*'Potentialer og krav'!$C106)</f>
        <v>2018935.4679615076</v>
      </c>
      <c r="S107" s="24">
        <v>1805402</v>
      </c>
      <c r="T107" s="24">
        <f t="shared" si="88"/>
        <v>1861369.4619999998</v>
      </c>
      <c r="V107" s="216">
        <f t="shared" si="89"/>
        <v>0.1345348991598635</v>
      </c>
      <c r="W107" s="217">
        <f t="shared" si="90"/>
        <v>0.34180619626641778</v>
      </c>
      <c r="X107" s="217">
        <f t="shared" si="91"/>
        <v>0</v>
      </c>
      <c r="Y107" s="217">
        <f t="shared" si="92"/>
        <v>0.23242970747437317</v>
      </c>
      <c r="Z107" s="217">
        <f t="shared" si="93"/>
        <v>0.13847662803253197</v>
      </c>
      <c r="AA107" s="218">
        <f t="shared" si="94"/>
        <v>0.15275256906681361</v>
      </c>
      <c r="AC107" s="216">
        <f t="shared" si="98"/>
        <v>-1.7245617479227537E-2</v>
      </c>
      <c r="AD107" s="217">
        <f t="shared" si="98"/>
        <v>-4.7182936084999072E-2</v>
      </c>
      <c r="AE107" s="217">
        <f t="shared" si="98"/>
        <v>4.6771817593168785E-2</v>
      </c>
      <c r="AF107" s="217">
        <f t="shared" si="98"/>
        <v>-3.9707382052847628E-3</v>
      </c>
      <c r="AG107" s="217">
        <f t="shared" si="98"/>
        <v>9.5883679117047538E-3</v>
      </c>
      <c r="AH107" s="218">
        <f t="shared" si="98"/>
        <v>1.0561698015759208E-2</v>
      </c>
      <c r="AI107" s="11"/>
      <c r="AJ107" s="214">
        <f t="shared" si="96"/>
        <v>1.0561698015759208E-2</v>
      </c>
      <c r="AK107" s="215">
        <f t="shared" si="97"/>
        <v>0</v>
      </c>
    </row>
    <row r="108" spans="1:37" x14ac:dyDescent="0.25">
      <c r="A108" s="210" t="s">
        <v>170</v>
      </c>
      <c r="B108" s="202">
        <f>VLOOKUP($A108,Costdrivere!$A$1:$G$128,2,FALSE)</f>
        <v>148299.83709206106</v>
      </c>
      <c r="C108" s="203">
        <f>VLOOKUP($A108,Costdrivere!$A$1:$G$128,3,FALSE)</f>
        <v>344954.56699999998</v>
      </c>
      <c r="D108" s="203">
        <f>VLOOKUP($A108,Costdrivere!$A$1:$G$128,4,FALSE)</f>
        <v>0</v>
      </c>
      <c r="E108" s="203">
        <f>VLOOKUP($A108,Costdrivere!$A$1:$G$128,5,FALSE)</f>
        <v>121410</v>
      </c>
      <c r="F108" s="203">
        <f>VLOOKUP($A108,Costdrivere!$A$1:$G$128,6,FALSE)</f>
        <v>102664.8</v>
      </c>
      <c r="G108" s="203">
        <f>VLOOKUP($A108,Costdrivere!$A$1:$G$128,7,FALSE)</f>
        <v>113248.8</v>
      </c>
      <c r="H108" s="25">
        <v>24.380488892963633</v>
      </c>
      <c r="I108" s="15">
        <f>VLOOKUP(A108,Costdrivere!$A$1:$H$128,8,FALSE)</f>
        <v>2.52E-2</v>
      </c>
      <c r="J108" s="32">
        <f t="shared" si="85"/>
        <v>830578.00409206119</v>
      </c>
      <c r="K108" s="33">
        <f t="shared" si="86"/>
        <v>842080.51281605021</v>
      </c>
      <c r="L108" s="33">
        <f t="shared" si="87"/>
        <v>874024.54279251199</v>
      </c>
      <c r="M108" s="32">
        <f>J108+'Potentialer og krav'!F107</f>
        <v>830578.00409206119</v>
      </c>
      <c r="N108" s="33">
        <f t="shared" si="75"/>
        <v>842080.51281605021</v>
      </c>
      <c r="O108" s="43">
        <f t="shared" si="76"/>
        <v>874024.54279251199</v>
      </c>
      <c r="P108" s="33">
        <f>M108+(0.25*'Potentialer og krav'!$C107)</f>
        <v>943287.75409206119</v>
      </c>
      <c r="Q108" s="33">
        <f>N108+(0.25*'Potentialer og krav'!$C107)</f>
        <v>954790.26281605021</v>
      </c>
      <c r="R108" s="33">
        <f>O108+(0.25*'Potentialer og krav'!$C107)</f>
        <v>986734.29279251199</v>
      </c>
      <c r="S108" s="24">
        <v>649959</v>
      </c>
      <c r="T108" s="24">
        <f t="shared" si="88"/>
        <v>670107.72899999993</v>
      </c>
      <c r="V108" s="216">
        <f t="shared" si="89"/>
        <v>0.17855016188897715</v>
      </c>
      <c r="W108" s="217">
        <f t="shared" si="90"/>
        <v>0.41531868807082595</v>
      </c>
      <c r="X108" s="217">
        <f t="shared" si="91"/>
        <v>0</v>
      </c>
      <c r="Y108" s="217">
        <f t="shared" si="92"/>
        <v>0.14617531333823153</v>
      </c>
      <c r="Z108" s="217">
        <f t="shared" si="93"/>
        <v>0.1236064517651501</v>
      </c>
      <c r="AA108" s="218">
        <f t="shared" si="94"/>
        <v>0.13634938493681506</v>
      </c>
      <c r="AC108" s="216">
        <f t="shared" si="98"/>
        <v>-6.1260880208341195E-2</v>
      </c>
      <c r="AD108" s="217">
        <f t="shared" si="98"/>
        <v>-0.12069542788940724</v>
      </c>
      <c r="AE108" s="217">
        <f t="shared" si="98"/>
        <v>4.6771817593168785E-2</v>
      </c>
      <c r="AF108" s="217">
        <f t="shared" si="98"/>
        <v>8.2283655930856875E-2</v>
      </c>
      <c r="AG108" s="217">
        <f t="shared" si="98"/>
        <v>2.4458544179086619E-2</v>
      </c>
      <c r="AH108" s="218">
        <f t="shared" si="98"/>
        <v>2.6964882145757763E-2</v>
      </c>
      <c r="AI108" s="11"/>
      <c r="AJ108" s="214">
        <f t="shared" si="96"/>
        <v>2.6964882145757763E-2</v>
      </c>
      <c r="AK108" s="215">
        <f t="shared" si="97"/>
        <v>0</v>
      </c>
    </row>
    <row r="109" spans="1:37" s="6" customFormat="1" x14ac:dyDescent="0.25">
      <c r="A109" s="49" t="s">
        <v>176</v>
      </c>
      <c r="B109" s="204"/>
      <c r="C109" s="205"/>
      <c r="D109" s="205"/>
      <c r="E109" s="205"/>
      <c r="F109" s="205"/>
      <c r="G109" s="205"/>
      <c r="H109" s="29"/>
      <c r="I109" s="30"/>
      <c r="J109" s="34">
        <v>1949548</v>
      </c>
      <c r="K109" s="342" t="s">
        <v>218</v>
      </c>
      <c r="L109" s="342" t="s">
        <v>218</v>
      </c>
      <c r="M109" s="344" t="s">
        <v>218</v>
      </c>
      <c r="N109" s="342" t="s">
        <v>218</v>
      </c>
      <c r="O109" s="342" t="s">
        <v>218</v>
      </c>
      <c r="P109" s="344" t="s">
        <v>218</v>
      </c>
      <c r="Q109" s="342" t="s">
        <v>218</v>
      </c>
      <c r="R109" s="342" t="s">
        <v>218</v>
      </c>
      <c r="S109" s="343" t="s">
        <v>218</v>
      </c>
      <c r="T109" s="343" t="s">
        <v>218</v>
      </c>
      <c r="U109" s="28"/>
      <c r="V109" s="219"/>
      <c r="W109" s="220"/>
      <c r="X109" s="220"/>
      <c r="Y109" s="220"/>
      <c r="Z109" s="220"/>
      <c r="AA109" s="221"/>
      <c r="AB109" s="28"/>
      <c r="AC109" s="219"/>
      <c r="AD109" s="220"/>
      <c r="AE109" s="220"/>
      <c r="AF109" s="220"/>
      <c r="AG109" s="220"/>
      <c r="AH109" s="221"/>
      <c r="AI109" s="12"/>
      <c r="AJ109" s="237"/>
      <c r="AK109" s="238"/>
    </row>
    <row r="110" spans="1:37" x14ac:dyDescent="0.25">
      <c r="A110" s="210" t="s">
        <v>171</v>
      </c>
      <c r="B110" s="202">
        <f>VLOOKUP($A110,Costdrivere!$A$1:$G$128,2,FALSE)</f>
        <v>160145.03503045195</v>
      </c>
      <c r="C110" s="203">
        <f>VLOOKUP($A110,Costdrivere!$A$1:$G$128,3,FALSE)</f>
        <v>422212</v>
      </c>
      <c r="D110" s="203">
        <f>VLOOKUP($A110,Costdrivere!$A$1:$G$128,4,FALSE)</f>
        <v>0</v>
      </c>
      <c r="E110" s="203">
        <f>VLOOKUP($A110,Costdrivere!$A$1:$G$128,5,FALSE)</f>
        <v>194256</v>
      </c>
      <c r="F110" s="203">
        <f>VLOOKUP($A110,Costdrivere!$A$1:$G$128,6,FALSE)</f>
        <v>236699.40000000002</v>
      </c>
      <c r="G110" s="203">
        <f>VLOOKUP($A110,Costdrivere!$A$1:$G$128,7,FALSE)</f>
        <v>276081.40000000002</v>
      </c>
      <c r="H110" s="25">
        <v>29.936235812685695</v>
      </c>
      <c r="I110" s="15">
        <f>VLOOKUP(A110,Costdrivere!$A$1:$H$128,8,FALSE)</f>
        <v>3.839583333333333E-2</v>
      </c>
      <c r="J110" s="32">
        <f t="shared" si="85"/>
        <v>1289393.8350304519</v>
      </c>
      <c r="K110" s="33">
        <f t="shared" si="86"/>
        <v>1436194.2173586157</v>
      </c>
      <c r="L110" s="33">
        <f t="shared" si="87"/>
        <v>1587286.5758180148</v>
      </c>
      <c r="M110" s="32">
        <f>J110+'Potentialer og krav'!F109</f>
        <v>1289393.8350304519</v>
      </c>
      <c r="N110" s="33">
        <f t="shared" si="75"/>
        <v>1436194.2173586157</v>
      </c>
      <c r="O110" s="43">
        <f t="shared" si="76"/>
        <v>1587286.5758180148</v>
      </c>
      <c r="P110" s="33">
        <f>M110+(0.25*'Potentialer og krav'!$C109)</f>
        <v>1650386.5850304519</v>
      </c>
      <c r="Q110" s="33">
        <f>N110+(0.25*'Potentialer og krav'!$C109)</f>
        <v>1797186.9673586157</v>
      </c>
      <c r="R110" s="33">
        <f>O110+(0.25*'Potentialer og krav'!$C109)</f>
        <v>1948279.3258180148</v>
      </c>
      <c r="S110" s="24">
        <v>1540664</v>
      </c>
      <c r="T110" s="24">
        <f t="shared" si="88"/>
        <v>1588424.5839999998</v>
      </c>
      <c r="V110" s="216">
        <f t="shared" si="89"/>
        <v>0.12420179985323862</v>
      </c>
      <c r="W110" s="217">
        <f t="shared" si="90"/>
        <v>0.3274499912511436</v>
      </c>
      <c r="X110" s="217">
        <f t="shared" si="91"/>
        <v>0</v>
      </c>
      <c r="Y110" s="217">
        <f t="shared" si="92"/>
        <v>0.15065683945620248</v>
      </c>
      <c r="Z110" s="217">
        <f t="shared" si="93"/>
        <v>0.183574167619942</v>
      </c>
      <c r="AA110" s="218">
        <f t="shared" si="94"/>
        <v>0.21411720181947339</v>
      </c>
      <c r="AC110" s="216">
        <f t="shared" ref="AC110:AH110" si="99">V$131-V110</f>
        <v>-6.9125181726026608E-3</v>
      </c>
      <c r="AD110" s="217">
        <f t="shared" si="99"/>
        <v>-3.282673106972489E-2</v>
      </c>
      <c r="AE110" s="217">
        <f t="shared" si="99"/>
        <v>4.6771817593168785E-2</v>
      </c>
      <c r="AF110" s="217">
        <f t="shared" si="99"/>
        <v>7.7802129812885923E-2</v>
      </c>
      <c r="AG110" s="217">
        <f t="shared" si="99"/>
        <v>-3.5509171675705276E-2</v>
      </c>
      <c r="AH110" s="218">
        <f t="shared" si="99"/>
        <v>-5.0802934736900562E-2</v>
      </c>
      <c r="AI110" s="11"/>
      <c r="AJ110" s="214">
        <f t="shared" ref="AJ110:AJ124" si="100">$AA$131-AA110</f>
        <v>-5.0802934736900562E-2</v>
      </c>
      <c r="AK110" s="215">
        <f t="shared" ref="AK110:AK124" si="101">IF(AJ110&lt;$AA$134,(AJ110-$AA$134)*0.7658,0)</f>
        <v>0</v>
      </c>
    </row>
    <row r="111" spans="1:37" x14ac:dyDescent="0.25">
      <c r="A111" s="49" t="s">
        <v>149</v>
      </c>
      <c r="B111" s="204">
        <f>VLOOKUP($A111,Costdrivere!$A$1:$G$128,2,FALSE)</f>
        <v>0</v>
      </c>
      <c r="C111" s="205">
        <f>VLOOKUP($A111,Costdrivere!$A$1:$G$128,3,FALSE)</f>
        <v>0</v>
      </c>
      <c r="D111" s="205">
        <f>VLOOKUP($A111,Costdrivere!$A$1:$G$128,4,FALSE)</f>
        <v>0</v>
      </c>
      <c r="E111" s="205">
        <f>VLOOKUP($A111,Costdrivere!$A$1:$G$128,5,FALSE)</f>
        <v>0</v>
      </c>
      <c r="F111" s="205">
        <f>VLOOKUP($A111,Costdrivere!$A$1:$G$128,6,FALSE)</f>
        <v>0</v>
      </c>
      <c r="G111" s="205">
        <f>VLOOKUP($A111,Costdrivere!$A$1:$G$128,7,FALSE)</f>
        <v>0</v>
      </c>
      <c r="H111" s="29">
        <v>15.347707675464392</v>
      </c>
      <c r="I111" s="30">
        <f>VLOOKUP(A111,Costdrivere!$A$1:$H$128,8,FALSE)</f>
        <v>0</v>
      </c>
      <c r="J111" s="34">
        <v>1491911</v>
      </c>
      <c r="K111" s="342" t="s">
        <v>218</v>
      </c>
      <c r="L111" s="342" t="s">
        <v>218</v>
      </c>
      <c r="M111" s="344" t="s">
        <v>218</v>
      </c>
      <c r="N111" s="342" t="s">
        <v>218</v>
      </c>
      <c r="O111" s="342" t="s">
        <v>218</v>
      </c>
      <c r="P111" s="344" t="s">
        <v>218</v>
      </c>
      <c r="Q111" s="342" t="s">
        <v>218</v>
      </c>
      <c r="R111" s="342" t="s">
        <v>218</v>
      </c>
      <c r="S111" s="31">
        <v>755068</v>
      </c>
      <c r="T111" s="31">
        <f t="shared" si="88"/>
        <v>778475.10799999989</v>
      </c>
      <c r="U111" s="28"/>
      <c r="V111" s="219"/>
      <c r="W111" s="220"/>
      <c r="X111" s="220"/>
      <c r="Y111" s="220"/>
      <c r="Z111" s="220"/>
      <c r="AA111" s="221"/>
      <c r="AB111" s="28"/>
      <c r="AC111" s="219"/>
      <c r="AD111" s="220"/>
      <c r="AE111" s="220"/>
      <c r="AF111" s="220"/>
      <c r="AG111" s="220"/>
      <c r="AH111" s="221"/>
      <c r="AI111" s="12"/>
      <c r="AJ111" s="237">
        <f t="shared" si="100"/>
        <v>0.16331426708257282</v>
      </c>
      <c r="AK111" s="238">
        <f t="shared" si="101"/>
        <v>0</v>
      </c>
    </row>
    <row r="112" spans="1:37" x14ac:dyDescent="0.25">
      <c r="A112" s="210" t="s">
        <v>132</v>
      </c>
      <c r="B112" s="202">
        <f>VLOOKUP($A112,Costdrivere!$A$1:$G$128,2,FALSE)</f>
        <v>232113.12336571718</v>
      </c>
      <c r="C112" s="203">
        <f>VLOOKUP($A112,Costdrivere!$A$1:$G$128,3,FALSE)</f>
        <v>521563.55</v>
      </c>
      <c r="D112" s="203">
        <f>VLOOKUP($A112,Costdrivere!$A$1:$G$128,4,FALSE)</f>
        <v>0</v>
      </c>
      <c r="E112" s="203">
        <f>VLOOKUP($A112,Costdrivere!$A$1:$G$128,5,FALSE)</f>
        <v>639426</v>
      </c>
      <c r="F112" s="203">
        <f>VLOOKUP($A112,Costdrivere!$A$1:$G$128,6,FALSE)</f>
        <v>658222.60000000009</v>
      </c>
      <c r="G112" s="203">
        <f>VLOOKUP($A112,Costdrivere!$A$1:$G$128,7,FALSE)</f>
        <v>726080.60000000009</v>
      </c>
      <c r="H112" s="25">
        <v>33.840511730000003</v>
      </c>
      <c r="I112" s="15">
        <f>VLOOKUP(A112,Costdrivere!$A$1:$H$128,8,FALSE)</f>
        <v>3.0677215189873416E-2</v>
      </c>
      <c r="J112" s="32">
        <f t="shared" si="85"/>
        <v>2777405.8733657175</v>
      </c>
      <c r="K112" s="33">
        <f t="shared" si="86"/>
        <v>3288807.4258441497</v>
      </c>
      <c r="L112" s="33">
        <f t="shared" si="87"/>
        <v>3128726.0596120758</v>
      </c>
      <c r="M112" s="32">
        <f>J112+'Potentialer og krav'!F111</f>
        <v>2777405.8733657175</v>
      </c>
      <c r="N112" s="33">
        <f t="shared" si="75"/>
        <v>3288807.4258441497</v>
      </c>
      <c r="O112" s="43">
        <f t="shared" si="76"/>
        <v>3128726.0596120758</v>
      </c>
      <c r="P112" s="33">
        <f>M112+(0.25*'Potentialer og krav'!$C111)</f>
        <v>3817957.8733657175</v>
      </c>
      <c r="Q112" s="33">
        <f>N112+(0.25*'Potentialer og krav'!$C111)</f>
        <v>4329359.4258441497</v>
      </c>
      <c r="R112" s="33">
        <f>O112+(0.25*'Potentialer og krav'!$C111)</f>
        <v>4169278.0596120758</v>
      </c>
      <c r="S112" s="24">
        <v>3658317</v>
      </c>
      <c r="T112" s="24">
        <f t="shared" si="88"/>
        <v>3771724.8269999996</v>
      </c>
      <c r="V112" s="216">
        <f t="shared" si="89"/>
        <v>8.3571913486464158E-2</v>
      </c>
      <c r="W112" s="217">
        <f t="shared" si="90"/>
        <v>0.18778802010955589</v>
      </c>
      <c r="X112" s="217">
        <f t="shared" si="91"/>
        <v>0</v>
      </c>
      <c r="Y112" s="217">
        <f t="shared" si="92"/>
        <v>0.23022418370028519</v>
      </c>
      <c r="Z112" s="217">
        <f t="shared" si="93"/>
        <v>0.23699186579538425</v>
      </c>
      <c r="AA112" s="218">
        <f t="shared" si="94"/>
        <v>0.26142401690831046</v>
      </c>
      <c r="AC112" s="216">
        <f t="shared" ref="AC112:AC124" si="102">V$131-V112</f>
        <v>3.3717368194171801E-2</v>
      </c>
      <c r="AD112" s="217">
        <f t="shared" ref="AD112:AD124" si="103">W$131-W112</f>
        <v>0.10683524007186282</v>
      </c>
      <c r="AE112" s="217">
        <f t="shared" ref="AE112:AE124" si="104">X$131-X112</f>
        <v>4.6771817593168785E-2</v>
      </c>
      <c r="AF112" s="217">
        <f t="shared" ref="AF112:AF124" si="105">Y$131-Y112</f>
        <v>-1.7652144311967877E-3</v>
      </c>
      <c r="AG112" s="217">
        <f t="shared" ref="AG112:AG124" si="106">Z$131-Z112</f>
        <v>-8.8926869851147533E-2</v>
      </c>
      <c r="AH112" s="218">
        <f t="shared" ref="AH112:AH124" si="107">AA$131-AA112</f>
        <v>-9.8109749825737641E-2</v>
      </c>
      <c r="AI112" s="11"/>
      <c r="AJ112" s="214">
        <f t="shared" si="100"/>
        <v>-9.8109749825737641E-2</v>
      </c>
      <c r="AK112" s="215">
        <f t="shared" si="101"/>
        <v>-3.1017397530431614E-2</v>
      </c>
    </row>
    <row r="113" spans="1:37" x14ac:dyDescent="0.25">
      <c r="A113" s="210" t="s">
        <v>133</v>
      </c>
      <c r="B113" s="202">
        <f>VLOOKUP($A113,Costdrivere!$A$1:$G$128,2,FALSE)</f>
        <v>224222.03461422806</v>
      </c>
      <c r="C113" s="203">
        <f>VLOOKUP($A113,Costdrivere!$A$1:$G$128,3,FALSE)</f>
        <v>538129.05999999994</v>
      </c>
      <c r="D113" s="203">
        <f>VLOOKUP($A113,Costdrivere!$A$1:$G$128,4,FALSE)</f>
        <v>56469</v>
      </c>
      <c r="E113" s="203">
        <f>VLOOKUP($A113,Costdrivere!$A$1:$G$128,5,FALSE)</f>
        <v>704178</v>
      </c>
      <c r="F113" s="203">
        <f>VLOOKUP($A113,Costdrivere!$A$1:$G$128,6,FALSE)</f>
        <v>478966.60000000003</v>
      </c>
      <c r="G113" s="203">
        <f>VLOOKUP($A113,Costdrivere!$A$1:$G$128,7,FALSE)</f>
        <v>524150.2</v>
      </c>
      <c r="H113" s="25">
        <v>31.968054368036778</v>
      </c>
      <c r="I113" s="15">
        <f>VLOOKUP(A113,Costdrivere!$A$1:$H$128,8,FALSE)</f>
        <v>2.010919540229885E-2</v>
      </c>
      <c r="J113" s="32">
        <f t="shared" ref="J113:J127" si="108">SUM(B113:G113)</f>
        <v>2526114.894614228</v>
      </c>
      <c r="K113" s="33">
        <f t="shared" ref="K113:K127" si="109">(0.575+0.018*H113)*J113</f>
        <v>2906105.6736400132</v>
      </c>
      <c r="L113" s="33">
        <f t="shared" ref="L113:L126" si="110">(0.711+13.544*I113)*J113</f>
        <v>2484077.6714739357</v>
      </c>
      <c r="M113" s="32">
        <f>J113+'Potentialer og krav'!F112</f>
        <v>2526114.894614228</v>
      </c>
      <c r="N113" s="33">
        <f t="shared" si="75"/>
        <v>2906105.6736400132</v>
      </c>
      <c r="O113" s="43">
        <f t="shared" si="76"/>
        <v>2484077.6714739357</v>
      </c>
      <c r="P113" s="33">
        <f>M113+(0.25*'Potentialer og krav'!$C112)</f>
        <v>3034288.894614228</v>
      </c>
      <c r="Q113" s="33">
        <f>N113+(0.25*'Potentialer og krav'!$C112)</f>
        <v>3414279.6736400132</v>
      </c>
      <c r="R113" s="33">
        <f>O113+(0.25*'Potentialer og krav'!$C112)</f>
        <v>2992251.6714739357</v>
      </c>
      <c r="S113" s="24">
        <v>2398074</v>
      </c>
      <c r="T113" s="24">
        <f t="shared" ref="T113:T127" si="111">1.031*S113</f>
        <v>2472414.2939999998</v>
      </c>
      <c r="V113" s="216">
        <f t="shared" si="89"/>
        <v>8.8761613769934952E-2</v>
      </c>
      <c r="W113" s="217">
        <f t="shared" si="90"/>
        <v>0.21302635962731201</v>
      </c>
      <c r="X113" s="217">
        <f t="shared" si="91"/>
        <v>2.235409011695946E-2</v>
      </c>
      <c r="Y113" s="217">
        <f t="shared" si="92"/>
        <v>0.27875929218474343</v>
      </c>
      <c r="Z113" s="217">
        <f t="shared" si="93"/>
        <v>0.1896060234715273</v>
      </c>
      <c r="AA113" s="218">
        <f t="shared" si="94"/>
        <v>0.20749262082952283</v>
      </c>
      <c r="AC113" s="216">
        <f t="shared" si="102"/>
        <v>2.8527667910701007E-2</v>
      </c>
      <c r="AD113" s="217">
        <f t="shared" si="103"/>
        <v>8.1596900554106705E-2</v>
      </c>
      <c r="AE113" s="217">
        <f t="shared" si="104"/>
        <v>2.4417727476209326E-2</v>
      </c>
      <c r="AF113" s="217">
        <f t="shared" si="105"/>
        <v>-5.0300322915655032E-2</v>
      </c>
      <c r="AG113" s="217">
        <f t="shared" si="106"/>
        <v>-4.154102752729058E-2</v>
      </c>
      <c r="AH113" s="218">
        <f t="shared" si="107"/>
        <v>-4.4178353746950005E-2</v>
      </c>
      <c r="AI113" s="11"/>
      <c r="AJ113" s="214">
        <f t="shared" si="100"/>
        <v>-4.4178353746950005E-2</v>
      </c>
      <c r="AK113" s="215">
        <f t="shared" si="101"/>
        <v>0</v>
      </c>
    </row>
    <row r="114" spans="1:37" x14ac:dyDescent="0.25">
      <c r="A114" s="210" t="s">
        <v>135</v>
      </c>
      <c r="B114" s="202">
        <f>VLOOKUP($A114,Costdrivere!$A$1:$G$128,2,FALSE)</f>
        <v>904627.60775644763</v>
      </c>
      <c r="C114" s="203">
        <f>VLOOKUP($A114,Costdrivere!$A$1:$G$128,3,FALSE)</f>
        <v>2532410</v>
      </c>
      <c r="D114" s="203">
        <f>VLOOKUP($A114,Costdrivere!$A$1:$G$128,4,FALSE)</f>
        <v>541335</v>
      </c>
      <c r="E114" s="203">
        <f>VLOOKUP($A114,Costdrivere!$A$1:$G$128,5,FALSE)</f>
        <v>1312377</v>
      </c>
      <c r="F114" s="203">
        <f>VLOOKUP($A114,Costdrivere!$A$1:$G$128,6,FALSE)</f>
        <v>717216.60000000009</v>
      </c>
      <c r="G114" s="203">
        <f>VLOOKUP($A114,Costdrivere!$A$1:$G$128,7,FALSE)</f>
        <v>1013397.0000000001</v>
      </c>
      <c r="H114" s="25">
        <v>32.768729366178157</v>
      </c>
      <c r="I114" s="15">
        <f>VLOOKUP(A114,Costdrivere!$A$1:$H$128,8,FALSE)</f>
        <v>2.5624999999999998E-2</v>
      </c>
      <c r="J114" s="32">
        <f t="shared" si="108"/>
        <v>7021363.2077564467</v>
      </c>
      <c r="K114" s="33">
        <f t="shared" si="109"/>
        <v>8178744.5577189634</v>
      </c>
      <c r="L114" s="33">
        <f t="shared" si="110"/>
        <v>7429058.6624148246</v>
      </c>
      <c r="M114" s="32">
        <f>J114+'Potentialer og krav'!F113</f>
        <v>7261378.2077564467</v>
      </c>
      <c r="N114" s="33">
        <f t="shared" ref="N114:N127" si="112">(0.575+0.018*H114)*M114</f>
        <v>8458322.9411377814</v>
      </c>
      <c r="O114" s="43">
        <f t="shared" ref="O114:O127" si="113">(0.711+13.544*I114)*M114</f>
        <v>7683010.133389825</v>
      </c>
      <c r="P114" s="33">
        <f>M114+(0.25*'Potentialer og krav'!$C113)</f>
        <v>8952785.9577564467</v>
      </c>
      <c r="Q114" s="33">
        <f>N114+(0.25*'Potentialer og krav'!$C113)</f>
        <v>10149730.691137781</v>
      </c>
      <c r="R114" s="33">
        <f>O114+(0.25*'Potentialer og krav'!$C113)</f>
        <v>9374417.883389825</v>
      </c>
      <c r="S114" s="24">
        <v>6440290</v>
      </c>
      <c r="T114" s="24">
        <f t="shared" si="111"/>
        <v>6639938.9899999993</v>
      </c>
      <c r="V114" s="216">
        <f t="shared" si="89"/>
        <v>0.12883931239408217</v>
      </c>
      <c r="W114" s="217">
        <f t="shared" si="90"/>
        <v>0.36067212663239895</v>
      </c>
      <c r="X114" s="217">
        <f t="shared" si="91"/>
        <v>7.7098276215363901E-2</v>
      </c>
      <c r="Y114" s="217">
        <f t="shared" si="92"/>
        <v>0.18691199431902727</v>
      </c>
      <c r="Z114" s="217">
        <f t="shared" si="93"/>
        <v>0.10214777084992503</v>
      </c>
      <c r="AA114" s="218">
        <f t="shared" si="94"/>
        <v>0.14433051958920287</v>
      </c>
      <c r="AC114" s="216">
        <f t="shared" si="102"/>
        <v>-1.1550030713446208E-2</v>
      </c>
      <c r="AD114" s="217">
        <f t="shared" si="103"/>
        <v>-6.6048866450980237E-2</v>
      </c>
      <c r="AE114" s="217">
        <f t="shared" si="104"/>
        <v>-3.0326458622195115E-2</v>
      </c>
      <c r="AF114" s="217">
        <f t="shared" si="105"/>
        <v>4.1546974950061127E-2</v>
      </c>
      <c r="AG114" s="217">
        <f t="shared" si="106"/>
        <v>4.5917225094311689E-2</v>
      </c>
      <c r="AH114" s="218">
        <f t="shared" si="107"/>
        <v>1.8983747493369951E-2</v>
      </c>
      <c r="AI114" s="11"/>
      <c r="AJ114" s="214">
        <f t="shared" si="100"/>
        <v>1.8983747493369951E-2</v>
      </c>
      <c r="AK114" s="215">
        <f t="shared" si="101"/>
        <v>0</v>
      </c>
    </row>
    <row r="115" spans="1:37" x14ac:dyDescent="0.25">
      <c r="A115" s="210" t="s">
        <v>136</v>
      </c>
      <c r="B115" s="202">
        <f>VLOOKUP($A115,Costdrivere!$A$1:$G$128,2,FALSE)</f>
        <v>4959325.3468507165</v>
      </c>
      <c r="C115" s="203">
        <f>VLOOKUP($A115,Costdrivere!$A$1:$G$128,3,FALSE)</f>
        <v>14592672.282</v>
      </c>
      <c r="D115" s="203">
        <f>VLOOKUP($A115,Costdrivere!$A$1:$G$128,4,FALSE)</f>
        <v>2803358</v>
      </c>
      <c r="E115" s="203">
        <f>VLOOKUP($A115,Costdrivere!$A$1:$G$128,5,FALSE)</f>
        <v>17445060</v>
      </c>
      <c r="F115" s="203">
        <f>VLOOKUP($A115,Costdrivere!$A$1:$G$128,6,FALSE)</f>
        <v>6787546.3999999994</v>
      </c>
      <c r="G115" s="203">
        <f>VLOOKUP($A115,Costdrivere!$A$1:$G$128,7,FALSE)</f>
        <v>7359973.6000000006</v>
      </c>
      <c r="H115" s="25">
        <v>26.386002887741352</v>
      </c>
      <c r="I115" s="15">
        <f>VLOOKUP(A115,Costdrivere!$A$1:$H$128,8,FALSE)</f>
        <v>4.9378894472361809E-2</v>
      </c>
      <c r="J115" s="32">
        <f t="shared" si="108"/>
        <v>53947935.628850713</v>
      </c>
      <c r="K115" s="33">
        <f t="shared" si="109"/>
        <v>56642529.921818867</v>
      </c>
      <c r="L115" s="33">
        <f t="shared" si="110"/>
        <v>74436700.542264909</v>
      </c>
      <c r="M115" s="32">
        <f>J115+'Potentialer og krav'!F114</f>
        <v>53947935.628850713</v>
      </c>
      <c r="N115" s="33">
        <f t="shared" si="112"/>
        <v>56642529.921818867</v>
      </c>
      <c r="O115" s="43">
        <f t="shared" si="113"/>
        <v>74436700.542264909</v>
      </c>
      <c r="P115" s="33">
        <f>M115+(0.25*'Potentialer og krav'!$C114)</f>
        <v>67288233.878850713</v>
      </c>
      <c r="Q115" s="33">
        <f>N115+(0.25*'Potentialer og krav'!$C114)</f>
        <v>69982828.171818867</v>
      </c>
      <c r="R115" s="33">
        <f>O115+(0.25*'Potentialer og krav'!$C114)</f>
        <v>87776998.792264909</v>
      </c>
      <c r="S115" s="24">
        <v>49053287</v>
      </c>
      <c r="T115" s="24">
        <f t="shared" si="111"/>
        <v>50573938.896999992</v>
      </c>
      <c r="V115" s="216">
        <f t="shared" si="89"/>
        <v>9.1927991109237703E-2</v>
      </c>
      <c r="W115" s="217">
        <f t="shared" si="90"/>
        <v>0.27049547145592745</v>
      </c>
      <c r="X115" s="217">
        <f t="shared" si="91"/>
        <v>5.1964138522119792E-2</v>
      </c>
      <c r="Y115" s="217">
        <f t="shared" si="92"/>
        <v>0.32336844397565029</v>
      </c>
      <c r="Z115" s="217">
        <f t="shared" si="93"/>
        <v>0.12581661042040135</v>
      </c>
      <c r="AA115" s="218">
        <f t="shared" si="94"/>
        <v>0.13642734451666347</v>
      </c>
      <c r="AC115" s="216">
        <f t="shared" si="102"/>
        <v>2.5361290571398257E-2</v>
      </c>
      <c r="AD115" s="217">
        <f t="shared" si="103"/>
        <v>2.4127788725491262E-2</v>
      </c>
      <c r="AE115" s="217">
        <f t="shared" si="104"/>
        <v>-5.1923209289510067E-3</v>
      </c>
      <c r="AF115" s="217">
        <f t="shared" si="105"/>
        <v>-9.4909474706561886E-2</v>
      </c>
      <c r="AG115" s="217">
        <f t="shared" si="106"/>
        <v>2.2248385523835373E-2</v>
      </c>
      <c r="AH115" s="218">
        <f t="shared" si="107"/>
        <v>2.6886922565909355E-2</v>
      </c>
      <c r="AI115" s="11"/>
      <c r="AJ115" s="214">
        <f t="shared" si="100"/>
        <v>2.6886922565909355E-2</v>
      </c>
      <c r="AK115" s="215">
        <f t="shared" si="101"/>
        <v>0</v>
      </c>
    </row>
    <row r="116" spans="1:37" x14ac:dyDescent="0.25">
      <c r="A116" s="210" t="s">
        <v>137</v>
      </c>
      <c r="B116" s="202">
        <f>VLOOKUP($A116,Costdrivere!$A$1:$G$128,2,FALSE)</f>
        <v>186924.95892303367</v>
      </c>
      <c r="C116" s="203">
        <f>VLOOKUP($A116,Costdrivere!$A$1:$G$128,3,FALSE)</f>
        <v>466494.11699999997</v>
      </c>
      <c r="D116" s="203">
        <f>VLOOKUP($A116,Costdrivere!$A$1:$G$128,4,FALSE)</f>
        <v>0</v>
      </c>
      <c r="E116" s="203">
        <f>VLOOKUP($A116,Costdrivere!$A$1:$G$128,5,FALSE)</f>
        <v>44517</v>
      </c>
      <c r="F116" s="203">
        <f>VLOOKUP($A116,Costdrivere!$A$1:$G$128,6,FALSE)</f>
        <v>407.40000000000003</v>
      </c>
      <c r="G116" s="203">
        <f>VLOOKUP($A116,Costdrivere!$A$1:$G$128,7,FALSE)</f>
        <v>449.40000000000003</v>
      </c>
      <c r="H116" s="25">
        <v>23.341142746340481</v>
      </c>
      <c r="I116" s="15">
        <f>VLOOKUP(A116,Costdrivere!$A$1:$H$128,8,FALSE)</f>
        <v>2.7272727272727274E-4</v>
      </c>
      <c r="J116" s="32">
        <f t="shared" si="108"/>
        <v>698792.87592303369</v>
      </c>
      <c r="K116" s="33">
        <f t="shared" si="109"/>
        <v>695397.14046256011</v>
      </c>
      <c r="L116" s="33">
        <f t="shared" si="110"/>
        <v>499422.94861168641</v>
      </c>
      <c r="M116" s="32">
        <f>J116+'Potentialer og krav'!F115</f>
        <v>698792.87592303369</v>
      </c>
      <c r="N116" s="33">
        <f t="shared" si="112"/>
        <v>695397.14046256011</v>
      </c>
      <c r="O116" s="43">
        <f t="shared" si="113"/>
        <v>499422.94861168641</v>
      </c>
      <c r="P116" s="33">
        <f>M116+(0.25*'Potentialer og krav'!$C115)</f>
        <v>860902.62592303369</v>
      </c>
      <c r="Q116" s="33">
        <f>N116+(0.25*'Potentialer og krav'!$C115)</f>
        <v>857506.89046256011</v>
      </c>
      <c r="R116" s="33">
        <f>O116+(0.25*'Potentialer og krav'!$C115)</f>
        <v>661532.69861168647</v>
      </c>
      <c r="S116" s="24">
        <v>558989</v>
      </c>
      <c r="T116" s="24">
        <f t="shared" si="111"/>
        <v>576317.65899999999</v>
      </c>
      <c r="V116" s="216">
        <f t="shared" si="89"/>
        <v>0.26749694417838044</v>
      </c>
      <c r="W116" s="217">
        <f t="shared" si="90"/>
        <v>0.66757136924701632</v>
      </c>
      <c r="X116" s="217">
        <f t="shared" si="91"/>
        <v>0</v>
      </c>
      <c r="Y116" s="217">
        <f t="shared" si="92"/>
        <v>6.3705572185746184E-2</v>
      </c>
      <c r="Z116" s="217">
        <f t="shared" si="93"/>
        <v>5.830053711722038E-4</v>
      </c>
      <c r="AA116" s="218">
        <f t="shared" si="94"/>
        <v>6.4310901768480219E-4</v>
      </c>
      <c r="AC116" s="216">
        <f t="shared" si="102"/>
        <v>-0.15020766249774448</v>
      </c>
      <c r="AD116" s="217">
        <f t="shared" si="103"/>
        <v>-0.37294810906559761</v>
      </c>
      <c r="AE116" s="217">
        <f t="shared" si="104"/>
        <v>4.6771817593168785E-2</v>
      </c>
      <c r="AF116" s="217">
        <f t="shared" si="105"/>
        <v>0.16475339708334222</v>
      </c>
      <c r="AG116" s="217">
        <f t="shared" si="106"/>
        <v>0.14748199057306452</v>
      </c>
      <c r="AH116" s="218">
        <f t="shared" si="107"/>
        <v>0.16267115806488802</v>
      </c>
      <c r="AI116" s="11"/>
      <c r="AJ116" s="214">
        <f t="shared" si="100"/>
        <v>0.16267115806488802</v>
      </c>
      <c r="AK116" s="215">
        <f t="shared" si="101"/>
        <v>0</v>
      </c>
    </row>
    <row r="117" spans="1:37" x14ac:dyDescent="0.25">
      <c r="A117" s="210" t="s">
        <v>138</v>
      </c>
      <c r="B117" s="202">
        <f>VLOOKUP($A117,Costdrivere!$A$1:$G$128,2,FALSE)</f>
        <v>138643.74454089592</v>
      </c>
      <c r="C117" s="203">
        <f>VLOOKUP($A117,Costdrivere!$A$1:$G$128,3,FALSE)</f>
        <v>483514.66000000003</v>
      </c>
      <c r="D117" s="203">
        <f>VLOOKUP($A117,Costdrivere!$A$1:$G$128,4,FALSE)</f>
        <v>70906</v>
      </c>
      <c r="E117" s="203">
        <f>VLOOKUP($A117,Costdrivere!$A$1:$G$128,5,FALSE)</f>
        <v>408747</v>
      </c>
      <c r="F117" s="203">
        <f>VLOOKUP($A117,Costdrivere!$A$1:$G$128,6,FALSE)</f>
        <v>220675.00000000003</v>
      </c>
      <c r="G117" s="203">
        <f>VLOOKUP($A117,Costdrivere!$A$1:$G$128,7,FALSE)</f>
        <v>243425.00000000003</v>
      </c>
      <c r="H117" s="25">
        <v>18.982990717010043</v>
      </c>
      <c r="I117" s="15">
        <f>VLOOKUP(A117,Costdrivere!$A$1:$H$128,8,FALSE)</f>
        <v>1.608910891089109E-2</v>
      </c>
      <c r="J117" s="32">
        <f t="shared" si="108"/>
        <v>1565911.404540896</v>
      </c>
      <c r="K117" s="33">
        <f t="shared" si="109"/>
        <v>1435461.3274200947</v>
      </c>
      <c r="L117" s="33">
        <f t="shared" si="110"/>
        <v>1454592.1581586816</v>
      </c>
      <c r="M117" s="32">
        <f>J117+'Potentialer og krav'!F116</f>
        <v>1565911.404540896</v>
      </c>
      <c r="N117" s="33">
        <f t="shared" si="112"/>
        <v>1435461.3274200947</v>
      </c>
      <c r="O117" s="43">
        <f t="shared" si="113"/>
        <v>1454592.1581586816</v>
      </c>
      <c r="P117" s="33">
        <f>M117+(0.25*'Potentialer og krav'!$C116)</f>
        <v>1903218.654540896</v>
      </c>
      <c r="Q117" s="33">
        <f>N117+(0.25*'Potentialer og krav'!$C116)</f>
        <v>1772768.5774200947</v>
      </c>
      <c r="R117" s="33">
        <f>O117+(0.25*'Potentialer og krav'!$C116)</f>
        <v>1791899.4081586816</v>
      </c>
      <c r="S117" s="24">
        <v>1083681</v>
      </c>
      <c r="T117" s="24">
        <f t="shared" si="111"/>
        <v>1117275.1109999998</v>
      </c>
      <c r="V117" s="216">
        <f t="shared" si="89"/>
        <v>8.8538690080965585E-2</v>
      </c>
      <c r="W117" s="217">
        <f t="shared" si="90"/>
        <v>0.30877523376985683</v>
      </c>
      <c r="X117" s="217">
        <f t="shared" si="91"/>
        <v>4.5280978090065496E-2</v>
      </c>
      <c r="Y117" s="217">
        <f t="shared" si="92"/>
        <v>0.26102817746565876</v>
      </c>
      <c r="Z117" s="217">
        <f t="shared" si="93"/>
        <v>0.14092432008610281</v>
      </c>
      <c r="AA117" s="218">
        <f t="shared" si="94"/>
        <v>0.15545260050735052</v>
      </c>
      <c r="AC117" s="216">
        <f t="shared" si="102"/>
        <v>2.8750591599670375E-2</v>
      </c>
      <c r="AD117" s="217">
        <f t="shared" si="103"/>
        <v>-1.4151973588438116E-2</v>
      </c>
      <c r="AE117" s="217">
        <f t="shared" si="104"/>
        <v>1.4908395031032889E-3</v>
      </c>
      <c r="AF117" s="217">
        <f t="shared" si="105"/>
        <v>-3.2569208196570359E-2</v>
      </c>
      <c r="AG117" s="217">
        <f t="shared" si="106"/>
        <v>7.1406758581339103E-3</v>
      </c>
      <c r="AH117" s="218">
        <f t="shared" si="107"/>
        <v>7.8616665752223036E-3</v>
      </c>
      <c r="AI117" s="11"/>
      <c r="AJ117" s="214">
        <f t="shared" si="100"/>
        <v>7.8616665752223036E-3</v>
      </c>
      <c r="AK117" s="215">
        <f t="shared" si="101"/>
        <v>0</v>
      </c>
    </row>
    <row r="118" spans="1:37" x14ac:dyDescent="0.25">
      <c r="A118" s="210" t="s">
        <v>139</v>
      </c>
      <c r="B118" s="202">
        <f>VLOOKUP($A118,Costdrivere!$A$1:$G$128,2,FALSE)</f>
        <v>0</v>
      </c>
      <c r="C118" s="203">
        <f>VLOOKUP($A118,Costdrivere!$A$1:$G$128,3,FALSE)</f>
        <v>0</v>
      </c>
      <c r="D118" s="203">
        <f>VLOOKUP($A118,Costdrivere!$A$1:$G$128,4,FALSE)</f>
        <v>382125</v>
      </c>
      <c r="E118" s="203">
        <f>VLOOKUP($A118,Costdrivere!$A$1:$G$128,5,FALSE)</f>
        <v>101175</v>
      </c>
      <c r="F118" s="203">
        <f>VLOOKUP($A118,Costdrivere!$A$1:$G$128,6,FALSE)</f>
        <v>0</v>
      </c>
      <c r="G118" s="203">
        <f>VLOOKUP($A118,Costdrivere!$A$1:$G$128,7,FALSE)</f>
        <v>149.80000000000001</v>
      </c>
      <c r="H118" s="25">
        <v>0</v>
      </c>
      <c r="I118" s="15">
        <f>VLOOKUP(A118,Costdrivere!$A$1:$H$128,8,FALSE)</f>
        <v>4.0000000000000003E-5</v>
      </c>
      <c r="J118" s="32">
        <f t="shared" si="108"/>
        <v>483449.8</v>
      </c>
      <c r="K118" s="33">
        <f t="shared" si="109"/>
        <v>277983.63499999995</v>
      </c>
      <c r="L118" s="33">
        <f t="shared" si="110"/>
        <v>343994.72156364797</v>
      </c>
      <c r="M118" s="32">
        <f>J118+'Potentialer og krav'!F117</f>
        <v>1193961.8255448025</v>
      </c>
      <c r="N118" s="33">
        <f t="shared" si="112"/>
        <v>686528.04968826135</v>
      </c>
      <c r="O118" s="43">
        <f t="shared" si="113"/>
        <v>849553.69872096158</v>
      </c>
      <c r="P118" s="33">
        <f>M118+(0.25*'Potentialer og krav'!$C117)</f>
        <v>2268715.3255448025</v>
      </c>
      <c r="Q118" s="33">
        <f>N118+(0.25*'Potentialer og krav'!$C117)</f>
        <v>1761281.5496882615</v>
      </c>
      <c r="R118" s="33">
        <f>O118+(0.25*'Potentialer og krav'!$C117)</f>
        <v>1924307.1987209616</v>
      </c>
      <c r="S118" s="24">
        <v>1783394</v>
      </c>
      <c r="T118" s="24">
        <f t="shared" si="111"/>
        <v>1838679.2139999999</v>
      </c>
      <c r="V118" s="216">
        <f t="shared" si="89"/>
        <v>0</v>
      </c>
      <c r="W118" s="217">
        <f t="shared" si="90"/>
        <v>0</v>
      </c>
      <c r="X118" s="217">
        <f t="shared" si="91"/>
        <v>0.79041298600185583</v>
      </c>
      <c r="Y118" s="217">
        <f t="shared" si="92"/>
        <v>0.20927715762836183</v>
      </c>
      <c r="Z118" s="217">
        <f t="shared" si="93"/>
        <v>0</v>
      </c>
      <c r="AA118" s="218">
        <f t="shared" si="94"/>
        <v>3.0985636978234354E-4</v>
      </c>
      <c r="AC118" s="216">
        <f t="shared" si="102"/>
        <v>0.11728928168063596</v>
      </c>
      <c r="AD118" s="217">
        <f t="shared" si="103"/>
        <v>0.29462326018141871</v>
      </c>
      <c r="AE118" s="217">
        <f t="shared" si="104"/>
        <v>-0.74364116840868699</v>
      </c>
      <c r="AF118" s="217">
        <f t="shared" si="105"/>
        <v>1.9181811640726576E-2</v>
      </c>
      <c r="AG118" s="217">
        <f t="shared" si="106"/>
        <v>0.14806499594423672</v>
      </c>
      <c r="AH118" s="218">
        <f t="shared" si="107"/>
        <v>0.16300441071279048</v>
      </c>
      <c r="AI118" s="11"/>
      <c r="AJ118" s="214">
        <f t="shared" si="100"/>
        <v>0.16300441071279048</v>
      </c>
      <c r="AK118" s="215">
        <f t="shared" si="101"/>
        <v>0</v>
      </c>
    </row>
    <row r="119" spans="1:37" x14ac:dyDescent="0.25">
      <c r="A119" s="210" t="s">
        <v>140</v>
      </c>
      <c r="B119" s="202">
        <f>VLOOKUP($A119,Costdrivere!$A$1:$G$128,2,FALSE)</f>
        <v>219586.06501480946</v>
      </c>
      <c r="C119" s="203">
        <f>VLOOKUP($A119,Costdrivere!$A$1:$G$128,3,FALSE)</f>
        <v>464071.391</v>
      </c>
      <c r="D119" s="203">
        <f>VLOOKUP($A119,Costdrivere!$A$1:$G$128,4,FALSE)</f>
        <v>0</v>
      </c>
      <c r="E119" s="203">
        <f>VLOOKUP($A119,Costdrivere!$A$1:$G$128,5,FALSE)</f>
        <v>198303</v>
      </c>
      <c r="F119" s="203">
        <f>VLOOKUP($A119,Costdrivere!$A$1:$G$128,6,FALSE)</f>
        <v>269698.80000000005</v>
      </c>
      <c r="G119" s="203">
        <f>VLOOKUP($A119,Costdrivere!$A$1:$G$128,7,FALSE)</f>
        <v>301247.80000000005</v>
      </c>
      <c r="H119" s="25">
        <v>29.29155490181747</v>
      </c>
      <c r="I119" s="15">
        <f>VLOOKUP(A119,Costdrivere!$A$1:$H$128,8,FALSE)</f>
        <v>4.1040816326530609E-2</v>
      </c>
      <c r="J119" s="32">
        <f t="shared" si="108"/>
        <v>1452907.0560148095</v>
      </c>
      <c r="K119" s="33">
        <f t="shared" si="109"/>
        <v>1601463.8795814398</v>
      </c>
      <c r="L119" s="33">
        <f t="shared" si="110"/>
        <v>1840625.2074012738</v>
      </c>
      <c r="M119" s="32">
        <f>J119+'Potentialer og krav'!F118</f>
        <v>1452907.0560148095</v>
      </c>
      <c r="N119" s="33">
        <f t="shared" si="112"/>
        <v>1601463.8795814398</v>
      </c>
      <c r="O119" s="43">
        <f t="shared" si="113"/>
        <v>1840625.2074012738</v>
      </c>
      <c r="P119" s="33">
        <f>M119+(0.25*'Potentialer og krav'!$C118)</f>
        <v>2025233.5560148095</v>
      </c>
      <c r="Q119" s="33">
        <f>N119+(0.25*'Potentialer og krav'!$C118)</f>
        <v>2173790.3795814398</v>
      </c>
      <c r="R119" s="33">
        <f>O119+(0.25*'Potentialer og krav'!$C118)</f>
        <v>2412951.7074012738</v>
      </c>
      <c r="S119" s="24">
        <v>1640860</v>
      </c>
      <c r="T119" s="24">
        <f t="shared" si="111"/>
        <v>1691726.66</v>
      </c>
      <c r="V119" s="216">
        <f t="shared" si="89"/>
        <v>0.15113565875102419</v>
      </c>
      <c r="W119" s="217">
        <f t="shared" si="90"/>
        <v>0.31940886313327238</v>
      </c>
      <c r="X119" s="217">
        <f t="shared" si="91"/>
        <v>0</v>
      </c>
      <c r="Y119" s="217">
        <f t="shared" si="92"/>
        <v>0.13648705137679412</v>
      </c>
      <c r="Z119" s="217">
        <f t="shared" si="93"/>
        <v>0.18562701508227172</v>
      </c>
      <c r="AA119" s="218">
        <f t="shared" si="94"/>
        <v>0.20734141165663761</v>
      </c>
      <c r="AC119" s="216">
        <f t="shared" si="102"/>
        <v>-3.3846377070388234E-2</v>
      </c>
      <c r="AD119" s="217">
        <f t="shared" si="103"/>
        <v>-2.4785602951853669E-2</v>
      </c>
      <c r="AE119" s="217">
        <f t="shared" si="104"/>
        <v>4.6771817593168785E-2</v>
      </c>
      <c r="AF119" s="217">
        <f t="shared" si="105"/>
        <v>9.197191789229428E-2</v>
      </c>
      <c r="AG119" s="217">
        <f t="shared" si="106"/>
        <v>-3.7562019138035002E-2</v>
      </c>
      <c r="AH119" s="218">
        <f t="shared" si="107"/>
        <v>-4.4027144574064786E-2</v>
      </c>
      <c r="AI119" s="11"/>
      <c r="AJ119" s="214">
        <f t="shared" si="100"/>
        <v>-4.4027144574064786E-2</v>
      </c>
      <c r="AK119" s="215">
        <f t="shared" si="101"/>
        <v>0</v>
      </c>
    </row>
    <row r="120" spans="1:37" x14ac:dyDescent="0.25">
      <c r="A120" s="210" t="s">
        <v>141</v>
      </c>
      <c r="B120" s="202">
        <f>VLOOKUP($A120,Costdrivere!$A$1:$G$128,2,FALSE)</f>
        <v>921853.6000919264</v>
      </c>
      <c r="C120" s="203">
        <f>VLOOKUP($A120,Costdrivere!$A$1:$G$128,3,FALSE)</f>
        <v>2281759.4780000001</v>
      </c>
      <c r="D120" s="203">
        <f>VLOOKUP($A120,Costdrivere!$A$1:$G$128,4,FALSE)</f>
        <v>346672</v>
      </c>
      <c r="E120" s="203">
        <f>VLOOKUP($A120,Costdrivere!$A$1:$G$128,5,FALSE)</f>
        <v>2795877</v>
      </c>
      <c r="F120" s="203">
        <f>VLOOKUP($A120,Costdrivere!$A$1:$G$128,6,FALSE)</f>
        <v>1348277.6</v>
      </c>
      <c r="G120" s="203">
        <f>VLOOKUP($A120,Costdrivere!$A$1:$G$128,7,FALSE)</f>
        <v>1298166.8</v>
      </c>
      <c r="H120" s="25">
        <v>22.717114573123197</v>
      </c>
      <c r="I120" s="15">
        <f>VLOOKUP(A120,Costdrivere!$A$1:$H$128,8,FALSE)</f>
        <v>1.6992156862745099E-2</v>
      </c>
      <c r="J120" s="32">
        <f t="shared" si="108"/>
        <v>8992606.4780919272</v>
      </c>
      <c r="K120" s="33">
        <f t="shared" si="109"/>
        <v>8847898.0150316935</v>
      </c>
      <c r="L120" s="33">
        <f t="shared" si="110"/>
        <v>8463317.6006272323</v>
      </c>
      <c r="M120" s="32">
        <f>J120+'Potentialer og krav'!F119</f>
        <v>8992606.4780919272</v>
      </c>
      <c r="N120" s="33">
        <f t="shared" si="112"/>
        <v>8847898.0150316935</v>
      </c>
      <c r="O120" s="43">
        <f t="shared" si="113"/>
        <v>8463317.6006272323</v>
      </c>
      <c r="P120" s="33">
        <f>M120+(0.25*'Potentialer og krav'!$C119)</f>
        <v>10948795.478091927</v>
      </c>
      <c r="Q120" s="33">
        <f>N120+(0.25*'Potentialer og krav'!$C119)</f>
        <v>10804087.015031694</v>
      </c>
      <c r="R120" s="33">
        <f>O120+(0.25*'Potentialer og krav'!$C119)</f>
        <v>10419506.600627232</v>
      </c>
      <c r="S120" s="24">
        <v>6503547</v>
      </c>
      <c r="T120" s="24">
        <f t="shared" si="111"/>
        <v>6705156.9569999995</v>
      </c>
      <c r="V120" s="216">
        <f t="shared" si="89"/>
        <v>0.10251239196753192</v>
      </c>
      <c r="W120" s="217">
        <f t="shared" si="90"/>
        <v>0.25373727667933593</v>
      </c>
      <c r="X120" s="217">
        <f t="shared" si="91"/>
        <v>3.8550780671274043E-2</v>
      </c>
      <c r="Y120" s="217">
        <f t="shared" si="92"/>
        <v>0.31090841201729491</v>
      </c>
      <c r="Z120" s="217">
        <f t="shared" si="93"/>
        <v>0.14993179155395231</v>
      </c>
      <c r="AA120" s="218">
        <f t="shared" si="94"/>
        <v>0.14435934711061083</v>
      </c>
      <c r="AC120" s="216">
        <f t="shared" si="102"/>
        <v>1.4776889713104036E-2</v>
      </c>
      <c r="AD120" s="217">
        <f t="shared" si="103"/>
        <v>4.0885983502082779E-2</v>
      </c>
      <c r="AE120" s="217">
        <f t="shared" si="104"/>
        <v>8.2210369218947421E-3</v>
      </c>
      <c r="AF120" s="217">
        <f t="shared" si="105"/>
        <v>-8.2449442748206508E-2</v>
      </c>
      <c r="AG120" s="217">
        <f t="shared" si="106"/>
        <v>-1.866795609715588E-3</v>
      </c>
      <c r="AH120" s="218">
        <f t="shared" si="107"/>
        <v>1.8954919971961998E-2</v>
      </c>
      <c r="AI120" s="11"/>
      <c r="AJ120" s="214">
        <f t="shared" si="100"/>
        <v>1.8954919971961998E-2</v>
      </c>
      <c r="AK120" s="215">
        <f t="shared" si="101"/>
        <v>0</v>
      </c>
    </row>
    <row r="121" spans="1:37" x14ac:dyDescent="0.25">
      <c r="A121" s="210" t="s">
        <v>150</v>
      </c>
      <c r="B121" s="202">
        <f>VLOOKUP($A121,Costdrivere!$A$1:$G$128,2,FALSE)</f>
        <v>1404360.8786731821</v>
      </c>
      <c r="C121" s="203">
        <f>VLOOKUP($A121,Costdrivere!$A$1:$G$128,3,FALSE)</f>
        <v>4027348.0779999997</v>
      </c>
      <c r="D121" s="203">
        <f>VLOOKUP($A121,Costdrivere!$A$1:$G$128,4,FALSE)</f>
        <v>1133463</v>
      </c>
      <c r="E121" s="203">
        <f>VLOOKUP($A121,Costdrivere!$A$1:$G$128,5,FALSE)</f>
        <v>4585733.6999999993</v>
      </c>
      <c r="F121" s="203">
        <f>VLOOKUP($A121,Costdrivere!$A$1:$G$128,6,FALSE)</f>
        <v>1998173.8</v>
      </c>
      <c r="G121" s="203">
        <f>VLOOKUP($A121,Costdrivere!$A$1:$G$128,7,FALSE)</f>
        <v>1632370.6</v>
      </c>
      <c r="H121" s="25">
        <v>27.070781806829682</v>
      </c>
      <c r="I121" s="15">
        <f>VLOOKUP(A121,Costdrivere!$A$1:$H$128,8,FALSE)</f>
        <v>3.1732673267326726E-2</v>
      </c>
      <c r="J121" s="32">
        <f t="shared" si="108"/>
        <v>14781450.056673182</v>
      </c>
      <c r="K121" s="33">
        <f t="shared" si="109"/>
        <v>15701951.14949658</v>
      </c>
      <c r="L121" s="33">
        <f t="shared" si="110"/>
        <v>16862490.895384718</v>
      </c>
      <c r="M121" s="32">
        <f>J121+'Potentialer og krav'!F120</f>
        <v>14781450.056673182</v>
      </c>
      <c r="N121" s="33">
        <f t="shared" si="112"/>
        <v>15701951.14949658</v>
      </c>
      <c r="O121" s="43">
        <f t="shared" si="113"/>
        <v>16862490.895384718</v>
      </c>
      <c r="P121" s="308">
        <f>M121+(0.25*'Potentialer og krav'!$C120)</f>
        <v>17654214.556673184</v>
      </c>
      <c r="Q121" s="308">
        <f>N121+(0.25*'Potentialer og krav'!$C120)</f>
        <v>18574715.649496578</v>
      </c>
      <c r="R121" s="308">
        <f>O121+(0.25*'Potentialer og krav'!$C120)</f>
        <v>19735255.395384718</v>
      </c>
      <c r="S121" s="24">
        <v>9685126</v>
      </c>
      <c r="T121" s="24">
        <f t="shared" si="111"/>
        <v>9985364.9059999995</v>
      </c>
      <c r="V121" s="216">
        <f t="shared" si="89"/>
        <v>9.5008329581249315E-2</v>
      </c>
      <c r="W121" s="217">
        <f t="shared" si="90"/>
        <v>0.27245960731584834</v>
      </c>
      <c r="X121" s="217">
        <f t="shared" si="91"/>
        <v>7.6681448413668363E-2</v>
      </c>
      <c r="Y121" s="217">
        <f t="shared" si="92"/>
        <v>0.31023571316873205</v>
      </c>
      <c r="Z121" s="217">
        <f t="shared" si="93"/>
        <v>0.13518117588862072</v>
      </c>
      <c r="AA121" s="218">
        <f t="shared" si="94"/>
        <v>0.11043372563188114</v>
      </c>
      <c r="AC121" s="216">
        <f t="shared" si="102"/>
        <v>2.2280952099386644E-2</v>
      </c>
      <c r="AD121" s="217">
        <f t="shared" si="103"/>
        <v>2.2163652865570371E-2</v>
      </c>
      <c r="AE121" s="217">
        <f t="shared" si="104"/>
        <v>-2.9909630820499578E-2</v>
      </c>
      <c r="AF121" s="217">
        <f t="shared" si="105"/>
        <v>-8.177674389964365E-2</v>
      </c>
      <c r="AG121" s="217">
        <f t="shared" si="106"/>
        <v>1.2883820055616002E-2</v>
      </c>
      <c r="AH121" s="218">
        <f t="shared" si="107"/>
        <v>5.2880541450691682E-2</v>
      </c>
      <c r="AI121" s="11"/>
      <c r="AJ121" s="214">
        <f t="shared" si="100"/>
        <v>5.2880541450691682E-2</v>
      </c>
      <c r="AK121" s="215">
        <f t="shared" si="101"/>
        <v>0</v>
      </c>
    </row>
    <row r="122" spans="1:37" x14ac:dyDescent="0.25">
      <c r="A122" s="210" t="s">
        <v>142</v>
      </c>
      <c r="B122" s="202">
        <f>VLOOKUP($A122,Costdrivere!$A$1:$G$128,2,FALSE)</f>
        <v>2122717.998144282</v>
      </c>
      <c r="C122" s="203">
        <f>VLOOKUP($A122,Costdrivere!$A$1:$G$128,3,FALSE)</f>
        <v>6267563.1279999996</v>
      </c>
      <c r="D122" s="203">
        <f>VLOOKUP($A122,Costdrivere!$A$1:$G$128,4,FALSE)</f>
        <v>1631926</v>
      </c>
      <c r="E122" s="203">
        <f>VLOOKUP($A122,Costdrivere!$A$1:$G$128,5,FALSE)</f>
        <v>6887343</v>
      </c>
      <c r="F122" s="203">
        <f>VLOOKUP($A122,Costdrivere!$A$1:$G$128,6,FALSE)</f>
        <v>2600477</v>
      </c>
      <c r="G122" s="203">
        <f>VLOOKUP($A122,Costdrivere!$A$1:$G$128,7,FALSE)</f>
        <v>2542855</v>
      </c>
      <c r="H122" s="25">
        <v>28.070623538870382</v>
      </c>
      <c r="I122" s="15">
        <f>VLOOKUP(A122,Costdrivere!$A$1:$H$128,8,FALSE)</f>
        <v>1.5445859872611465E-2</v>
      </c>
      <c r="J122" s="32">
        <f t="shared" si="108"/>
        <v>22052882.126144283</v>
      </c>
      <c r="K122" s="33">
        <f t="shared" si="109"/>
        <v>23823093.960514393</v>
      </c>
      <c r="L122" s="33">
        <f t="shared" si="110"/>
        <v>20293034.039634492</v>
      </c>
      <c r="M122" s="32">
        <f>J122+'Potentialer og krav'!F121</f>
        <v>22067467.126144283</v>
      </c>
      <c r="N122" s="33">
        <f t="shared" si="112"/>
        <v>23838849.716312055</v>
      </c>
      <c r="O122" s="43">
        <f t="shared" si="113"/>
        <v>20306455.138054878</v>
      </c>
      <c r="P122" s="33">
        <f>M122+(0.25*'Potentialer og krav'!$C121)</f>
        <v>25769627.626144283</v>
      </c>
      <c r="Q122" s="33">
        <f>N122+(0.25*'Potentialer og krav'!$C121)</f>
        <v>27541010.216312055</v>
      </c>
      <c r="R122" s="33">
        <f>O122+(0.25*'Potentialer og krav'!$C121)</f>
        <v>24008615.638054878</v>
      </c>
      <c r="S122" s="24">
        <v>14304976</v>
      </c>
      <c r="T122" s="24">
        <f t="shared" si="111"/>
        <v>14748430.255999999</v>
      </c>
      <c r="V122" s="216">
        <f t="shared" si="89"/>
        <v>9.625580846993885E-2</v>
      </c>
      <c r="W122" s="217">
        <f t="shared" si="90"/>
        <v>0.28420607756160976</v>
      </c>
      <c r="X122" s="217">
        <f t="shared" si="91"/>
        <v>7.4000576916216684E-2</v>
      </c>
      <c r="Y122" s="217">
        <f t="shared" si="92"/>
        <v>0.31231033479451059</v>
      </c>
      <c r="Z122" s="217">
        <f t="shared" si="93"/>
        <v>0.11792005167964258</v>
      </c>
      <c r="AA122" s="218">
        <f t="shared" si="94"/>
        <v>0.11530715057808145</v>
      </c>
      <c r="AC122" s="216">
        <f t="shared" si="102"/>
        <v>2.103347321069711E-2</v>
      </c>
      <c r="AD122" s="217">
        <f t="shared" si="103"/>
        <v>1.0417182619808951E-2</v>
      </c>
      <c r="AE122" s="217">
        <f t="shared" si="104"/>
        <v>-2.7228759323047899E-2</v>
      </c>
      <c r="AF122" s="217">
        <f t="shared" si="105"/>
        <v>-8.3851365525422189E-2</v>
      </c>
      <c r="AG122" s="217">
        <f t="shared" si="106"/>
        <v>3.0144944264594145E-2</v>
      </c>
      <c r="AH122" s="218">
        <f t="shared" si="107"/>
        <v>4.8007116504491368E-2</v>
      </c>
      <c r="AI122" s="11"/>
      <c r="AJ122" s="214">
        <f t="shared" si="100"/>
        <v>4.8007116504491368E-2</v>
      </c>
      <c r="AK122" s="215">
        <f t="shared" si="101"/>
        <v>0</v>
      </c>
    </row>
    <row r="123" spans="1:37" x14ac:dyDescent="0.25">
      <c r="A123" s="210" t="s">
        <v>151</v>
      </c>
      <c r="B123" s="202">
        <f>VLOOKUP($A123,Costdrivere!$A$1:$G$128,2,FALSE)</f>
        <v>264668.60915064969</v>
      </c>
      <c r="C123" s="203">
        <f>VLOOKUP($A123,Costdrivere!$A$1:$G$128,3,FALSE)</f>
        <v>635399.41200000001</v>
      </c>
      <c r="D123" s="203">
        <f>VLOOKUP($A123,Costdrivere!$A$1:$G$128,4,FALSE)</f>
        <v>487827</v>
      </c>
      <c r="E123" s="203">
        <f>VLOOKUP($A123,Costdrivere!$A$1:$G$128,5,FALSE)</f>
        <v>627285</v>
      </c>
      <c r="F123" s="203">
        <f>VLOOKUP($A123,Costdrivere!$A$1:$G$128,6,FALSE)</f>
        <v>320488</v>
      </c>
      <c r="G123" s="203">
        <f>VLOOKUP($A123,Costdrivere!$A$1:$G$128,7,FALSE)</f>
        <v>354127.2</v>
      </c>
      <c r="H123" s="25">
        <v>22.209158338263073</v>
      </c>
      <c r="I123" s="15">
        <f>VLOOKUP(A123,Costdrivere!$A$1:$H$128,8,FALSE)</f>
        <v>1.5251612903225806E-2</v>
      </c>
      <c r="J123" s="32">
        <f t="shared" si="108"/>
        <v>2689795.2211506497</v>
      </c>
      <c r="K123" s="33">
        <f t="shared" si="109"/>
        <v>2621917.8355143094</v>
      </c>
      <c r="L123" s="33">
        <f t="shared" si="110"/>
        <v>2468069.604996338</v>
      </c>
      <c r="M123" s="32">
        <f>J123+'Potentialer og krav'!F122</f>
        <v>2825629.2211506497</v>
      </c>
      <c r="N123" s="33">
        <f t="shared" si="112"/>
        <v>2754324.0441612629</v>
      </c>
      <c r="O123" s="43">
        <f t="shared" si="113"/>
        <v>2592706.5156759769</v>
      </c>
      <c r="P123" s="33">
        <f>M123+(0.25*'Potentialer og krav'!$C122)</f>
        <v>3386852.2211506497</v>
      </c>
      <c r="Q123" s="33">
        <f>N123+(0.25*'Potentialer og krav'!$C122)</f>
        <v>3315547.0441612629</v>
      </c>
      <c r="R123" s="33">
        <f>O123+(0.25*'Potentialer og krav'!$C122)</f>
        <v>3153929.5156759769</v>
      </c>
      <c r="S123" s="24">
        <v>1442674</v>
      </c>
      <c r="T123" s="24">
        <f t="shared" si="111"/>
        <v>1487396.8939999999</v>
      </c>
      <c r="V123" s="216">
        <f t="shared" si="89"/>
        <v>9.839730811828451E-2</v>
      </c>
      <c r="W123" s="217">
        <f t="shared" si="90"/>
        <v>0.23622594277946063</v>
      </c>
      <c r="X123" s="217">
        <f t="shared" si="91"/>
        <v>0.18136213350520999</v>
      </c>
      <c r="Y123" s="217">
        <f t="shared" si="92"/>
        <v>0.23320920309006196</v>
      </c>
      <c r="Z123" s="217">
        <f t="shared" si="93"/>
        <v>0.11914959082383252</v>
      </c>
      <c r="AA123" s="218">
        <f t="shared" si="94"/>
        <v>0.1316558216831504</v>
      </c>
      <c r="AC123" s="216">
        <f t="shared" si="102"/>
        <v>1.889197356235145E-2</v>
      </c>
      <c r="AD123" s="217">
        <f t="shared" si="103"/>
        <v>5.8397317401958082E-2</v>
      </c>
      <c r="AE123" s="217">
        <f t="shared" si="104"/>
        <v>-0.13459031591204121</v>
      </c>
      <c r="AF123" s="217">
        <f t="shared" si="105"/>
        <v>-4.7502338209735595E-3</v>
      </c>
      <c r="AG123" s="217">
        <f t="shared" si="106"/>
        <v>2.8915405120404206E-2</v>
      </c>
      <c r="AH123" s="218">
        <f t="shared" si="107"/>
        <v>3.1658445399422419E-2</v>
      </c>
      <c r="AI123" s="11"/>
      <c r="AJ123" s="214">
        <f t="shared" si="100"/>
        <v>3.1658445399422419E-2</v>
      </c>
      <c r="AK123" s="215">
        <f t="shared" si="101"/>
        <v>0</v>
      </c>
    </row>
    <row r="124" spans="1:37" x14ac:dyDescent="0.25">
      <c r="A124" s="210" t="s">
        <v>143</v>
      </c>
      <c r="B124" s="202">
        <f>VLOOKUP($A124,Costdrivere!$A$1:$G$128,2,FALSE)</f>
        <v>179645.99941557963</v>
      </c>
      <c r="C124" s="203">
        <f>VLOOKUP($A124,Costdrivere!$A$1:$G$128,3,FALSE)</f>
        <v>447033.272</v>
      </c>
      <c r="D124" s="203">
        <f>VLOOKUP($A124,Costdrivere!$A$1:$G$128,4,FALSE)</f>
        <v>0</v>
      </c>
      <c r="E124" s="203">
        <f>VLOOKUP($A124,Costdrivere!$A$1:$G$128,5,FALSE)</f>
        <v>169974</v>
      </c>
      <c r="F124" s="203">
        <f>VLOOKUP($A124,Costdrivere!$A$1:$G$128,6,FALSE)</f>
        <v>160787.20000000001</v>
      </c>
      <c r="G124" s="203">
        <f>VLOOKUP($A124,Costdrivere!$A$1:$G$128,7,FALSE)</f>
        <v>178711.40000000002</v>
      </c>
      <c r="H124" s="25">
        <v>42.24040958775219</v>
      </c>
      <c r="I124" s="15">
        <f>VLOOKUP(A124,Costdrivere!$A$1:$H$128,8,FALSE)</f>
        <v>2.8404761904761905E-2</v>
      </c>
      <c r="J124" s="32">
        <f t="shared" si="108"/>
        <v>1136151.8714155797</v>
      </c>
      <c r="K124" s="33">
        <f t="shared" si="109"/>
        <v>1517134.6933086924</v>
      </c>
      <c r="L124" s="33">
        <f t="shared" si="110"/>
        <v>1244897.6198411908</v>
      </c>
      <c r="M124" s="32">
        <f>J124+'Potentialer og krav'!F123</f>
        <v>1136151.8714155797</v>
      </c>
      <c r="N124" s="33">
        <f t="shared" si="112"/>
        <v>1517134.6933086924</v>
      </c>
      <c r="O124" s="43">
        <f t="shared" si="113"/>
        <v>1244897.6198411908</v>
      </c>
      <c r="P124" s="33">
        <f>M124+(0.25*'Potentialer og krav'!$C123)</f>
        <v>1458807.8714155797</v>
      </c>
      <c r="Q124" s="33">
        <f>N124+(0.25*'Potentialer og krav'!$C123)</f>
        <v>1839790.6933086924</v>
      </c>
      <c r="R124" s="33">
        <f>O124+(0.25*'Potentialer og krav'!$C123)</f>
        <v>1567553.6198411908</v>
      </c>
      <c r="S124" s="24">
        <v>1199019</v>
      </c>
      <c r="T124" s="24">
        <f t="shared" si="111"/>
        <v>1236188.5889999999</v>
      </c>
      <c r="V124" s="216">
        <f t="shared" ref="V124:V127" si="114">B124/(SUM($B124:$G124))</f>
        <v>0.15811794526355977</v>
      </c>
      <c r="W124" s="217">
        <f t="shared" ref="W124:W127" si="115">C124/(SUM($B124:$G124))</f>
        <v>0.39346260235704433</v>
      </c>
      <c r="X124" s="217">
        <f t="shared" ref="X124:X127" si="116">D124/(SUM($B124:$G124))</f>
        <v>0</v>
      </c>
      <c r="Y124" s="217">
        <f t="shared" ref="Y124:Y127" si="117">E124/(SUM($B124:$G124))</f>
        <v>0.14960499936352892</v>
      </c>
      <c r="Z124" s="217">
        <f t="shared" ref="Z124:Z127" si="118">F124/(SUM($B124:$G124))</f>
        <v>0.14151910853226729</v>
      </c>
      <c r="AA124" s="218">
        <f t="shared" ref="AA124:AA127" si="119">G124/(SUM($B124:$G124))</f>
        <v>0.15729534448359966</v>
      </c>
      <c r="AC124" s="216">
        <f t="shared" si="102"/>
        <v>-4.0828663582923808E-2</v>
      </c>
      <c r="AD124" s="217">
        <f t="shared" si="103"/>
        <v>-9.8839342175625622E-2</v>
      </c>
      <c r="AE124" s="217">
        <f t="shared" si="104"/>
        <v>4.6771817593168785E-2</v>
      </c>
      <c r="AF124" s="217">
        <f t="shared" si="105"/>
        <v>7.8853969905559484E-2</v>
      </c>
      <c r="AG124" s="217">
        <f t="shared" si="106"/>
        <v>6.545887411969431E-3</v>
      </c>
      <c r="AH124" s="218">
        <f t="shared" si="107"/>
        <v>6.0189225989731587E-3</v>
      </c>
      <c r="AI124" s="11"/>
      <c r="AJ124" s="214">
        <f t="shared" si="100"/>
        <v>6.0189225989731587E-3</v>
      </c>
      <c r="AK124" s="215">
        <f t="shared" si="101"/>
        <v>0</v>
      </c>
    </row>
    <row r="125" spans="1:37" s="6" customFormat="1" x14ac:dyDescent="0.25">
      <c r="A125" s="49" t="s">
        <v>177</v>
      </c>
      <c r="B125" s="204"/>
      <c r="C125" s="205"/>
      <c r="D125" s="205"/>
      <c r="E125" s="205"/>
      <c r="F125" s="205"/>
      <c r="G125" s="205"/>
      <c r="H125" s="29"/>
      <c r="I125" s="30"/>
      <c r="J125" s="34">
        <v>263553</v>
      </c>
      <c r="K125" s="342" t="s">
        <v>218</v>
      </c>
      <c r="L125" s="342" t="s">
        <v>218</v>
      </c>
      <c r="M125" s="344" t="s">
        <v>218</v>
      </c>
      <c r="N125" s="342" t="s">
        <v>218</v>
      </c>
      <c r="O125" s="342" t="s">
        <v>218</v>
      </c>
      <c r="P125" s="344" t="s">
        <v>218</v>
      </c>
      <c r="Q125" s="342" t="s">
        <v>218</v>
      </c>
      <c r="R125" s="342" t="s">
        <v>218</v>
      </c>
      <c r="S125" s="343" t="s">
        <v>218</v>
      </c>
      <c r="T125" s="343" t="s">
        <v>218</v>
      </c>
      <c r="U125" s="28"/>
      <c r="V125" s="219"/>
      <c r="W125" s="220"/>
      <c r="X125" s="220"/>
      <c r="Y125" s="220"/>
      <c r="Z125" s="220"/>
      <c r="AA125" s="221"/>
      <c r="AB125" s="28"/>
      <c r="AC125" s="219"/>
      <c r="AD125" s="220"/>
      <c r="AE125" s="220"/>
      <c r="AF125" s="220"/>
      <c r="AG125" s="220"/>
      <c r="AH125" s="221"/>
      <c r="AI125" s="12"/>
      <c r="AJ125" s="237"/>
      <c r="AK125" s="238"/>
    </row>
    <row r="126" spans="1:37" x14ac:dyDescent="0.25">
      <c r="A126" s="210" t="s">
        <v>144</v>
      </c>
      <c r="B126" s="202">
        <f>VLOOKUP($A126,Costdrivere!$A$1:$G$128,2,FALSE)</f>
        <v>265954.73368239304</v>
      </c>
      <c r="C126" s="203">
        <f>VLOOKUP($A126,Costdrivere!$A$1:$G$128,3,FALSE)</f>
        <v>661333.22600000002</v>
      </c>
      <c r="D126" s="203">
        <f>VLOOKUP($A126,Costdrivere!$A$1:$G$128,4,FALSE)</f>
        <v>0</v>
      </c>
      <c r="E126" s="203">
        <f>VLOOKUP($A126,Costdrivere!$A$1:$G$128,5,FALSE)</f>
        <v>522063</v>
      </c>
      <c r="F126" s="203">
        <f>VLOOKUP($A126,Costdrivere!$A$1:$G$128,6,FALSE)</f>
        <v>277303.60000000003</v>
      </c>
      <c r="G126" s="203">
        <f>VLOOKUP($A126,Costdrivere!$A$1:$G$128,7,FALSE)</f>
        <v>303045.40000000002</v>
      </c>
      <c r="H126" s="25">
        <v>26.475395810310552</v>
      </c>
      <c r="I126" s="15">
        <f>VLOOKUP(A126,Costdrivere!$A$1:$H$128,8,FALSE)</f>
        <v>1.5682170542635657E-2</v>
      </c>
      <c r="J126" s="32">
        <f t="shared" si="108"/>
        <v>2029699.9596823934</v>
      </c>
      <c r="K126" s="33">
        <f t="shared" si="109"/>
        <v>2134345.4533751053</v>
      </c>
      <c r="L126" s="33">
        <f t="shared" si="110"/>
        <v>1874223.5581691989</v>
      </c>
      <c r="M126" s="32">
        <f>J126+'Potentialer og krav'!F125</f>
        <v>2029699.9596823934</v>
      </c>
      <c r="N126" s="33">
        <f t="shared" si="112"/>
        <v>2134345.4533751053</v>
      </c>
      <c r="O126" s="43">
        <f t="shared" si="113"/>
        <v>1874223.5581691989</v>
      </c>
      <c r="P126" s="33">
        <f>M126+(0.25*'Potentialer og krav'!$C125)</f>
        <v>2452828.4596823934</v>
      </c>
      <c r="Q126" s="33">
        <f>N126+(0.25*'Potentialer og krav'!$C125)</f>
        <v>2557473.9533751053</v>
      </c>
      <c r="R126" s="33">
        <f>O126+(0.25*'Potentialer og krav'!$C125)</f>
        <v>2297352.0581691992</v>
      </c>
      <c r="S126" s="24">
        <v>1636125</v>
      </c>
      <c r="T126" s="24">
        <f t="shared" si="111"/>
        <v>1686844.8749999998</v>
      </c>
      <c r="V126" s="216">
        <f t="shared" si="114"/>
        <v>0.13103155095101324</v>
      </c>
      <c r="W126" s="217">
        <f t="shared" si="115"/>
        <v>0.32582807268887426</v>
      </c>
      <c r="X126" s="217">
        <f t="shared" si="116"/>
        <v>0</v>
      </c>
      <c r="Y126" s="217">
        <f t="shared" si="117"/>
        <v>0.25721190834614405</v>
      </c>
      <c r="Z126" s="217">
        <f t="shared" si="118"/>
        <v>0.13662295191817039</v>
      </c>
      <c r="AA126" s="218">
        <f t="shared" si="119"/>
        <v>0.14930551609579795</v>
      </c>
      <c r="AC126" s="216">
        <f t="shared" ref="AC126:AH127" si="120">V$131-V126</f>
        <v>-1.3742269270377278E-2</v>
      </c>
      <c r="AD126" s="217">
        <f t="shared" si="120"/>
        <v>-3.1204812507455548E-2</v>
      </c>
      <c r="AE126" s="217">
        <f t="shared" si="120"/>
        <v>4.6771817593168785E-2</v>
      </c>
      <c r="AF126" s="217">
        <f t="shared" si="120"/>
        <v>-2.8752939077055645E-2</v>
      </c>
      <c r="AG126" s="217">
        <f t="shared" si="120"/>
        <v>1.1442044026066328E-2</v>
      </c>
      <c r="AH126" s="218">
        <f t="shared" si="120"/>
        <v>1.4008750986774871E-2</v>
      </c>
      <c r="AI126" s="11"/>
      <c r="AJ126" s="214">
        <f>$AA$131-AA126</f>
        <v>1.4008750986774871E-2</v>
      </c>
      <c r="AK126" s="215">
        <f>IF(AJ126&lt;$AA$134,(AJ126-$AA$134)*0.7658,0)</f>
        <v>0</v>
      </c>
    </row>
    <row r="127" spans="1:37" ht="15.75" thickBot="1" x14ac:dyDescent="0.3">
      <c r="A127" s="211" t="s">
        <v>145</v>
      </c>
      <c r="B127" s="208">
        <f>VLOOKUP($A127,Costdrivere!$A$1:$G$128,2,FALSE)</f>
        <v>344275.68809968617</v>
      </c>
      <c r="C127" s="209">
        <f>VLOOKUP($A127,Costdrivere!$A$1:$G$128,3,FALSE)</f>
        <v>0</v>
      </c>
      <c r="D127" s="209">
        <f>VLOOKUP($A127,Costdrivere!$A$1:$G$128,4,FALSE)</f>
        <v>35453</v>
      </c>
      <c r="E127" s="209">
        <f>VLOOKUP($A127,Costdrivere!$A$1:$G$128,5,FALSE)</f>
        <v>0</v>
      </c>
      <c r="F127" s="209">
        <f>VLOOKUP($A127,Costdrivere!$A$1:$G$128,6,FALSE)</f>
        <v>0</v>
      </c>
      <c r="G127" s="209">
        <f>VLOOKUP($A127,Costdrivere!$A$1:$G$128,7,FALSE)</f>
        <v>1048.6000000000001</v>
      </c>
      <c r="H127" s="20">
        <v>6.4</v>
      </c>
      <c r="I127" s="13">
        <f>VLOOKUP(A127,Costdrivere!$A$1:$H$128,8,FALSE)</f>
        <v>0</v>
      </c>
      <c r="J127" s="35">
        <f t="shared" si="108"/>
        <v>380777.28809968615</v>
      </c>
      <c r="K127" s="36">
        <f t="shared" si="109"/>
        <v>262812.48424640333</v>
      </c>
      <c r="L127" s="36">
        <v>0</v>
      </c>
      <c r="M127" s="35">
        <f>J127+'Potentialer og krav'!F126</f>
        <v>380777.28809968615</v>
      </c>
      <c r="N127" s="36">
        <f t="shared" si="112"/>
        <v>262812.48424640333</v>
      </c>
      <c r="O127" s="44">
        <f t="shared" si="113"/>
        <v>270732.65183887683</v>
      </c>
      <c r="P127" s="36">
        <f>M127+(0.25*'Potentialer og krav'!$C126)</f>
        <v>447174.53809968615</v>
      </c>
      <c r="Q127" s="36">
        <f>N127+(0.25*'Potentialer og krav'!$C126)</f>
        <v>329209.73424640333</v>
      </c>
      <c r="R127" s="36">
        <f>O127+(0.25*'Potentialer og krav'!$C126)</f>
        <v>337129.90183887683</v>
      </c>
      <c r="S127" s="14">
        <v>282333</v>
      </c>
      <c r="T127" s="14">
        <f t="shared" si="111"/>
        <v>291085.32299999997</v>
      </c>
      <c r="V127" s="225">
        <f t="shared" si="114"/>
        <v>0.90413924059870932</v>
      </c>
      <c r="W127" s="226">
        <f t="shared" si="115"/>
        <v>0</v>
      </c>
      <c r="X127" s="226">
        <f t="shared" si="116"/>
        <v>9.3106918684494985E-2</v>
      </c>
      <c r="Y127" s="226">
        <f t="shared" si="117"/>
        <v>0</v>
      </c>
      <c r="Z127" s="226">
        <f t="shared" si="118"/>
        <v>0</v>
      </c>
      <c r="AA127" s="227">
        <f t="shared" si="119"/>
        <v>2.753840716795799E-3</v>
      </c>
      <c r="AC127" s="225">
        <f t="shared" si="120"/>
        <v>-0.7868499589180733</v>
      </c>
      <c r="AD127" s="226">
        <f t="shared" si="120"/>
        <v>0.29462326018141871</v>
      </c>
      <c r="AE127" s="226">
        <f t="shared" si="120"/>
        <v>-4.63351010913262E-2</v>
      </c>
      <c r="AF127" s="226">
        <f t="shared" si="120"/>
        <v>0.2284589692690884</v>
      </c>
      <c r="AG127" s="226">
        <f t="shared" si="120"/>
        <v>0.14806499594423672</v>
      </c>
      <c r="AH127" s="227">
        <f t="shared" si="120"/>
        <v>0.16056042636577703</v>
      </c>
      <c r="AI127" s="11"/>
      <c r="AJ127" s="240">
        <f>$AA$131-AA127</f>
        <v>0.16056042636577703</v>
      </c>
      <c r="AK127" s="241">
        <f>IF(AJ127&lt;$AA$134,(AJ127-$AA$134)*0.7658,0)</f>
        <v>0</v>
      </c>
    </row>
    <row r="128" spans="1:37" x14ac:dyDescent="0.25">
      <c r="A128" s="50"/>
    </row>
    <row r="129" spans="1:27" x14ac:dyDescent="0.25">
      <c r="A129" s="50"/>
    </row>
    <row r="130" spans="1:27" ht="15.75" thickBot="1" x14ac:dyDescent="0.3">
      <c r="A130" s="56"/>
      <c r="B130" s="56"/>
      <c r="T130" s="7"/>
    </row>
    <row r="131" spans="1:27" x14ac:dyDescent="0.25">
      <c r="A131" s="57"/>
      <c r="B131" s="56"/>
      <c r="U131" s="17" t="s">
        <v>181</v>
      </c>
      <c r="V131" s="229">
        <v>0.11728928168063596</v>
      </c>
      <c r="W131" s="229">
        <v>0.29462326018141871</v>
      </c>
      <c r="X131" s="229">
        <v>4.6771817593168785E-2</v>
      </c>
      <c r="Y131" s="229">
        <v>0.2284589692690884</v>
      </c>
      <c r="Z131" s="229">
        <v>0.14806499594423672</v>
      </c>
      <c r="AA131" s="230">
        <v>0.16331426708257282</v>
      </c>
    </row>
    <row r="132" spans="1:27" x14ac:dyDescent="0.25">
      <c r="A132" s="57"/>
      <c r="B132" s="56"/>
      <c r="U132" s="16" t="s">
        <v>182</v>
      </c>
      <c r="V132" s="212">
        <v>0.46075405436368222</v>
      </c>
      <c r="W132" s="212">
        <v>1.4241005831103715</v>
      </c>
      <c r="X132" s="212">
        <v>0.49702672575485463</v>
      </c>
      <c r="Y132" s="212">
        <v>0.93574097974685455</v>
      </c>
      <c r="Z132" s="212">
        <v>0.26522026828503664</v>
      </c>
      <c r="AA132" s="213">
        <v>0.33185075162201572</v>
      </c>
    </row>
    <row r="133" spans="1:27" x14ac:dyDescent="0.25">
      <c r="A133" s="57"/>
      <c r="B133" s="56"/>
      <c r="U133" s="16" t="s">
        <v>183</v>
      </c>
      <c r="V133" s="212">
        <v>6.7878866693815848E-2</v>
      </c>
      <c r="W133" s="212">
        <v>0.11933568548889185</v>
      </c>
      <c r="X133" s="212">
        <v>7.0500122393855072E-2</v>
      </c>
      <c r="Y133" s="212">
        <v>9.6733705591528663E-2</v>
      </c>
      <c r="Z133" s="212">
        <v>5.1499540608148792E-2</v>
      </c>
      <c r="AA133" s="213">
        <v>5.7606488490621929E-2</v>
      </c>
    </row>
    <row r="134" spans="1:27" ht="15.75" thickBot="1" x14ac:dyDescent="0.3">
      <c r="A134" s="57"/>
      <c r="B134" s="56"/>
      <c r="U134" s="23" t="s">
        <v>184</v>
      </c>
      <c r="V134" s="231">
        <v>-6.7878866693815848E-2</v>
      </c>
      <c r="W134" s="231">
        <v>-0.11933568548889185</v>
      </c>
      <c r="X134" s="231">
        <v>-7.0500122393855072E-2</v>
      </c>
      <c r="Y134" s="231">
        <v>-9.6733705591528663E-2</v>
      </c>
      <c r="Z134" s="231">
        <v>-5.1499540608148792E-2</v>
      </c>
      <c r="AA134" s="232">
        <v>-5.7606488490621929E-2</v>
      </c>
    </row>
    <row r="135" spans="1:27" x14ac:dyDescent="0.25">
      <c r="A135" s="57"/>
      <c r="B135" s="56"/>
    </row>
    <row r="136" spans="1:27" x14ac:dyDescent="0.25">
      <c r="A136" s="57"/>
      <c r="B136" s="56"/>
    </row>
    <row r="137" spans="1:27" x14ac:dyDescent="0.25">
      <c r="A137" s="57"/>
      <c r="B137" s="56"/>
      <c r="V137" s="228"/>
      <c r="W137" s="228"/>
      <c r="X137" s="228"/>
      <c r="Y137" s="228"/>
      <c r="Z137" s="228"/>
      <c r="AA137" s="228"/>
    </row>
    <row r="138" spans="1:27" x14ac:dyDescent="0.25">
      <c r="A138" s="57"/>
      <c r="B138" s="56"/>
      <c r="V138" s="228"/>
      <c r="W138" s="228"/>
      <c r="X138" s="228"/>
      <c r="Y138" s="228"/>
      <c r="Z138" s="228"/>
      <c r="AA138" s="228"/>
    </row>
    <row r="139" spans="1:27" x14ac:dyDescent="0.25">
      <c r="A139" s="57"/>
      <c r="B139" s="56"/>
      <c r="V139" s="228"/>
      <c r="W139" s="228"/>
      <c r="X139" s="228"/>
      <c r="Y139" s="228"/>
      <c r="Z139" s="228"/>
      <c r="AA139" s="228"/>
    </row>
    <row r="140" spans="1:27" x14ac:dyDescent="0.25">
      <c r="A140" s="57"/>
      <c r="B140" s="56"/>
      <c r="V140" s="228"/>
      <c r="W140" s="228"/>
      <c r="X140" s="228"/>
      <c r="Y140" s="228"/>
      <c r="Z140" s="228"/>
      <c r="AA140" s="228"/>
    </row>
    <row r="141" spans="1:27" x14ac:dyDescent="0.25">
      <c r="A141" s="57"/>
      <c r="B141" s="56"/>
    </row>
    <row r="142" spans="1:27" x14ac:dyDescent="0.25">
      <c r="A142" s="57"/>
      <c r="B142" s="56"/>
      <c r="V142" s="7"/>
      <c r="W142" s="7"/>
      <c r="X142" s="7"/>
      <c r="Y142" s="7"/>
      <c r="Z142" s="7"/>
      <c r="AA142" s="7"/>
    </row>
    <row r="143" spans="1:27" x14ac:dyDescent="0.25">
      <c r="A143" s="57"/>
      <c r="B143" s="56"/>
      <c r="V143" s="7"/>
      <c r="W143" s="7"/>
      <c r="X143" s="7"/>
      <c r="Y143" s="7"/>
      <c r="Z143" s="7"/>
      <c r="AA143" s="7"/>
    </row>
    <row r="144" spans="1:27" x14ac:dyDescent="0.25">
      <c r="A144" s="57"/>
      <c r="B144" s="56"/>
      <c r="J144"/>
      <c r="K144"/>
      <c r="L144"/>
      <c r="M144"/>
      <c r="N144"/>
      <c r="O144"/>
      <c r="P144"/>
      <c r="Q144"/>
      <c r="R144"/>
    </row>
    <row r="145" spans="1:18" x14ac:dyDescent="0.25">
      <c r="A145" s="57"/>
      <c r="B145" s="56"/>
      <c r="J145"/>
      <c r="K145"/>
      <c r="L145"/>
      <c r="M145"/>
      <c r="N145"/>
      <c r="O145"/>
      <c r="P145"/>
      <c r="Q145"/>
      <c r="R145"/>
    </row>
    <row r="146" spans="1:18" x14ac:dyDescent="0.25">
      <c r="A146" s="57"/>
      <c r="B146" s="56"/>
      <c r="J146"/>
      <c r="K146"/>
      <c r="L146"/>
      <c r="M146"/>
      <c r="N146"/>
      <c r="O146"/>
      <c r="P146"/>
      <c r="Q146"/>
      <c r="R146"/>
    </row>
    <row r="147" spans="1:18" x14ac:dyDescent="0.25">
      <c r="A147" s="57"/>
      <c r="B147" s="56"/>
      <c r="J147"/>
      <c r="K147"/>
      <c r="L147"/>
      <c r="M147"/>
      <c r="N147"/>
      <c r="O147"/>
      <c r="P147"/>
      <c r="Q147"/>
      <c r="R147"/>
    </row>
    <row r="148" spans="1:18" x14ac:dyDescent="0.25">
      <c r="A148" s="57"/>
      <c r="B148" s="56"/>
      <c r="J148"/>
      <c r="K148"/>
      <c r="L148"/>
      <c r="M148"/>
      <c r="N148"/>
      <c r="O148"/>
      <c r="P148"/>
      <c r="Q148"/>
      <c r="R148"/>
    </row>
    <row r="149" spans="1:18" x14ac:dyDescent="0.25">
      <c r="A149" s="57"/>
      <c r="B149" s="56"/>
      <c r="J149"/>
      <c r="K149"/>
      <c r="L149"/>
      <c r="M149"/>
      <c r="N149"/>
      <c r="O149"/>
      <c r="P149"/>
      <c r="Q149"/>
      <c r="R149"/>
    </row>
    <row r="150" spans="1:18" x14ac:dyDescent="0.25">
      <c r="A150" s="57"/>
      <c r="B150" s="56"/>
      <c r="J150"/>
      <c r="K150"/>
      <c r="L150"/>
      <c r="M150"/>
      <c r="N150"/>
      <c r="O150"/>
      <c r="P150"/>
      <c r="Q150"/>
      <c r="R150"/>
    </row>
    <row r="151" spans="1:18" x14ac:dyDescent="0.25">
      <c r="A151" s="57"/>
      <c r="B151" s="56"/>
      <c r="J151"/>
      <c r="K151"/>
      <c r="L151"/>
      <c r="M151"/>
      <c r="N151"/>
      <c r="O151"/>
      <c r="P151"/>
      <c r="Q151"/>
      <c r="R151"/>
    </row>
    <row r="152" spans="1:18" x14ac:dyDescent="0.25">
      <c r="A152" s="57"/>
      <c r="B152" s="56"/>
      <c r="J152"/>
      <c r="K152"/>
      <c r="L152"/>
      <c r="M152"/>
      <c r="N152"/>
      <c r="O152"/>
      <c r="P152"/>
      <c r="Q152"/>
      <c r="R152"/>
    </row>
    <row r="153" spans="1:18" x14ac:dyDescent="0.25">
      <c r="A153" s="57"/>
      <c r="B153" s="56"/>
      <c r="J153"/>
      <c r="K153"/>
      <c r="L153"/>
      <c r="M153"/>
      <c r="N153"/>
      <c r="O153"/>
      <c r="P153"/>
      <c r="Q153"/>
      <c r="R153"/>
    </row>
    <row r="154" spans="1:18" x14ac:dyDescent="0.25">
      <c r="A154" s="57"/>
      <c r="B154" s="56"/>
      <c r="J154"/>
      <c r="K154"/>
      <c r="L154"/>
      <c r="M154"/>
      <c r="N154"/>
      <c r="O154"/>
      <c r="P154"/>
      <c r="Q154"/>
      <c r="R154"/>
    </row>
    <row r="155" spans="1:18" x14ac:dyDescent="0.25">
      <c r="A155" s="57"/>
      <c r="B155" s="56"/>
      <c r="J155"/>
      <c r="K155"/>
      <c r="L155"/>
      <c r="M155"/>
      <c r="N155"/>
      <c r="O155"/>
      <c r="P155"/>
      <c r="Q155"/>
      <c r="R155"/>
    </row>
    <row r="156" spans="1:18" x14ac:dyDescent="0.25">
      <c r="A156" s="57"/>
      <c r="B156" s="56"/>
      <c r="J156"/>
      <c r="K156"/>
      <c r="L156"/>
      <c r="M156"/>
      <c r="N156"/>
      <c r="O156"/>
      <c r="P156"/>
      <c r="Q156"/>
      <c r="R156"/>
    </row>
    <row r="157" spans="1:18" x14ac:dyDescent="0.25">
      <c r="A157" s="57"/>
      <c r="B157" s="56"/>
      <c r="J157"/>
      <c r="K157"/>
      <c r="L157"/>
      <c r="M157"/>
      <c r="N157"/>
      <c r="O157"/>
      <c r="P157"/>
      <c r="Q157"/>
      <c r="R157"/>
    </row>
    <row r="158" spans="1:18" x14ac:dyDescent="0.25">
      <c r="A158" s="57"/>
      <c r="B158" s="56"/>
      <c r="J158"/>
      <c r="K158"/>
      <c r="L158"/>
      <c r="M158"/>
      <c r="N158"/>
      <c r="O158"/>
      <c r="P158"/>
      <c r="Q158"/>
      <c r="R158"/>
    </row>
    <row r="159" spans="1:18" x14ac:dyDescent="0.25">
      <c r="A159" s="57"/>
      <c r="B159" s="56"/>
      <c r="J159"/>
      <c r="K159"/>
      <c r="L159"/>
      <c r="M159"/>
      <c r="N159"/>
      <c r="O159"/>
      <c r="P159"/>
      <c r="Q159"/>
      <c r="R159"/>
    </row>
    <row r="160" spans="1:18" x14ac:dyDescent="0.25">
      <c r="A160" s="57"/>
      <c r="B160" s="56"/>
      <c r="J160"/>
      <c r="K160"/>
      <c r="L160"/>
      <c r="M160"/>
      <c r="N160"/>
      <c r="O160"/>
      <c r="P160"/>
      <c r="Q160"/>
      <c r="R160"/>
    </row>
    <row r="161" spans="1:18" x14ac:dyDescent="0.25">
      <c r="A161" s="57"/>
      <c r="B161" s="56"/>
      <c r="J161"/>
      <c r="K161"/>
      <c r="L161"/>
      <c r="M161"/>
      <c r="N161"/>
      <c r="O161"/>
      <c r="P161"/>
      <c r="Q161"/>
      <c r="R161"/>
    </row>
    <row r="162" spans="1:18" x14ac:dyDescent="0.25">
      <c r="A162" s="57"/>
      <c r="B162" s="56"/>
      <c r="J162"/>
      <c r="K162"/>
      <c r="L162"/>
      <c r="M162"/>
      <c r="N162"/>
      <c r="O162"/>
      <c r="P162"/>
      <c r="Q162"/>
      <c r="R162"/>
    </row>
    <row r="163" spans="1:18" x14ac:dyDescent="0.25">
      <c r="A163" s="57"/>
      <c r="B163" s="56"/>
      <c r="J163"/>
      <c r="K163"/>
      <c r="L163"/>
      <c r="M163"/>
      <c r="N163"/>
      <c r="O163"/>
      <c r="P163"/>
      <c r="Q163"/>
      <c r="R163"/>
    </row>
    <row r="164" spans="1:18" x14ac:dyDescent="0.25">
      <c r="A164" s="57"/>
      <c r="B164" s="56"/>
      <c r="J164"/>
      <c r="K164"/>
      <c r="L164"/>
      <c r="M164"/>
      <c r="N164"/>
      <c r="O164"/>
      <c r="P164"/>
      <c r="Q164"/>
      <c r="R164"/>
    </row>
    <row r="165" spans="1:18" x14ac:dyDescent="0.25">
      <c r="A165" s="57"/>
      <c r="B165" s="56"/>
      <c r="J165"/>
      <c r="K165"/>
      <c r="L165"/>
      <c r="M165"/>
      <c r="N165"/>
      <c r="O165"/>
      <c r="P165"/>
      <c r="Q165"/>
      <c r="R165"/>
    </row>
    <row r="166" spans="1:18" x14ac:dyDescent="0.25">
      <c r="A166" s="57"/>
      <c r="B166" s="56"/>
      <c r="J166"/>
      <c r="K166"/>
      <c r="L166"/>
      <c r="M166"/>
      <c r="N166"/>
      <c r="O166"/>
      <c r="P166"/>
      <c r="Q166"/>
      <c r="R166"/>
    </row>
    <row r="167" spans="1:18" x14ac:dyDescent="0.25">
      <c r="A167" s="57"/>
      <c r="B167" s="56"/>
      <c r="J167"/>
      <c r="K167"/>
      <c r="L167"/>
      <c r="M167"/>
      <c r="N167"/>
      <c r="O167"/>
      <c r="P167"/>
      <c r="Q167"/>
      <c r="R167"/>
    </row>
    <row r="168" spans="1:18" x14ac:dyDescent="0.25">
      <c r="A168" s="57"/>
      <c r="B168" s="56"/>
      <c r="J168"/>
      <c r="K168"/>
      <c r="L168"/>
      <c r="M168"/>
      <c r="N168"/>
      <c r="O168"/>
      <c r="P168"/>
      <c r="Q168"/>
      <c r="R168"/>
    </row>
    <row r="169" spans="1:18" x14ac:dyDescent="0.25">
      <c r="A169" s="57"/>
      <c r="B169" s="56"/>
      <c r="J169"/>
      <c r="K169"/>
      <c r="L169"/>
      <c r="M169"/>
      <c r="N169"/>
      <c r="O169"/>
      <c r="P169"/>
      <c r="Q169"/>
      <c r="R169"/>
    </row>
    <row r="170" spans="1:18" x14ac:dyDescent="0.25">
      <c r="A170" s="57"/>
      <c r="B170" s="56"/>
      <c r="J170"/>
      <c r="K170"/>
      <c r="L170"/>
      <c r="M170"/>
      <c r="N170"/>
      <c r="O170"/>
      <c r="P170"/>
      <c r="Q170"/>
      <c r="R170"/>
    </row>
    <row r="171" spans="1:18" x14ac:dyDescent="0.25">
      <c r="A171" s="57"/>
      <c r="B171" s="56"/>
      <c r="J171"/>
      <c r="K171"/>
      <c r="L171"/>
      <c r="M171"/>
      <c r="N171"/>
      <c r="O171"/>
      <c r="P171"/>
      <c r="Q171"/>
      <c r="R171"/>
    </row>
    <row r="172" spans="1:18" x14ac:dyDescent="0.25">
      <c r="A172" s="57"/>
      <c r="B172" s="56"/>
      <c r="J172"/>
      <c r="K172"/>
      <c r="L172"/>
      <c r="M172"/>
      <c r="N172"/>
      <c r="O172"/>
      <c r="P172"/>
      <c r="Q172"/>
      <c r="R172"/>
    </row>
    <row r="173" spans="1:18" x14ac:dyDescent="0.25">
      <c r="A173" s="57"/>
      <c r="B173" s="56"/>
      <c r="J173"/>
      <c r="K173"/>
      <c r="L173"/>
      <c r="M173"/>
      <c r="N173"/>
      <c r="O173"/>
      <c r="P173"/>
      <c r="Q173"/>
      <c r="R173"/>
    </row>
    <row r="174" spans="1:18" x14ac:dyDescent="0.25">
      <c r="A174" s="57"/>
      <c r="B174" s="56"/>
      <c r="J174"/>
      <c r="K174"/>
      <c r="L174"/>
      <c r="M174"/>
      <c r="N174"/>
      <c r="O174"/>
      <c r="P174"/>
      <c r="Q174"/>
      <c r="R174"/>
    </row>
    <row r="175" spans="1:18" x14ac:dyDescent="0.25">
      <c r="A175" s="57"/>
      <c r="B175" s="56"/>
      <c r="J175"/>
      <c r="K175"/>
      <c r="L175"/>
      <c r="M175"/>
      <c r="N175"/>
      <c r="O175"/>
      <c r="P175"/>
      <c r="Q175"/>
      <c r="R175"/>
    </row>
    <row r="176" spans="1:18" x14ac:dyDescent="0.25">
      <c r="A176" s="57"/>
      <c r="B176" s="56"/>
      <c r="J176"/>
      <c r="K176"/>
      <c r="L176"/>
      <c r="M176"/>
      <c r="N176"/>
      <c r="O176"/>
      <c r="P176"/>
      <c r="Q176"/>
      <c r="R176"/>
    </row>
    <row r="177" spans="1:18" x14ac:dyDescent="0.25">
      <c r="A177" s="57"/>
      <c r="B177" s="56"/>
      <c r="J177"/>
      <c r="K177"/>
      <c r="L177"/>
      <c r="M177"/>
      <c r="N177"/>
      <c r="O177"/>
      <c r="P177"/>
      <c r="Q177"/>
      <c r="R177"/>
    </row>
    <row r="178" spans="1:18" x14ac:dyDescent="0.25">
      <c r="A178" s="57"/>
      <c r="B178" s="56"/>
      <c r="J178"/>
      <c r="K178"/>
      <c r="L178"/>
      <c r="M178"/>
      <c r="N178"/>
      <c r="O178"/>
      <c r="P178"/>
      <c r="Q178"/>
      <c r="R178"/>
    </row>
    <row r="179" spans="1:18" x14ac:dyDescent="0.25">
      <c r="A179" s="57"/>
      <c r="B179" s="56"/>
      <c r="J179"/>
      <c r="K179"/>
      <c r="L179"/>
      <c r="M179"/>
      <c r="N179"/>
      <c r="O179"/>
      <c r="P179"/>
      <c r="Q179"/>
      <c r="R179"/>
    </row>
    <row r="180" spans="1:18" x14ac:dyDescent="0.25">
      <c r="A180" s="57"/>
      <c r="B180" s="56"/>
      <c r="J180"/>
      <c r="K180"/>
      <c r="L180"/>
      <c r="M180"/>
      <c r="N180"/>
      <c r="O180"/>
      <c r="P180"/>
      <c r="Q180"/>
      <c r="R180"/>
    </row>
    <row r="181" spans="1:18" x14ac:dyDescent="0.25">
      <c r="A181" s="57"/>
      <c r="B181" s="56"/>
      <c r="J181"/>
      <c r="K181"/>
      <c r="L181"/>
      <c r="M181"/>
      <c r="N181"/>
      <c r="O181"/>
      <c r="P181"/>
      <c r="Q181"/>
      <c r="R181"/>
    </row>
    <row r="182" spans="1:18" x14ac:dyDescent="0.25">
      <c r="A182" s="57"/>
      <c r="B182" s="56"/>
      <c r="J182"/>
      <c r="K182"/>
      <c r="L182"/>
      <c r="M182"/>
      <c r="N182"/>
      <c r="O182"/>
      <c r="P182"/>
      <c r="Q182"/>
      <c r="R182"/>
    </row>
    <row r="183" spans="1:18" x14ac:dyDescent="0.25">
      <c r="A183" s="57"/>
      <c r="B183" s="56"/>
      <c r="J183"/>
      <c r="K183"/>
      <c r="L183"/>
      <c r="M183"/>
      <c r="N183"/>
      <c r="O183"/>
      <c r="P183"/>
      <c r="Q183"/>
      <c r="R183"/>
    </row>
    <row r="184" spans="1:18" x14ac:dyDescent="0.25">
      <c r="A184" s="57"/>
      <c r="B184" s="56"/>
      <c r="J184"/>
      <c r="K184"/>
      <c r="L184"/>
      <c r="M184"/>
      <c r="N184"/>
      <c r="O184"/>
      <c r="P184"/>
      <c r="Q184"/>
      <c r="R184"/>
    </row>
    <row r="185" spans="1:18" x14ac:dyDescent="0.25">
      <c r="A185" s="57"/>
      <c r="B185" s="56"/>
      <c r="J185"/>
      <c r="K185"/>
      <c r="L185"/>
      <c r="M185"/>
      <c r="N185"/>
      <c r="O185"/>
      <c r="P185"/>
      <c r="Q185"/>
      <c r="R185"/>
    </row>
    <row r="186" spans="1:18" x14ac:dyDescent="0.25">
      <c r="A186" s="57"/>
      <c r="B186" s="56"/>
      <c r="J186"/>
      <c r="K186"/>
      <c r="L186"/>
      <c r="M186"/>
      <c r="N186"/>
      <c r="O186"/>
      <c r="P186"/>
      <c r="Q186"/>
      <c r="R186"/>
    </row>
    <row r="187" spans="1:18" x14ac:dyDescent="0.25">
      <c r="A187" s="57"/>
      <c r="B187" s="56"/>
      <c r="J187"/>
      <c r="K187"/>
      <c r="L187"/>
      <c r="M187"/>
      <c r="N187"/>
      <c r="O187"/>
      <c r="P187"/>
      <c r="Q187"/>
      <c r="R187"/>
    </row>
    <row r="188" spans="1:18" x14ac:dyDescent="0.25">
      <c r="A188" s="57"/>
      <c r="B188" s="56"/>
      <c r="J188"/>
      <c r="K188"/>
      <c r="L188"/>
      <c r="M188"/>
      <c r="N188"/>
      <c r="O188"/>
      <c r="P188"/>
      <c r="Q188"/>
      <c r="R188"/>
    </row>
    <row r="189" spans="1:18" x14ac:dyDescent="0.25">
      <c r="A189" s="57"/>
      <c r="B189" s="56"/>
      <c r="J189"/>
      <c r="K189"/>
      <c r="L189"/>
      <c r="M189"/>
      <c r="N189"/>
      <c r="O189"/>
      <c r="P189"/>
      <c r="Q189"/>
      <c r="R189"/>
    </row>
    <row r="190" spans="1:18" x14ac:dyDescent="0.25">
      <c r="A190" s="57"/>
      <c r="B190" s="56"/>
      <c r="J190"/>
      <c r="K190"/>
      <c r="L190"/>
      <c r="M190"/>
      <c r="N190"/>
      <c r="O190"/>
      <c r="P190"/>
      <c r="Q190"/>
      <c r="R190"/>
    </row>
    <row r="191" spans="1:18" x14ac:dyDescent="0.25">
      <c r="A191" s="57"/>
      <c r="B191" s="56"/>
      <c r="J191"/>
      <c r="K191"/>
      <c r="L191"/>
      <c r="M191"/>
      <c r="N191"/>
      <c r="O191"/>
      <c r="P191"/>
      <c r="Q191"/>
      <c r="R191"/>
    </row>
    <row r="192" spans="1:18" x14ac:dyDescent="0.25">
      <c r="A192" s="57"/>
      <c r="B192" s="56"/>
      <c r="J192"/>
      <c r="K192"/>
      <c r="L192"/>
      <c r="M192"/>
      <c r="N192"/>
      <c r="O192"/>
      <c r="P192"/>
      <c r="Q192"/>
      <c r="R192"/>
    </row>
    <row r="193" spans="1:18" x14ac:dyDescent="0.25">
      <c r="A193" s="57"/>
      <c r="B193" s="56"/>
      <c r="J193"/>
      <c r="K193"/>
      <c r="L193"/>
      <c r="M193"/>
      <c r="N193"/>
      <c r="O193"/>
      <c r="P193"/>
      <c r="Q193"/>
      <c r="R193"/>
    </row>
    <row r="194" spans="1:18" x14ac:dyDescent="0.25">
      <c r="A194" s="57"/>
      <c r="B194" s="56"/>
      <c r="J194"/>
      <c r="K194"/>
      <c r="L194"/>
      <c r="M194"/>
      <c r="N194"/>
      <c r="O194"/>
      <c r="P194"/>
      <c r="Q194"/>
      <c r="R194"/>
    </row>
    <row r="195" spans="1:18" x14ac:dyDescent="0.25">
      <c r="A195" s="57"/>
      <c r="B195" s="56"/>
      <c r="J195"/>
      <c r="K195"/>
      <c r="L195"/>
      <c r="M195"/>
      <c r="N195"/>
      <c r="O195"/>
      <c r="P195"/>
      <c r="Q195"/>
      <c r="R195"/>
    </row>
    <row r="196" spans="1:18" x14ac:dyDescent="0.25">
      <c r="A196" s="57"/>
      <c r="B196" s="56"/>
      <c r="J196"/>
      <c r="K196"/>
      <c r="L196"/>
      <c r="M196"/>
      <c r="N196"/>
      <c r="O196"/>
      <c r="P196"/>
      <c r="Q196"/>
      <c r="R196"/>
    </row>
    <row r="197" spans="1:18" x14ac:dyDescent="0.25">
      <c r="A197" s="57"/>
      <c r="B197" s="56"/>
      <c r="J197"/>
      <c r="K197"/>
      <c r="L197"/>
      <c r="M197"/>
      <c r="N197"/>
      <c r="O197"/>
      <c r="P197"/>
      <c r="Q197"/>
      <c r="R197"/>
    </row>
    <row r="198" spans="1:18" x14ac:dyDescent="0.25">
      <c r="A198" s="57"/>
      <c r="B198" s="56"/>
      <c r="J198"/>
      <c r="K198"/>
      <c r="L198"/>
      <c r="M198"/>
      <c r="N198"/>
      <c r="O198"/>
      <c r="P198"/>
      <c r="Q198"/>
      <c r="R198"/>
    </row>
    <row r="199" spans="1:18" x14ac:dyDescent="0.25">
      <c r="A199" s="57"/>
      <c r="B199" s="56"/>
      <c r="J199"/>
      <c r="K199"/>
      <c r="L199"/>
      <c r="M199"/>
      <c r="N199"/>
      <c r="O199"/>
      <c r="P199"/>
      <c r="Q199"/>
      <c r="R199"/>
    </row>
    <row r="200" spans="1:18" x14ac:dyDescent="0.25">
      <c r="A200" s="57"/>
      <c r="B200" s="56"/>
      <c r="J200"/>
      <c r="K200"/>
      <c r="L200"/>
      <c r="M200"/>
      <c r="N200"/>
      <c r="O200"/>
      <c r="P200"/>
      <c r="Q200"/>
      <c r="R200"/>
    </row>
    <row r="201" spans="1:18" x14ac:dyDescent="0.25">
      <c r="A201" s="57"/>
      <c r="B201" s="56"/>
      <c r="J201"/>
      <c r="K201"/>
      <c r="L201"/>
      <c r="M201"/>
      <c r="N201"/>
      <c r="O201"/>
      <c r="P201"/>
      <c r="Q201"/>
      <c r="R201"/>
    </row>
    <row r="202" spans="1:18" x14ac:dyDescent="0.25">
      <c r="A202" s="57"/>
      <c r="B202" s="56"/>
      <c r="J202"/>
      <c r="K202"/>
      <c r="L202"/>
      <c r="M202"/>
      <c r="N202"/>
      <c r="O202"/>
      <c r="P202"/>
      <c r="Q202"/>
      <c r="R202"/>
    </row>
    <row r="203" spans="1:18" x14ac:dyDescent="0.25">
      <c r="A203" s="57"/>
      <c r="B203" s="56"/>
      <c r="J203"/>
      <c r="K203"/>
      <c r="L203"/>
      <c r="M203"/>
      <c r="N203"/>
      <c r="O203"/>
      <c r="P203"/>
      <c r="Q203"/>
      <c r="R203"/>
    </row>
    <row r="204" spans="1:18" x14ac:dyDescent="0.25">
      <c r="A204" s="57"/>
      <c r="B204" s="56"/>
      <c r="J204"/>
      <c r="K204"/>
      <c r="L204"/>
      <c r="M204"/>
      <c r="N204"/>
      <c r="O204"/>
      <c r="P204"/>
      <c r="Q204"/>
      <c r="R204"/>
    </row>
    <row r="205" spans="1:18" x14ac:dyDescent="0.25">
      <c r="A205" s="57"/>
      <c r="B205" s="56"/>
      <c r="J205"/>
      <c r="K205"/>
      <c r="L205"/>
      <c r="M205"/>
      <c r="N205"/>
      <c r="O205"/>
      <c r="P205"/>
      <c r="Q205"/>
      <c r="R205"/>
    </row>
    <row r="206" spans="1:18" x14ac:dyDescent="0.25">
      <c r="A206" s="57"/>
      <c r="B206" s="56"/>
      <c r="J206"/>
      <c r="K206"/>
      <c r="L206"/>
      <c r="M206"/>
      <c r="N206"/>
      <c r="O206"/>
      <c r="P206"/>
      <c r="Q206"/>
      <c r="R206"/>
    </row>
    <row r="207" spans="1:18" x14ac:dyDescent="0.25">
      <c r="A207" s="57"/>
      <c r="B207" s="56"/>
      <c r="J207"/>
      <c r="K207"/>
      <c r="L207"/>
      <c r="M207"/>
      <c r="N207"/>
      <c r="O207"/>
      <c r="P207"/>
      <c r="Q207"/>
      <c r="R207"/>
    </row>
    <row r="208" spans="1:18" x14ac:dyDescent="0.25">
      <c r="A208" s="57"/>
      <c r="B208" s="56"/>
      <c r="J208"/>
      <c r="K208"/>
      <c r="L208"/>
      <c r="M208"/>
      <c r="N208"/>
      <c r="O208"/>
      <c r="P208"/>
      <c r="Q208"/>
      <c r="R208"/>
    </row>
    <row r="209" spans="1:18" x14ac:dyDescent="0.25">
      <c r="A209" s="57"/>
      <c r="B209" s="56"/>
      <c r="J209"/>
      <c r="K209"/>
      <c r="L209"/>
      <c r="M209"/>
      <c r="N209"/>
      <c r="O209"/>
      <c r="P209"/>
      <c r="Q209"/>
      <c r="R209"/>
    </row>
    <row r="210" spans="1:18" x14ac:dyDescent="0.25">
      <c r="A210" s="57"/>
      <c r="B210" s="56"/>
      <c r="J210"/>
      <c r="K210"/>
      <c r="L210"/>
      <c r="M210"/>
      <c r="N210"/>
      <c r="O210"/>
      <c r="P210"/>
      <c r="Q210"/>
      <c r="R210"/>
    </row>
    <row r="211" spans="1:18" x14ac:dyDescent="0.25">
      <c r="A211" s="57"/>
      <c r="B211" s="56"/>
      <c r="J211"/>
      <c r="K211"/>
      <c r="L211"/>
      <c r="M211"/>
      <c r="N211"/>
      <c r="O211"/>
      <c r="P211"/>
      <c r="Q211"/>
      <c r="R211"/>
    </row>
    <row r="212" spans="1:18" x14ac:dyDescent="0.25">
      <c r="A212" s="57"/>
      <c r="B212" s="56"/>
      <c r="J212"/>
      <c r="K212"/>
      <c r="L212"/>
      <c r="M212"/>
      <c r="N212"/>
      <c r="O212"/>
      <c r="P212"/>
      <c r="Q212"/>
      <c r="R212"/>
    </row>
    <row r="213" spans="1:18" x14ac:dyDescent="0.25">
      <c r="A213" s="57"/>
      <c r="B213" s="56"/>
      <c r="J213"/>
      <c r="K213"/>
      <c r="L213"/>
      <c r="M213"/>
      <c r="N213"/>
      <c r="O213"/>
      <c r="P213"/>
      <c r="Q213"/>
      <c r="R213"/>
    </row>
    <row r="214" spans="1:18" x14ac:dyDescent="0.25">
      <c r="A214" s="57"/>
      <c r="B214" s="56"/>
      <c r="J214"/>
      <c r="K214"/>
      <c r="L214"/>
      <c r="M214"/>
      <c r="N214"/>
      <c r="O214"/>
      <c r="P214"/>
      <c r="Q214"/>
      <c r="R214"/>
    </row>
    <row r="215" spans="1:18" x14ac:dyDescent="0.25">
      <c r="A215" s="57"/>
      <c r="B215" s="56"/>
      <c r="J215"/>
      <c r="K215"/>
      <c r="L215"/>
      <c r="M215"/>
      <c r="N215"/>
      <c r="O215"/>
      <c r="P215"/>
      <c r="Q215"/>
      <c r="R215"/>
    </row>
    <row r="216" spans="1:18" x14ac:dyDescent="0.25">
      <c r="A216" s="57"/>
      <c r="B216" s="56"/>
      <c r="J216"/>
      <c r="K216"/>
      <c r="L216"/>
      <c r="M216"/>
      <c r="N216"/>
      <c r="O216"/>
      <c r="P216"/>
      <c r="Q216"/>
      <c r="R216"/>
    </row>
    <row r="217" spans="1:18" x14ac:dyDescent="0.25">
      <c r="A217" s="57"/>
      <c r="B217" s="56"/>
      <c r="J217"/>
      <c r="K217"/>
      <c r="L217"/>
      <c r="M217"/>
      <c r="N217"/>
      <c r="O217"/>
      <c r="P217"/>
      <c r="Q217"/>
      <c r="R217"/>
    </row>
    <row r="218" spans="1:18" x14ac:dyDescent="0.25">
      <c r="A218" s="57"/>
      <c r="B218" s="56"/>
      <c r="J218"/>
      <c r="K218"/>
      <c r="L218"/>
      <c r="M218"/>
      <c r="N218"/>
      <c r="O218"/>
      <c r="P218"/>
      <c r="Q218"/>
      <c r="R218"/>
    </row>
    <row r="219" spans="1:18" x14ac:dyDescent="0.25">
      <c r="A219" s="57"/>
      <c r="B219" s="56"/>
      <c r="J219"/>
      <c r="K219"/>
      <c r="L219"/>
      <c r="M219"/>
      <c r="N219"/>
      <c r="O219"/>
      <c r="P219"/>
      <c r="Q219"/>
      <c r="R219"/>
    </row>
    <row r="220" spans="1:18" x14ac:dyDescent="0.25">
      <c r="A220" s="57"/>
      <c r="B220" s="56"/>
      <c r="J220"/>
      <c r="K220"/>
      <c r="L220"/>
      <c r="M220"/>
      <c r="N220"/>
      <c r="O220"/>
      <c r="P220"/>
      <c r="Q220"/>
      <c r="R220"/>
    </row>
    <row r="221" spans="1:18" x14ac:dyDescent="0.25">
      <c r="A221" s="57"/>
      <c r="B221" s="56"/>
      <c r="J221"/>
      <c r="K221"/>
      <c r="L221"/>
      <c r="M221"/>
      <c r="N221"/>
      <c r="O221"/>
      <c r="P221"/>
      <c r="Q221"/>
      <c r="R221"/>
    </row>
    <row r="222" spans="1:18" x14ac:dyDescent="0.25">
      <c r="A222" s="57"/>
      <c r="B222" s="56"/>
      <c r="J222"/>
      <c r="K222"/>
      <c r="L222"/>
      <c r="M222"/>
      <c r="N222"/>
      <c r="O222"/>
      <c r="P222"/>
      <c r="Q222"/>
      <c r="R222"/>
    </row>
    <row r="223" spans="1:18" x14ac:dyDescent="0.25">
      <c r="A223" s="57"/>
      <c r="B223" s="56"/>
      <c r="J223"/>
      <c r="K223"/>
      <c r="L223"/>
      <c r="M223"/>
      <c r="N223"/>
      <c r="O223"/>
      <c r="P223"/>
      <c r="Q223"/>
      <c r="R223"/>
    </row>
    <row r="224" spans="1:18" x14ac:dyDescent="0.25">
      <c r="A224" s="57"/>
      <c r="B224" s="56"/>
      <c r="J224"/>
      <c r="K224"/>
      <c r="L224"/>
      <c r="M224"/>
      <c r="N224"/>
      <c r="O224"/>
      <c r="P224"/>
      <c r="Q224"/>
      <c r="R224"/>
    </row>
    <row r="225" spans="1:18" x14ac:dyDescent="0.25">
      <c r="A225" s="57"/>
      <c r="B225" s="56"/>
      <c r="J225"/>
      <c r="K225"/>
      <c r="L225"/>
      <c r="M225"/>
      <c r="N225"/>
      <c r="O225"/>
      <c r="P225"/>
      <c r="Q225"/>
      <c r="R225"/>
    </row>
    <row r="226" spans="1:18" x14ac:dyDescent="0.25">
      <c r="A226" s="57"/>
      <c r="B226" s="56"/>
      <c r="J226"/>
      <c r="K226"/>
      <c r="L226"/>
      <c r="M226"/>
      <c r="N226"/>
      <c r="O226"/>
      <c r="P226"/>
      <c r="Q226"/>
      <c r="R226"/>
    </row>
    <row r="227" spans="1:18" x14ac:dyDescent="0.25">
      <c r="A227" s="57"/>
      <c r="B227" s="56"/>
      <c r="J227"/>
      <c r="K227"/>
      <c r="L227"/>
      <c r="M227"/>
      <c r="N227"/>
      <c r="O227"/>
      <c r="P227"/>
      <c r="Q227"/>
      <c r="R227"/>
    </row>
    <row r="228" spans="1:18" x14ac:dyDescent="0.25">
      <c r="A228" s="57"/>
      <c r="B228" s="56"/>
      <c r="J228"/>
      <c r="K228"/>
      <c r="L228"/>
      <c r="M228"/>
      <c r="N228"/>
      <c r="O228"/>
      <c r="P228"/>
      <c r="Q228"/>
      <c r="R228"/>
    </row>
    <row r="229" spans="1:18" x14ac:dyDescent="0.25">
      <c r="A229" s="57"/>
      <c r="B229" s="56"/>
      <c r="J229"/>
      <c r="K229"/>
      <c r="L229"/>
      <c r="M229"/>
      <c r="N229"/>
      <c r="O229"/>
      <c r="P229"/>
      <c r="Q229"/>
      <c r="R229"/>
    </row>
    <row r="230" spans="1:18" x14ac:dyDescent="0.25">
      <c r="A230" s="57"/>
      <c r="B230" s="56"/>
      <c r="J230"/>
      <c r="K230"/>
      <c r="L230"/>
      <c r="M230"/>
      <c r="N230"/>
      <c r="O230"/>
      <c r="P230"/>
      <c r="Q230"/>
      <c r="R230"/>
    </row>
    <row r="231" spans="1:18" x14ac:dyDescent="0.25">
      <c r="A231" s="57"/>
      <c r="B231" s="56"/>
      <c r="J231"/>
      <c r="K231"/>
      <c r="L231"/>
      <c r="M231"/>
      <c r="N231"/>
      <c r="O231"/>
      <c r="P231"/>
      <c r="Q231"/>
      <c r="R231"/>
    </row>
    <row r="232" spans="1:18" x14ac:dyDescent="0.25">
      <c r="A232" s="57"/>
      <c r="B232" s="56"/>
      <c r="J232"/>
      <c r="K232"/>
      <c r="L232"/>
      <c r="M232"/>
      <c r="N232"/>
      <c r="O232"/>
      <c r="P232"/>
      <c r="Q232"/>
      <c r="R232"/>
    </row>
    <row r="233" spans="1:18" x14ac:dyDescent="0.25">
      <c r="A233" s="57"/>
      <c r="B233" s="56"/>
      <c r="J233"/>
      <c r="K233"/>
      <c r="L233"/>
      <c r="M233"/>
      <c r="N233"/>
      <c r="O233"/>
      <c r="P233"/>
      <c r="Q233"/>
      <c r="R233"/>
    </row>
    <row r="234" spans="1:18" x14ac:dyDescent="0.25">
      <c r="A234" s="57"/>
      <c r="B234" s="56"/>
      <c r="J234"/>
      <c r="K234"/>
      <c r="L234"/>
      <c r="M234"/>
      <c r="N234"/>
      <c r="O234"/>
      <c r="P234"/>
      <c r="Q234"/>
      <c r="R234"/>
    </row>
    <row r="235" spans="1:18" x14ac:dyDescent="0.25">
      <c r="A235" s="57"/>
      <c r="B235" s="56"/>
      <c r="J235"/>
      <c r="K235"/>
      <c r="L235"/>
      <c r="M235"/>
      <c r="N235"/>
      <c r="O235"/>
      <c r="P235"/>
      <c r="Q235"/>
      <c r="R235"/>
    </row>
    <row r="236" spans="1:18" x14ac:dyDescent="0.25">
      <c r="A236" s="57"/>
      <c r="B236" s="56"/>
      <c r="J236"/>
      <c r="K236"/>
      <c r="L236"/>
      <c r="M236"/>
      <c r="N236"/>
      <c r="O236"/>
      <c r="P236"/>
      <c r="Q236"/>
      <c r="R236"/>
    </row>
    <row r="237" spans="1:18" x14ac:dyDescent="0.25">
      <c r="A237" s="57"/>
      <c r="B237" s="56"/>
      <c r="J237"/>
      <c r="K237"/>
      <c r="L237"/>
      <c r="M237"/>
      <c r="N237"/>
      <c r="O237"/>
      <c r="P237"/>
      <c r="Q237"/>
      <c r="R237"/>
    </row>
    <row r="238" spans="1:18" x14ac:dyDescent="0.25">
      <c r="A238" s="57"/>
      <c r="B238" s="56"/>
      <c r="J238"/>
      <c r="K238"/>
      <c r="L238"/>
      <c r="M238"/>
      <c r="N238"/>
      <c r="O238"/>
      <c r="P238"/>
      <c r="Q238"/>
      <c r="R238"/>
    </row>
    <row r="239" spans="1:18" x14ac:dyDescent="0.25">
      <c r="A239" s="57"/>
      <c r="B239" s="56"/>
      <c r="J239"/>
      <c r="K239"/>
      <c r="L239"/>
      <c r="M239"/>
      <c r="N239"/>
      <c r="O239"/>
      <c r="P239"/>
      <c r="Q239"/>
      <c r="R239"/>
    </row>
    <row r="240" spans="1:18" x14ac:dyDescent="0.25">
      <c r="A240" s="57"/>
      <c r="B240" s="56"/>
      <c r="J240"/>
      <c r="K240"/>
      <c r="L240"/>
      <c r="M240"/>
      <c r="N240"/>
      <c r="O240"/>
      <c r="P240"/>
      <c r="Q240"/>
      <c r="R240"/>
    </row>
    <row r="241" spans="1:18" x14ac:dyDescent="0.25">
      <c r="A241" s="57"/>
      <c r="B241" s="56"/>
      <c r="J241"/>
      <c r="K241"/>
      <c r="L241"/>
      <c r="M241"/>
      <c r="N241"/>
      <c r="O241"/>
      <c r="P241"/>
      <c r="Q241"/>
      <c r="R241"/>
    </row>
    <row r="242" spans="1:18" x14ac:dyDescent="0.25">
      <c r="A242" s="57"/>
      <c r="B242" s="56"/>
      <c r="J242"/>
      <c r="K242"/>
      <c r="L242"/>
      <c r="M242"/>
      <c r="N242"/>
      <c r="O242"/>
      <c r="P242"/>
      <c r="Q242"/>
      <c r="R242"/>
    </row>
    <row r="243" spans="1:18" x14ac:dyDescent="0.25">
      <c r="A243" s="57"/>
      <c r="B243" s="56"/>
      <c r="J243"/>
      <c r="K243"/>
      <c r="L243"/>
      <c r="M243"/>
      <c r="N243"/>
      <c r="O243"/>
      <c r="P243"/>
      <c r="Q243"/>
      <c r="R243"/>
    </row>
    <row r="244" spans="1:18" x14ac:dyDescent="0.25">
      <c r="A244" s="57"/>
      <c r="B244" s="56"/>
      <c r="J244"/>
      <c r="K244"/>
      <c r="L244"/>
      <c r="M244"/>
      <c r="N244"/>
      <c r="O244"/>
      <c r="P244"/>
      <c r="Q244"/>
      <c r="R244"/>
    </row>
    <row r="245" spans="1:18" x14ac:dyDescent="0.25">
      <c r="A245" s="57"/>
      <c r="B245" s="56"/>
      <c r="J245"/>
      <c r="K245"/>
      <c r="L245"/>
      <c r="M245"/>
      <c r="N245"/>
      <c r="O245"/>
      <c r="P245"/>
      <c r="Q245"/>
      <c r="R245"/>
    </row>
    <row r="246" spans="1:18" x14ac:dyDescent="0.25">
      <c r="A246" s="57"/>
      <c r="B246" s="56"/>
      <c r="J246"/>
      <c r="K246"/>
      <c r="L246"/>
      <c r="M246"/>
      <c r="N246"/>
      <c r="O246"/>
      <c r="P246"/>
      <c r="Q246"/>
      <c r="R246"/>
    </row>
    <row r="247" spans="1:18" x14ac:dyDescent="0.25">
      <c r="A247" s="57"/>
      <c r="B247" s="56"/>
      <c r="J247"/>
      <c r="K247"/>
      <c r="L247"/>
      <c r="M247"/>
      <c r="N247"/>
      <c r="O247"/>
      <c r="P247"/>
      <c r="Q247"/>
      <c r="R247"/>
    </row>
    <row r="248" spans="1:18" x14ac:dyDescent="0.25">
      <c r="A248" s="57"/>
      <c r="B248" s="56"/>
      <c r="J248"/>
      <c r="K248"/>
      <c r="L248"/>
      <c r="M248"/>
      <c r="N248"/>
      <c r="O248"/>
      <c r="P248"/>
      <c r="Q248"/>
      <c r="R248"/>
    </row>
    <row r="249" spans="1:18" x14ac:dyDescent="0.25">
      <c r="A249" s="57"/>
      <c r="B249" s="56"/>
      <c r="J249"/>
      <c r="K249"/>
      <c r="L249"/>
      <c r="M249"/>
      <c r="N249"/>
      <c r="O249"/>
      <c r="P249"/>
      <c r="Q249"/>
      <c r="R249"/>
    </row>
    <row r="250" spans="1:18" x14ac:dyDescent="0.25">
      <c r="A250" s="57"/>
      <c r="B250" s="56"/>
      <c r="J250"/>
      <c r="K250"/>
      <c r="L250"/>
      <c r="M250"/>
      <c r="N250"/>
      <c r="O250"/>
      <c r="P250"/>
      <c r="Q250"/>
      <c r="R250"/>
    </row>
    <row r="251" spans="1:18" x14ac:dyDescent="0.25">
      <c r="A251" s="56"/>
      <c r="B251" s="56"/>
      <c r="J251"/>
      <c r="K251"/>
      <c r="L251"/>
      <c r="M251"/>
      <c r="N251"/>
      <c r="O251"/>
      <c r="P251"/>
      <c r="Q251"/>
      <c r="R251"/>
    </row>
    <row r="252" spans="1:18" x14ac:dyDescent="0.25">
      <c r="A252" s="56"/>
      <c r="B252" s="56"/>
      <c r="J252"/>
      <c r="K252"/>
      <c r="L252"/>
      <c r="M252"/>
      <c r="N252"/>
      <c r="O252"/>
      <c r="P252"/>
      <c r="Q252"/>
      <c r="R252"/>
    </row>
    <row r="253" spans="1:18" x14ac:dyDescent="0.25">
      <c r="A253" s="56"/>
      <c r="B253" s="56"/>
      <c r="J253"/>
      <c r="K253"/>
      <c r="L253"/>
      <c r="M253"/>
      <c r="N253"/>
      <c r="O253"/>
      <c r="P253"/>
      <c r="Q253"/>
      <c r="R253"/>
    </row>
    <row r="254" spans="1:18" x14ac:dyDescent="0.25">
      <c r="A254" s="56"/>
      <c r="B254" s="56"/>
      <c r="J254"/>
      <c r="K254"/>
      <c r="L254"/>
      <c r="M254"/>
      <c r="N254"/>
      <c r="O254"/>
      <c r="P254"/>
      <c r="Q254"/>
      <c r="R254"/>
    </row>
    <row r="255" spans="1:18" x14ac:dyDescent="0.25">
      <c r="A255" s="51"/>
      <c r="J255"/>
      <c r="K255"/>
      <c r="L255"/>
      <c r="M255"/>
      <c r="N255"/>
      <c r="O255"/>
      <c r="P255"/>
      <c r="Q255"/>
      <c r="R255"/>
    </row>
    <row r="256" spans="1:18" x14ac:dyDescent="0.25">
      <c r="A256" s="51"/>
      <c r="J256"/>
      <c r="K256"/>
      <c r="L256"/>
      <c r="M256"/>
      <c r="N256"/>
      <c r="O256"/>
      <c r="P256"/>
      <c r="Q256"/>
      <c r="R256"/>
    </row>
    <row r="257" spans="1:18" x14ac:dyDescent="0.25">
      <c r="A257" s="51"/>
      <c r="J257"/>
      <c r="K257"/>
      <c r="L257"/>
      <c r="M257"/>
      <c r="N257"/>
      <c r="O257"/>
      <c r="P257"/>
      <c r="Q257"/>
      <c r="R257"/>
    </row>
    <row r="258" spans="1:18" x14ac:dyDescent="0.25">
      <c r="A258" s="51"/>
      <c r="J258"/>
      <c r="K258"/>
      <c r="L258"/>
      <c r="M258"/>
      <c r="N258"/>
      <c r="O258"/>
      <c r="P258"/>
      <c r="Q258"/>
      <c r="R258"/>
    </row>
    <row r="259" spans="1:18" x14ac:dyDescent="0.25">
      <c r="A259" s="51"/>
      <c r="J259"/>
      <c r="K259"/>
      <c r="L259"/>
      <c r="M259"/>
      <c r="N259"/>
      <c r="O259"/>
      <c r="P259"/>
      <c r="Q259"/>
      <c r="R259"/>
    </row>
    <row r="260" spans="1:18" x14ac:dyDescent="0.25">
      <c r="A260" s="51"/>
      <c r="J260"/>
      <c r="K260"/>
      <c r="L260"/>
      <c r="M260"/>
      <c r="N260"/>
      <c r="O260"/>
      <c r="P260"/>
      <c r="Q260"/>
      <c r="R260"/>
    </row>
    <row r="261" spans="1:18" x14ac:dyDescent="0.25">
      <c r="A261" s="51"/>
      <c r="J261"/>
      <c r="K261"/>
      <c r="L261"/>
      <c r="M261"/>
      <c r="N261"/>
      <c r="O261"/>
      <c r="P261"/>
      <c r="Q261"/>
      <c r="R261"/>
    </row>
    <row r="262" spans="1:18" x14ac:dyDescent="0.25">
      <c r="A262" s="51"/>
      <c r="J262"/>
      <c r="K262"/>
      <c r="L262"/>
      <c r="M262"/>
      <c r="N262"/>
      <c r="O262"/>
      <c r="P262"/>
      <c r="Q262"/>
      <c r="R262"/>
    </row>
    <row r="263" spans="1:18" x14ac:dyDescent="0.25">
      <c r="A263" s="51"/>
      <c r="J263"/>
      <c r="K263"/>
      <c r="L263"/>
      <c r="M263"/>
      <c r="N263"/>
      <c r="O263"/>
      <c r="P263"/>
      <c r="Q263"/>
      <c r="R263"/>
    </row>
    <row r="264" spans="1:18" x14ac:dyDescent="0.25">
      <c r="A264" s="51"/>
      <c r="J264"/>
      <c r="K264"/>
      <c r="L264"/>
      <c r="M264"/>
      <c r="N264"/>
      <c r="O264"/>
      <c r="P264"/>
      <c r="Q264"/>
      <c r="R264"/>
    </row>
    <row r="265" spans="1:18" x14ac:dyDescent="0.25">
      <c r="A265" s="51"/>
      <c r="J265"/>
      <c r="K265"/>
      <c r="L265"/>
      <c r="M265"/>
      <c r="N265"/>
      <c r="O265"/>
      <c r="P265"/>
      <c r="Q265"/>
      <c r="R265"/>
    </row>
    <row r="266" spans="1:18" x14ac:dyDescent="0.25">
      <c r="A266" s="51"/>
      <c r="J266"/>
      <c r="K266"/>
      <c r="L266"/>
      <c r="M266"/>
      <c r="N266"/>
      <c r="O266"/>
      <c r="P266"/>
      <c r="Q266"/>
      <c r="R266"/>
    </row>
    <row r="267" spans="1:18" x14ac:dyDescent="0.25">
      <c r="A267" s="51"/>
      <c r="J267"/>
      <c r="K267"/>
      <c r="L267"/>
      <c r="M267"/>
      <c r="N267"/>
      <c r="O267"/>
      <c r="P267"/>
      <c r="Q267"/>
      <c r="R267"/>
    </row>
    <row r="268" spans="1:18" x14ac:dyDescent="0.25">
      <c r="A268" s="51"/>
      <c r="J268"/>
      <c r="K268"/>
      <c r="L268"/>
      <c r="M268"/>
      <c r="N268"/>
      <c r="O268"/>
      <c r="P268"/>
      <c r="Q268"/>
      <c r="R268"/>
    </row>
    <row r="269" spans="1:18" x14ac:dyDescent="0.25">
      <c r="A269" s="51"/>
      <c r="J269"/>
      <c r="K269"/>
      <c r="L269"/>
      <c r="M269"/>
      <c r="N269"/>
      <c r="O269"/>
      <c r="P269"/>
      <c r="Q269"/>
      <c r="R269"/>
    </row>
    <row r="270" spans="1:18" x14ac:dyDescent="0.25">
      <c r="A270" s="51"/>
      <c r="J270"/>
      <c r="K270"/>
      <c r="L270"/>
      <c r="M270"/>
      <c r="N270"/>
      <c r="O270"/>
      <c r="P270"/>
      <c r="Q270"/>
      <c r="R270"/>
    </row>
    <row r="271" spans="1:18" x14ac:dyDescent="0.25">
      <c r="A271" s="51"/>
      <c r="J271"/>
      <c r="K271"/>
      <c r="L271"/>
      <c r="M271"/>
      <c r="N271"/>
      <c r="O271"/>
      <c r="P271"/>
      <c r="Q271"/>
      <c r="R271"/>
    </row>
    <row r="272" spans="1:18" x14ac:dyDescent="0.25">
      <c r="A272" s="51"/>
      <c r="J272"/>
      <c r="K272"/>
      <c r="L272"/>
      <c r="M272"/>
      <c r="N272"/>
      <c r="O272"/>
      <c r="P272"/>
      <c r="Q272"/>
      <c r="R272"/>
    </row>
    <row r="273" spans="1:18" x14ac:dyDescent="0.25">
      <c r="A273" s="51"/>
      <c r="J273"/>
      <c r="K273"/>
      <c r="L273"/>
      <c r="M273"/>
      <c r="N273"/>
      <c r="O273"/>
      <c r="P273"/>
      <c r="Q273"/>
      <c r="R273"/>
    </row>
    <row r="274" spans="1:18" x14ac:dyDescent="0.25">
      <c r="A274" s="51"/>
      <c r="J274"/>
      <c r="K274"/>
      <c r="L274"/>
      <c r="M274"/>
      <c r="N274"/>
      <c r="O274"/>
      <c r="P274"/>
      <c r="Q274"/>
      <c r="R274"/>
    </row>
    <row r="275" spans="1:18" x14ac:dyDescent="0.25">
      <c r="A275" s="51"/>
      <c r="J275"/>
      <c r="K275"/>
      <c r="L275"/>
      <c r="M275"/>
      <c r="N275"/>
      <c r="O275"/>
      <c r="P275"/>
      <c r="Q275"/>
      <c r="R275"/>
    </row>
    <row r="276" spans="1:18" x14ac:dyDescent="0.25">
      <c r="A276" s="51"/>
      <c r="J276"/>
      <c r="K276"/>
      <c r="L276"/>
      <c r="M276"/>
      <c r="N276"/>
      <c r="O276"/>
      <c r="P276"/>
      <c r="Q276"/>
      <c r="R276"/>
    </row>
    <row r="277" spans="1:18" x14ac:dyDescent="0.25">
      <c r="A277" s="51"/>
      <c r="J277"/>
      <c r="K277"/>
      <c r="L277"/>
      <c r="M277"/>
      <c r="N277"/>
      <c r="O277"/>
      <c r="P277"/>
      <c r="Q277"/>
      <c r="R277"/>
    </row>
    <row r="278" spans="1:18" x14ac:dyDescent="0.25">
      <c r="A278" s="51"/>
      <c r="J278"/>
      <c r="K278"/>
      <c r="L278"/>
      <c r="M278"/>
      <c r="N278"/>
      <c r="O278"/>
      <c r="P278"/>
      <c r="Q278"/>
      <c r="R278"/>
    </row>
    <row r="279" spans="1:18" x14ac:dyDescent="0.25">
      <c r="A279" s="51"/>
      <c r="J279"/>
      <c r="K279"/>
      <c r="L279"/>
      <c r="M279"/>
      <c r="N279"/>
      <c r="O279"/>
      <c r="P279"/>
      <c r="Q279"/>
      <c r="R279"/>
    </row>
    <row r="280" spans="1:18" x14ac:dyDescent="0.25">
      <c r="A280" s="51"/>
      <c r="J280"/>
      <c r="K280"/>
      <c r="L280"/>
      <c r="M280"/>
      <c r="N280"/>
      <c r="O280"/>
      <c r="P280"/>
      <c r="Q280"/>
      <c r="R280"/>
    </row>
    <row r="281" spans="1:18" x14ac:dyDescent="0.25">
      <c r="A281" s="51"/>
      <c r="J281"/>
      <c r="K281"/>
      <c r="L281"/>
      <c r="M281"/>
      <c r="N281"/>
      <c r="O281"/>
      <c r="P281"/>
      <c r="Q281"/>
      <c r="R281"/>
    </row>
    <row r="282" spans="1:18" x14ac:dyDescent="0.25">
      <c r="A282" s="51"/>
      <c r="J282"/>
      <c r="K282"/>
      <c r="L282"/>
      <c r="M282"/>
      <c r="N282"/>
      <c r="O282"/>
      <c r="P282"/>
      <c r="Q282"/>
      <c r="R282"/>
    </row>
    <row r="283" spans="1:18" x14ac:dyDescent="0.25">
      <c r="A283" s="51"/>
      <c r="J283"/>
      <c r="K283"/>
      <c r="L283"/>
      <c r="M283"/>
      <c r="N283"/>
      <c r="O283"/>
      <c r="P283"/>
      <c r="Q283"/>
      <c r="R283"/>
    </row>
    <row r="284" spans="1:18" x14ac:dyDescent="0.25">
      <c r="A284" s="51"/>
      <c r="J284"/>
      <c r="K284"/>
      <c r="L284"/>
      <c r="M284"/>
      <c r="N284"/>
      <c r="O284"/>
      <c r="P284"/>
      <c r="Q284"/>
      <c r="R284"/>
    </row>
    <row r="285" spans="1:18" x14ac:dyDescent="0.25">
      <c r="A285" s="51"/>
      <c r="J285"/>
      <c r="K285"/>
      <c r="L285"/>
      <c r="M285"/>
      <c r="N285"/>
      <c r="O285"/>
      <c r="P285"/>
      <c r="Q285"/>
      <c r="R285"/>
    </row>
    <row r="286" spans="1:18" x14ac:dyDescent="0.25">
      <c r="A286" s="51"/>
      <c r="J286"/>
      <c r="K286"/>
      <c r="L286"/>
      <c r="M286"/>
      <c r="N286"/>
      <c r="O286"/>
      <c r="P286"/>
      <c r="Q286"/>
      <c r="R286"/>
    </row>
    <row r="287" spans="1:18" x14ac:dyDescent="0.25">
      <c r="A287" s="51"/>
      <c r="J287"/>
      <c r="K287"/>
      <c r="L287"/>
      <c r="M287"/>
      <c r="N287"/>
      <c r="O287"/>
      <c r="P287"/>
      <c r="Q287"/>
      <c r="R287"/>
    </row>
    <row r="288" spans="1:18" x14ac:dyDescent="0.25">
      <c r="A288" s="51"/>
      <c r="J288"/>
      <c r="K288"/>
      <c r="L288"/>
      <c r="M288"/>
      <c r="N288"/>
      <c r="O288"/>
      <c r="P288"/>
      <c r="Q288"/>
      <c r="R288"/>
    </row>
    <row r="289" spans="1:18" x14ac:dyDescent="0.25">
      <c r="A289" s="51"/>
      <c r="J289"/>
      <c r="K289"/>
      <c r="L289"/>
      <c r="M289"/>
      <c r="N289"/>
      <c r="O289"/>
      <c r="P289"/>
      <c r="Q289"/>
      <c r="R289"/>
    </row>
    <row r="290" spans="1:18" x14ac:dyDescent="0.25">
      <c r="A290" s="51"/>
      <c r="J290"/>
      <c r="K290"/>
      <c r="L290"/>
      <c r="M290"/>
      <c r="N290"/>
      <c r="O290"/>
      <c r="P290"/>
      <c r="Q290"/>
      <c r="R290"/>
    </row>
    <row r="291" spans="1:18" x14ac:dyDescent="0.25">
      <c r="A291" s="51"/>
      <c r="J291"/>
      <c r="K291"/>
      <c r="L291"/>
      <c r="M291"/>
      <c r="N291"/>
      <c r="O291"/>
      <c r="P291"/>
      <c r="Q291"/>
      <c r="R291"/>
    </row>
    <row r="292" spans="1:18" x14ac:dyDescent="0.25">
      <c r="A292" s="51"/>
      <c r="J292"/>
      <c r="K292"/>
      <c r="L292"/>
      <c r="M292"/>
      <c r="N292"/>
      <c r="O292"/>
      <c r="P292"/>
      <c r="Q292"/>
      <c r="R292"/>
    </row>
    <row r="293" spans="1:18" x14ac:dyDescent="0.25">
      <c r="A293" s="51"/>
      <c r="J293"/>
      <c r="K293"/>
      <c r="L293"/>
      <c r="M293"/>
      <c r="N293"/>
      <c r="O293"/>
      <c r="P293"/>
      <c r="Q293"/>
      <c r="R293"/>
    </row>
    <row r="294" spans="1:18" x14ac:dyDescent="0.25">
      <c r="A294" s="51"/>
      <c r="J294"/>
      <c r="K294"/>
      <c r="L294"/>
      <c r="M294"/>
      <c r="N294"/>
      <c r="O294"/>
      <c r="P294"/>
      <c r="Q294"/>
      <c r="R294"/>
    </row>
    <row r="295" spans="1:18" x14ac:dyDescent="0.25">
      <c r="A295" s="51"/>
      <c r="J295"/>
      <c r="K295"/>
      <c r="L295"/>
      <c r="M295"/>
      <c r="N295"/>
      <c r="O295"/>
      <c r="P295"/>
      <c r="Q295"/>
      <c r="R295"/>
    </row>
    <row r="296" spans="1:18" x14ac:dyDescent="0.25">
      <c r="A296" s="51"/>
      <c r="J296"/>
      <c r="K296"/>
      <c r="L296"/>
      <c r="M296"/>
      <c r="N296"/>
      <c r="O296"/>
      <c r="P296"/>
      <c r="Q296"/>
      <c r="R296"/>
    </row>
    <row r="297" spans="1:18" x14ac:dyDescent="0.25">
      <c r="A297" s="51"/>
      <c r="J297"/>
      <c r="K297"/>
      <c r="L297"/>
      <c r="M297"/>
      <c r="N297"/>
      <c r="O297"/>
      <c r="P297"/>
      <c r="Q297"/>
      <c r="R297"/>
    </row>
    <row r="298" spans="1:18" x14ac:dyDescent="0.25">
      <c r="A298" s="51"/>
      <c r="J298"/>
      <c r="K298"/>
      <c r="L298"/>
      <c r="M298"/>
      <c r="N298"/>
      <c r="O298"/>
      <c r="P298"/>
      <c r="Q298"/>
      <c r="R298"/>
    </row>
    <row r="299" spans="1:18" x14ac:dyDescent="0.25">
      <c r="A299" s="51"/>
      <c r="J299"/>
      <c r="K299"/>
      <c r="L299"/>
      <c r="M299"/>
      <c r="N299"/>
      <c r="O299"/>
      <c r="P299"/>
      <c r="Q299"/>
      <c r="R299"/>
    </row>
    <row r="300" spans="1:18" x14ac:dyDescent="0.25">
      <c r="A300" s="51"/>
      <c r="J300"/>
      <c r="K300"/>
      <c r="L300"/>
      <c r="M300"/>
      <c r="N300"/>
      <c r="O300"/>
      <c r="P300"/>
      <c r="Q300"/>
      <c r="R300"/>
    </row>
    <row r="301" spans="1:18" x14ac:dyDescent="0.25">
      <c r="A301" s="51"/>
      <c r="J301"/>
      <c r="K301"/>
      <c r="L301"/>
      <c r="M301"/>
      <c r="N301"/>
      <c r="O301"/>
      <c r="P301"/>
      <c r="Q301"/>
      <c r="R301"/>
    </row>
    <row r="302" spans="1:18" x14ac:dyDescent="0.25">
      <c r="A302" s="51"/>
      <c r="J302"/>
      <c r="K302"/>
      <c r="L302"/>
      <c r="M302"/>
      <c r="N302"/>
      <c r="O302"/>
      <c r="P302"/>
      <c r="Q302"/>
      <c r="R302"/>
    </row>
    <row r="303" spans="1:18" x14ac:dyDescent="0.25">
      <c r="A303" s="51"/>
      <c r="J303"/>
      <c r="K303"/>
      <c r="L303"/>
      <c r="M303"/>
      <c r="N303"/>
      <c r="O303"/>
      <c r="P303"/>
      <c r="Q303"/>
      <c r="R303"/>
    </row>
    <row r="304" spans="1:18" x14ac:dyDescent="0.25">
      <c r="A304" s="51"/>
      <c r="J304"/>
      <c r="K304"/>
      <c r="L304"/>
      <c r="M304"/>
      <c r="N304"/>
      <c r="O304"/>
      <c r="P304"/>
      <c r="Q304"/>
      <c r="R304"/>
    </row>
    <row r="305" spans="1:18" x14ac:dyDescent="0.25">
      <c r="A305" s="51"/>
      <c r="J305"/>
      <c r="K305"/>
      <c r="L305"/>
      <c r="M305"/>
      <c r="N305"/>
      <c r="O305"/>
      <c r="P305"/>
      <c r="Q305"/>
      <c r="R305"/>
    </row>
    <row r="306" spans="1:18" x14ac:dyDescent="0.25">
      <c r="A306" s="51"/>
      <c r="J306"/>
      <c r="K306"/>
      <c r="L306"/>
      <c r="M306"/>
      <c r="N306"/>
      <c r="O306"/>
      <c r="P306"/>
      <c r="Q306"/>
      <c r="R306"/>
    </row>
    <row r="307" spans="1:18" x14ac:dyDescent="0.25">
      <c r="A307" s="51"/>
      <c r="J307"/>
      <c r="K307"/>
      <c r="L307"/>
      <c r="M307"/>
      <c r="N307"/>
      <c r="O307"/>
      <c r="P307"/>
      <c r="Q307"/>
      <c r="R307"/>
    </row>
    <row r="308" spans="1:18" x14ac:dyDescent="0.25">
      <c r="A308" s="51"/>
      <c r="J308"/>
      <c r="K308"/>
      <c r="L308"/>
      <c r="M308"/>
      <c r="N308"/>
      <c r="O308"/>
      <c r="P308"/>
      <c r="Q308"/>
      <c r="R308"/>
    </row>
    <row r="309" spans="1:18" x14ac:dyDescent="0.25">
      <c r="A309" s="51"/>
      <c r="J309"/>
      <c r="K309"/>
      <c r="L309"/>
      <c r="M309"/>
      <c r="N309"/>
      <c r="O309"/>
      <c r="P309"/>
      <c r="Q309"/>
      <c r="R309"/>
    </row>
    <row r="310" spans="1:18" x14ac:dyDescent="0.25">
      <c r="A310" s="51"/>
      <c r="J310"/>
      <c r="K310"/>
      <c r="L310"/>
      <c r="M310"/>
      <c r="N310"/>
      <c r="O310"/>
      <c r="P310"/>
      <c r="Q310"/>
      <c r="R310"/>
    </row>
    <row r="311" spans="1:18" x14ac:dyDescent="0.25">
      <c r="A311" s="51"/>
      <c r="J311"/>
      <c r="K311"/>
      <c r="L311"/>
      <c r="M311"/>
      <c r="N311"/>
      <c r="O311"/>
      <c r="P311"/>
      <c r="Q311"/>
      <c r="R311"/>
    </row>
    <row r="312" spans="1:18" x14ac:dyDescent="0.25">
      <c r="A312" s="51"/>
      <c r="J312"/>
      <c r="K312"/>
      <c r="L312"/>
      <c r="M312"/>
      <c r="N312"/>
      <c r="O312"/>
      <c r="P312"/>
      <c r="Q312"/>
      <c r="R312"/>
    </row>
    <row r="313" spans="1:18" x14ac:dyDescent="0.25">
      <c r="A313" s="51"/>
      <c r="J313"/>
      <c r="K313"/>
      <c r="L313"/>
      <c r="M313"/>
      <c r="N313"/>
      <c r="O313"/>
      <c r="P313"/>
      <c r="Q313"/>
      <c r="R313"/>
    </row>
    <row r="314" spans="1:18" x14ac:dyDescent="0.25">
      <c r="A314" s="51"/>
      <c r="J314"/>
      <c r="K314"/>
      <c r="L314"/>
      <c r="M314"/>
      <c r="N314"/>
      <c r="O314"/>
      <c r="P314"/>
      <c r="Q314"/>
      <c r="R314"/>
    </row>
    <row r="315" spans="1:18" x14ac:dyDescent="0.25">
      <c r="A315" s="51"/>
      <c r="J315"/>
      <c r="K315"/>
      <c r="L315"/>
      <c r="M315"/>
      <c r="N315"/>
      <c r="O315"/>
      <c r="P315"/>
      <c r="Q315"/>
      <c r="R315"/>
    </row>
    <row r="316" spans="1:18" x14ac:dyDescent="0.25">
      <c r="A316" s="51"/>
      <c r="J316"/>
      <c r="K316"/>
      <c r="L316"/>
      <c r="M316"/>
      <c r="N316"/>
      <c r="O316"/>
      <c r="P316"/>
      <c r="Q316"/>
      <c r="R316"/>
    </row>
    <row r="317" spans="1:18" x14ac:dyDescent="0.25">
      <c r="A317" s="51"/>
      <c r="J317"/>
      <c r="K317"/>
      <c r="L317"/>
      <c r="M317"/>
      <c r="N317"/>
      <c r="O317"/>
      <c r="P317"/>
      <c r="Q317"/>
      <c r="R317"/>
    </row>
    <row r="318" spans="1:18" x14ac:dyDescent="0.25">
      <c r="A318" s="51"/>
      <c r="J318"/>
      <c r="K318"/>
      <c r="L318"/>
      <c r="M318"/>
      <c r="N318"/>
      <c r="O318"/>
      <c r="P318"/>
      <c r="Q318"/>
      <c r="R318"/>
    </row>
    <row r="319" spans="1:18" x14ac:dyDescent="0.25">
      <c r="A319" s="51"/>
      <c r="J319"/>
      <c r="K319"/>
      <c r="L319"/>
      <c r="M319"/>
      <c r="N319"/>
      <c r="O319"/>
      <c r="P319"/>
      <c r="Q319"/>
      <c r="R319"/>
    </row>
    <row r="320" spans="1:18" x14ac:dyDescent="0.25">
      <c r="A320" s="51"/>
      <c r="J320"/>
      <c r="K320"/>
      <c r="L320"/>
      <c r="M320"/>
      <c r="N320"/>
      <c r="O320"/>
      <c r="P320"/>
      <c r="Q320"/>
      <c r="R320"/>
    </row>
    <row r="321" spans="1:18" x14ac:dyDescent="0.25">
      <c r="A321" s="51"/>
      <c r="J321"/>
      <c r="K321"/>
      <c r="L321"/>
      <c r="M321"/>
      <c r="N321"/>
      <c r="O321"/>
      <c r="P321"/>
      <c r="Q321"/>
      <c r="R321"/>
    </row>
    <row r="322" spans="1:18" x14ac:dyDescent="0.25">
      <c r="A322" s="51"/>
      <c r="J322"/>
      <c r="K322"/>
      <c r="L322"/>
      <c r="M322"/>
      <c r="N322"/>
      <c r="O322"/>
      <c r="P322"/>
      <c r="Q322"/>
      <c r="R322"/>
    </row>
    <row r="323" spans="1:18" x14ac:dyDescent="0.25">
      <c r="A323" s="51"/>
      <c r="J323"/>
      <c r="K323"/>
      <c r="L323"/>
      <c r="M323"/>
      <c r="N323"/>
      <c r="O323"/>
      <c r="P323"/>
      <c r="Q323"/>
      <c r="R323"/>
    </row>
    <row r="324" spans="1:18" x14ac:dyDescent="0.25">
      <c r="A324" s="51"/>
      <c r="J324"/>
      <c r="K324"/>
      <c r="L324"/>
      <c r="M324"/>
      <c r="N324"/>
      <c r="O324"/>
      <c r="P324"/>
      <c r="Q324"/>
      <c r="R324"/>
    </row>
    <row r="325" spans="1:18" x14ac:dyDescent="0.25">
      <c r="A325" s="51"/>
      <c r="J325"/>
      <c r="K325"/>
      <c r="L325"/>
      <c r="M325"/>
      <c r="N325"/>
      <c r="O325"/>
      <c r="P325"/>
      <c r="Q325"/>
      <c r="R325"/>
    </row>
    <row r="326" spans="1:18" x14ac:dyDescent="0.25">
      <c r="A326" s="51"/>
      <c r="J326"/>
      <c r="K326"/>
      <c r="L326"/>
      <c r="M326"/>
      <c r="N326"/>
      <c r="O326"/>
      <c r="P326"/>
      <c r="Q326"/>
      <c r="R326"/>
    </row>
    <row r="327" spans="1:18" x14ac:dyDescent="0.25">
      <c r="A327" s="51"/>
      <c r="J327"/>
      <c r="K327"/>
      <c r="L327"/>
      <c r="M327"/>
      <c r="N327"/>
      <c r="O327"/>
      <c r="P327"/>
      <c r="Q327"/>
      <c r="R327"/>
    </row>
    <row r="328" spans="1:18" x14ac:dyDescent="0.25">
      <c r="A328" s="51"/>
      <c r="J328"/>
      <c r="K328"/>
      <c r="L328"/>
      <c r="M328"/>
      <c r="N328"/>
      <c r="O328"/>
      <c r="P328"/>
      <c r="Q328"/>
      <c r="R328"/>
    </row>
    <row r="329" spans="1:18" x14ac:dyDescent="0.25">
      <c r="A329" s="51"/>
      <c r="J329"/>
      <c r="K329"/>
      <c r="L329"/>
      <c r="M329"/>
      <c r="N329"/>
      <c r="O329"/>
      <c r="P329"/>
      <c r="Q329"/>
      <c r="R329"/>
    </row>
    <row r="330" spans="1:18" x14ac:dyDescent="0.25">
      <c r="A330" s="51"/>
      <c r="J330"/>
      <c r="K330"/>
      <c r="L330"/>
      <c r="M330"/>
      <c r="N330"/>
      <c r="O330"/>
      <c r="P330"/>
      <c r="Q330"/>
      <c r="R330"/>
    </row>
    <row r="331" spans="1:18" x14ac:dyDescent="0.25">
      <c r="A331" s="51"/>
      <c r="J331"/>
      <c r="K331"/>
      <c r="L331"/>
      <c r="M331"/>
      <c r="N331"/>
      <c r="O331"/>
      <c r="P331"/>
      <c r="Q331"/>
      <c r="R331"/>
    </row>
    <row r="332" spans="1:18" x14ac:dyDescent="0.25">
      <c r="A332" s="51"/>
      <c r="J332"/>
      <c r="K332"/>
      <c r="L332"/>
      <c r="M332"/>
      <c r="N332"/>
      <c r="O332"/>
      <c r="P332"/>
      <c r="Q332"/>
      <c r="R332"/>
    </row>
    <row r="333" spans="1:18" x14ac:dyDescent="0.25">
      <c r="A333" s="51"/>
      <c r="J333"/>
      <c r="K333"/>
      <c r="L333"/>
      <c r="M333"/>
      <c r="N333"/>
      <c r="O333"/>
      <c r="P333"/>
      <c r="Q333"/>
      <c r="R333"/>
    </row>
    <row r="334" spans="1:18" x14ac:dyDescent="0.25">
      <c r="A334" s="51"/>
      <c r="J334"/>
      <c r="K334"/>
      <c r="L334"/>
      <c r="M334"/>
      <c r="N334"/>
      <c r="O334"/>
      <c r="P334"/>
      <c r="Q334"/>
      <c r="R334"/>
    </row>
    <row r="335" spans="1:18" x14ac:dyDescent="0.25">
      <c r="A335" s="51"/>
      <c r="J335"/>
      <c r="K335"/>
      <c r="L335"/>
      <c r="M335"/>
      <c r="N335"/>
      <c r="O335"/>
      <c r="P335"/>
      <c r="Q335"/>
      <c r="R335"/>
    </row>
    <row r="336" spans="1:18" x14ac:dyDescent="0.25">
      <c r="A336" s="51"/>
      <c r="J336"/>
      <c r="K336"/>
      <c r="L336"/>
      <c r="M336"/>
      <c r="N336"/>
      <c r="O336"/>
      <c r="P336"/>
      <c r="Q336"/>
      <c r="R336"/>
    </row>
    <row r="337" spans="1:18" x14ac:dyDescent="0.25">
      <c r="A337" s="51"/>
      <c r="J337"/>
      <c r="K337"/>
      <c r="L337"/>
      <c r="M337"/>
      <c r="N337"/>
      <c r="O337"/>
      <c r="P337"/>
      <c r="Q337"/>
      <c r="R337"/>
    </row>
    <row r="338" spans="1:18" x14ac:dyDescent="0.25">
      <c r="A338" s="51"/>
      <c r="J338"/>
      <c r="K338"/>
      <c r="L338"/>
      <c r="M338"/>
      <c r="N338"/>
      <c r="O338"/>
      <c r="P338"/>
      <c r="Q338"/>
      <c r="R338"/>
    </row>
    <row r="339" spans="1:18" x14ac:dyDescent="0.25">
      <c r="A339" s="51"/>
      <c r="J339"/>
      <c r="K339"/>
      <c r="L339"/>
      <c r="M339"/>
      <c r="N339"/>
      <c r="O339"/>
      <c r="P339"/>
      <c r="Q339"/>
      <c r="R339"/>
    </row>
    <row r="340" spans="1:18" x14ac:dyDescent="0.25">
      <c r="A340" s="51"/>
      <c r="J340"/>
      <c r="K340"/>
      <c r="L340"/>
      <c r="M340"/>
      <c r="N340"/>
      <c r="O340"/>
      <c r="P340"/>
      <c r="Q340"/>
      <c r="R340"/>
    </row>
    <row r="341" spans="1:18" x14ac:dyDescent="0.25">
      <c r="A341" s="51"/>
      <c r="J341"/>
      <c r="K341"/>
      <c r="L341"/>
      <c r="M341"/>
      <c r="N341"/>
      <c r="O341"/>
      <c r="P341"/>
      <c r="Q341"/>
      <c r="R341"/>
    </row>
  </sheetData>
  <sortState ref="A3:A217">
    <sortCondition ref="A2"/>
  </sortState>
  <customSheetViews>
    <customSheetView guid="{FBBE7246-40DD-42AB-86B1-0191774D1FB8}" scale="85">
      <pane xSplit="1" ySplit="2" topLeftCell="B3" activePane="bottomRight" state="frozen"/>
      <selection pane="bottomRight" activeCell="M1" sqref="M1:R1048576"/>
      <pageMargins left="0.7" right="0.7" top="0.75" bottom="0.75" header="0.3" footer="0.3"/>
      <pageSetup paperSize="9" orientation="portrait" r:id="rId1"/>
    </customSheetView>
    <customSheetView guid="{63D1720F-4071-49FA-85F9-136B4284D4AA}" scale="85">
      <pane xSplit="1" ySplit="2" topLeftCell="H112" activePane="bottomRight" state="frozen"/>
      <selection pane="bottomRight" activeCell="M112" sqref="M112:R112"/>
      <pageMargins left="0.7" right="0.7" top="0.75" bottom="0.75" header="0.3" footer="0.3"/>
      <pageSetup paperSize="9" orientation="portrait" r:id="rId2"/>
    </customSheetView>
    <customSheetView guid="{91CAE626-C22B-43EE-8559-3D995B6A9B34}" scale="85">
      <pane xSplit="1" ySplit="2" topLeftCell="B72" activePane="bottomRight" state="frozen"/>
      <selection pane="bottomRight" activeCell="C79" sqref="C79"/>
      <pageMargins left="0.7" right="0.7" top="0.75" bottom="0.75" header="0.3" footer="0.3"/>
      <pageSetup paperSize="9" orientation="portrait" r:id="rId3"/>
    </customSheetView>
    <customSheetView guid="{937D496E-72A5-40F1-952C-5E35A20ED697}" scale="85">
      <pane xSplit="1" ySplit="2" topLeftCell="S3" activePane="bottomRight" state="frozen"/>
      <selection pane="bottomRight" activeCell="AG37" sqref="AG37"/>
      <pageMargins left="0.7" right="0.7" top="0.75" bottom="0.75" header="0.3" footer="0.3"/>
      <pageSetup paperSize="9" orientation="portrait" r:id="rId4"/>
    </customSheetView>
    <customSheetView guid="{68BED3F3-B66D-4BDF-B289-CEB7B90BD70C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5"/>
    </customSheetView>
    <customSheetView guid="{66AAE60A-A1F0-42D3-9B00-B3E131221C26}" scale="85">
      <pane xSplit="1" ySplit="2" topLeftCell="B36" activePane="bottomRight" state="frozen"/>
      <selection pane="bottomRight" activeCell="M36" sqref="M36:R36"/>
      <pageMargins left="0.7" right="0.7" top="0.75" bottom="0.75" header="0.3" footer="0.3"/>
      <pageSetup paperSize="9" orientation="portrait" r:id="rId6"/>
    </customSheetView>
    <customSheetView guid="{4DF14E47-3879-4E88-BE38-529244598D27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7"/>
    </customSheetView>
    <customSheetView guid="{BB5CC8CF-3004-46A6-928F-22EA17328835}" scale="85">
      <pane xSplit="1" ySplit="2" topLeftCell="B171" activePane="bottomRight" state="frozen"/>
      <selection pane="bottomRight" activeCell="M177" sqref="M177"/>
      <pageMargins left="0.7" right="0.7" top="0.75" bottom="0.75" header="0.3" footer="0.3"/>
      <pageSetup paperSize="9" orientation="portrait" r:id="rId8"/>
    </customSheetView>
    <customSheetView guid="{FEEC711D-7441-45C2-BE37-0D81F72CC105}" scale="85">
      <pane xSplit="1" ySplit="2" topLeftCell="H112" activePane="bottomRight" state="frozen"/>
      <selection pane="bottomRight" activeCell="M112" sqref="M112:R112"/>
      <pageMargins left="0.7" right="0.7" top="0.75" bottom="0.75" header="0.3" footer="0.3"/>
      <pageSetup paperSize="9" orientation="portrait" r:id="rId9"/>
    </customSheetView>
  </customSheetViews>
  <mergeCells count="7">
    <mergeCell ref="AC1:AH1"/>
    <mergeCell ref="B1:G1"/>
    <mergeCell ref="J1:L1"/>
    <mergeCell ref="V1:AA1"/>
    <mergeCell ref="M1:O1"/>
    <mergeCell ref="P1:R1"/>
    <mergeCell ref="S1:T1"/>
  </mergeCells>
  <conditionalFormatting sqref="AK3:AK127">
    <cfRule type="cellIs" dxfId="1" priority="1" operator="equal">
      <formula>0</formula>
    </cfRule>
  </conditionalFormatting>
  <conditionalFormatting sqref="AC3:AH127">
    <cfRule type="cellIs" dxfId="0" priority="182" operator="between">
      <formula>$V$139</formula>
      <formula>$V$140</formula>
    </cfRule>
  </conditionalFormatting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27"/>
  <sheetViews>
    <sheetView zoomScale="90" zoomScaleNormal="90" workbookViewId="0">
      <pane xSplit="1" ySplit="2" topLeftCell="T61" activePane="bottomRight" state="frozen"/>
      <selection pane="topRight" activeCell="B1" sqref="B1"/>
      <selection pane="bottomLeft" activeCell="A3" sqref="A3"/>
      <selection pane="bottomRight" activeCell="A61" sqref="A61:XFD61"/>
    </sheetView>
  </sheetViews>
  <sheetFormatPr defaultRowHeight="15" x14ac:dyDescent="0.25"/>
  <cols>
    <col min="1" max="1" width="41.7109375" style="70" bestFit="1" customWidth="1"/>
    <col min="2" max="3" width="11" style="3" bestFit="1" customWidth="1"/>
    <col min="4" max="4" width="12.42578125" style="3" bestFit="1" customWidth="1"/>
    <col min="5" max="6" width="11" style="3" bestFit="1" customWidth="1"/>
    <col min="7" max="7" width="9.85546875" style="3" bestFit="1" customWidth="1"/>
    <col min="8" max="8" width="9.7109375" style="3" bestFit="1" customWidth="1"/>
    <col min="9" max="9" width="12.7109375" style="52" bestFit="1" customWidth="1"/>
    <col min="10" max="10" width="9.85546875" style="52" bestFit="1" customWidth="1"/>
    <col min="11" max="11" width="11" style="52" bestFit="1" customWidth="1"/>
    <col min="12" max="12" width="9.85546875" style="52" bestFit="1" customWidth="1"/>
    <col min="13" max="13" width="10.5703125" style="52" bestFit="1" customWidth="1"/>
    <col min="14" max="14" width="11.42578125" style="52" customWidth="1"/>
    <col min="15" max="15" width="11.85546875" style="52" customWidth="1"/>
    <col min="16" max="16" width="12" style="52" customWidth="1"/>
    <col min="17" max="17" width="11.7109375" style="52" customWidth="1"/>
    <col min="18" max="18" width="12.85546875" style="52" customWidth="1"/>
    <col min="19" max="20" width="12.140625" style="52" customWidth="1"/>
    <col min="21" max="21" width="11.42578125" style="52" customWidth="1"/>
    <col min="22" max="22" width="12.140625" style="52" customWidth="1"/>
    <col min="23" max="23" width="10.42578125" style="52" customWidth="1"/>
    <col min="24" max="24" width="12.85546875" style="52" customWidth="1"/>
    <col min="25" max="32" width="8.85546875" style="52" customWidth="1"/>
    <col min="33" max="39" width="12.85546875" style="52" customWidth="1"/>
    <col min="40" max="40" width="17" style="52" customWidth="1"/>
    <col min="41" max="41" width="14" style="52" customWidth="1"/>
    <col min="42" max="42" width="12.85546875" style="52" customWidth="1"/>
    <col min="43" max="177" width="9.140625" style="60"/>
    <col min="178" max="16384" width="9.140625" style="52"/>
  </cols>
  <sheetData>
    <row r="1" spans="1:42" ht="18.75" customHeight="1" thickBot="1" x14ac:dyDescent="0.35">
      <c r="A1" s="354" t="s">
        <v>0</v>
      </c>
      <c r="B1" s="359" t="s">
        <v>153</v>
      </c>
      <c r="C1" s="360"/>
      <c r="D1" s="360"/>
      <c r="E1" s="360"/>
      <c r="F1" s="360"/>
      <c r="G1" s="361"/>
      <c r="H1" s="164" t="s">
        <v>215</v>
      </c>
      <c r="I1" s="1" t="s">
        <v>1</v>
      </c>
      <c r="J1" s="362" t="s">
        <v>2</v>
      </c>
      <c r="K1" s="363"/>
      <c r="L1" s="364"/>
      <c r="M1" s="365" t="s">
        <v>3</v>
      </c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4"/>
      <c r="Y1" s="362" t="s">
        <v>4</v>
      </c>
      <c r="Z1" s="363"/>
      <c r="AA1" s="363"/>
      <c r="AB1" s="364"/>
      <c r="AC1" s="362" t="s">
        <v>5</v>
      </c>
      <c r="AD1" s="363"/>
      <c r="AE1" s="363"/>
      <c r="AF1" s="364"/>
      <c r="AG1" s="143" t="s">
        <v>6</v>
      </c>
      <c r="AH1" s="356" t="s">
        <v>7</v>
      </c>
      <c r="AI1" s="357"/>
      <c r="AJ1" s="357"/>
      <c r="AK1" s="357"/>
      <c r="AL1" s="357"/>
      <c r="AM1" s="357"/>
      <c r="AN1" s="357"/>
      <c r="AO1" s="358"/>
      <c r="AP1" s="144" t="s">
        <v>8</v>
      </c>
    </row>
    <row r="2" spans="1:42" ht="75.75" thickBot="1" x14ac:dyDescent="0.3">
      <c r="A2" s="355"/>
      <c r="B2" s="309" t="s">
        <v>154</v>
      </c>
      <c r="C2" s="310" t="s">
        <v>155</v>
      </c>
      <c r="D2" s="310" t="s">
        <v>156</v>
      </c>
      <c r="E2" s="310" t="s">
        <v>157</v>
      </c>
      <c r="F2" s="310" t="s">
        <v>5</v>
      </c>
      <c r="G2" s="311" t="s">
        <v>6</v>
      </c>
      <c r="H2" s="312" t="s">
        <v>164</v>
      </c>
      <c r="I2" s="313" t="s">
        <v>9</v>
      </c>
      <c r="J2" s="314" t="s">
        <v>10</v>
      </c>
      <c r="K2" s="315" t="s">
        <v>11</v>
      </c>
      <c r="L2" s="316" t="s">
        <v>12</v>
      </c>
      <c r="M2" s="317" t="s">
        <v>13</v>
      </c>
      <c r="N2" s="318" t="s">
        <v>14</v>
      </c>
      <c r="O2" s="318" t="s">
        <v>15</v>
      </c>
      <c r="P2" s="318" t="s">
        <v>16</v>
      </c>
      <c r="Q2" s="318" t="s">
        <v>17</v>
      </c>
      <c r="R2" s="318" t="s">
        <v>18</v>
      </c>
      <c r="S2" s="318" t="s">
        <v>19</v>
      </c>
      <c r="T2" s="318" t="s">
        <v>20</v>
      </c>
      <c r="U2" s="318" t="s">
        <v>21</v>
      </c>
      <c r="V2" s="318" t="s">
        <v>22</v>
      </c>
      <c r="W2" s="318" t="s">
        <v>23</v>
      </c>
      <c r="X2" s="319" t="s">
        <v>24</v>
      </c>
      <c r="Y2" s="314" t="s">
        <v>25</v>
      </c>
      <c r="Z2" s="315" t="s">
        <v>26</v>
      </c>
      <c r="AA2" s="315" t="s">
        <v>27</v>
      </c>
      <c r="AB2" s="316" t="s">
        <v>28</v>
      </c>
      <c r="AC2" s="314" t="s">
        <v>25</v>
      </c>
      <c r="AD2" s="315" t="s">
        <v>26</v>
      </c>
      <c r="AE2" s="315" t="s">
        <v>27</v>
      </c>
      <c r="AF2" s="316" t="s">
        <v>28</v>
      </c>
      <c r="AG2" s="320" t="s">
        <v>29</v>
      </c>
      <c r="AH2" s="317" t="s">
        <v>30</v>
      </c>
      <c r="AI2" s="318" t="s">
        <v>31</v>
      </c>
      <c r="AJ2" s="318" t="s">
        <v>32</v>
      </c>
      <c r="AK2" s="318" t="s">
        <v>33</v>
      </c>
      <c r="AL2" s="318" t="s">
        <v>34</v>
      </c>
      <c r="AM2" s="318" t="s">
        <v>35</v>
      </c>
      <c r="AN2" s="318" t="s">
        <v>36</v>
      </c>
      <c r="AO2" s="319" t="s">
        <v>37</v>
      </c>
      <c r="AP2" s="199" t="s">
        <v>38</v>
      </c>
    </row>
    <row r="3" spans="1:42" x14ac:dyDescent="0.25">
      <c r="A3" s="321" t="s">
        <v>39</v>
      </c>
      <c r="B3" s="188">
        <f t="shared" ref="B3:B11" si="0">1.518*I3^0.9321</f>
        <v>866849.73210493068</v>
      </c>
      <c r="C3" s="189">
        <f t="shared" ref="C3:C11" si="1">0.748*J3+1.613*K3+1.774*L3</f>
        <v>2155380.9279999998</v>
      </c>
      <c r="D3" s="189">
        <f t="shared" ref="D3:D11" si="2">35453*M3+56469*O3+144773*Q3+178851*(S3+U3)+440*X3</f>
        <v>822927</v>
      </c>
      <c r="E3" s="189">
        <f t="shared" ref="E3:E11" si="3">4047*(Y3+Z3)+85370*(AA3+AB3)</f>
        <v>1060314</v>
      </c>
      <c r="F3" s="189">
        <f t="shared" ref="F3:F11" si="4">135.8*(AC3+AD3)+430.2*AE3+1208.1*AF3</f>
        <v>1036289.8</v>
      </c>
      <c r="G3" s="190">
        <f t="shared" ref="G3:G11" si="5">149.8*AG3</f>
        <v>1047551.4</v>
      </c>
      <c r="H3" s="184">
        <f t="shared" ref="H3:H11" si="6">AG3/(SUM(Y3:AB3)*1000)</f>
        <v>2.669083969465649E-2</v>
      </c>
      <c r="I3" s="182">
        <v>1499768</v>
      </c>
      <c r="J3" s="174"/>
      <c r="K3" s="167">
        <v>1336256</v>
      </c>
      <c r="L3" s="168"/>
      <c r="M3" s="322">
        <v>10</v>
      </c>
      <c r="N3" s="323">
        <v>212</v>
      </c>
      <c r="O3" s="323">
        <v>0</v>
      </c>
      <c r="P3" s="323"/>
      <c r="Q3" s="323">
        <v>2</v>
      </c>
      <c r="R3" s="323">
        <v>360</v>
      </c>
      <c r="S3" s="323">
        <v>1</v>
      </c>
      <c r="T3" s="323">
        <v>240</v>
      </c>
      <c r="U3" s="323"/>
      <c r="V3" s="323"/>
      <c r="W3" s="323"/>
      <c r="X3" s="324"/>
      <c r="Y3" s="322">
        <v>115.7</v>
      </c>
      <c r="Z3" s="323">
        <v>146.30000000000001</v>
      </c>
      <c r="AA3" s="323"/>
      <c r="AB3" s="325"/>
      <c r="AC3" s="326">
        <v>5882</v>
      </c>
      <c r="AD3" s="327">
        <v>1749</v>
      </c>
      <c r="AE3" s="328"/>
      <c r="AF3" s="325"/>
      <c r="AG3" s="182">
        <v>6993</v>
      </c>
      <c r="AH3" s="326">
        <v>28</v>
      </c>
      <c r="AI3" s="328">
        <v>234</v>
      </c>
      <c r="AJ3" s="328">
        <v>12</v>
      </c>
      <c r="AK3" s="328">
        <v>8</v>
      </c>
      <c r="AL3" s="328">
        <v>7</v>
      </c>
      <c r="AM3" s="328">
        <v>0</v>
      </c>
      <c r="AN3" s="328">
        <v>3</v>
      </c>
      <c r="AO3" s="329">
        <v>5</v>
      </c>
      <c r="AP3" s="182">
        <v>761499</v>
      </c>
    </row>
    <row r="4" spans="1:42" x14ac:dyDescent="0.25">
      <c r="A4" s="330" t="s">
        <v>40</v>
      </c>
      <c r="B4" s="191">
        <f t="shared" si="0"/>
        <v>473515.65456411819</v>
      </c>
      <c r="C4" s="104">
        <f t="shared" si="1"/>
        <v>1178422.314</v>
      </c>
      <c r="D4" s="104">
        <f t="shared" si="2"/>
        <v>254750</v>
      </c>
      <c r="E4" s="104">
        <f t="shared" si="3"/>
        <v>505875</v>
      </c>
      <c r="F4" s="104">
        <f t="shared" si="4"/>
        <v>526089.20000000007</v>
      </c>
      <c r="G4" s="165">
        <f t="shared" si="5"/>
        <v>562948.4</v>
      </c>
      <c r="H4" s="185">
        <f t="shared" si="6"/>
        <v>3.0064E-2</v>
      </c>
      <c r="I4" s="68">
        <v>783943</v>
      </c>
      <c r="J4" s="175">
        <v>0</v>
      </c>
      <c r="K4" s="73">
        <v>730578</v>
      </c>
      <c r="L4" s="169">
        <v>0</v>
      </c>
      <c r="M4" s="124">
        <v>4</v>
      </c>
      <c r="N4" s="66">
        <v>72</v>
      </c>
      <c r="O4" s="66">
        <v>2</v>
      </c>
      <c r="P4" s="66">
        <v>130</v>
      </c>
      <c r="Q4" s="66">
        <v>0</v>
      </c>
      <c r="R4" s="66">
        <v>0</v>
      </c>
      <c r="S4" s="66">
        <v>0</v>
      </c>
      <c r="T4" s="66">
        <v>0</v>
      </c>
      <c r="U4" s="66">
        <v>0</v>
      </c>
      <c r="V4" s="66">
        <v>0</v>
      </c>
      <c r="W4" s="66">
        <v>0</v>
      </c>
      <c r="X4" s="125">
        <v>0</v>
      </c>
      <c r="Y4" s="124">
        <v>62</v>
      </c>
      <c r="Z4" s="66">
        <v>63</v>
      </c>
      <c r="AA4" s="66">
        <v>0</v>
      </c>
      <c r="AB4" s="117">
        <v>0</v>
      </c>
      <c r="AC4" s="116">
        <v>878</v>
      </c>
      <c r="AD4" s="64">
        <v>2996</v>
      </c>
      <c r="AE4" s="67">
        <v>0</v>
      </c>
      <c r="AF4" s="117">
        <v>0</v>
      </c>
      <c r="AG4" s="68">
        <v>3758</v>
      </c>
      <c r="AH4" s="116">
        <v>23</v>
      </c>
      <c r="AI4" s="67">
        <v>0</v>
      </c>
      <c r="AJ4" s="67">
        <v>10</v>
      </c>
      <c r="AK4" s="67">
        <v>2</v>
      </c>
      <c r="AL4" s="67">
        <v>1</v>
      </c>
      <c r="AM4" s="67">
        <v>4</v>
      </c>
      <c r="AN4" s="67">
        <v>2</v>
      </c>
      <c r="AO4" s="94">
        <v>2</v>
      </c>
      <c r="AP4" s="68">
        <v>328490</v>
      </c>
    </row>
    <row r="5" spans="1:42" x14ac:dyDescent="0.25">
      <c r="A5" s="330" t="s">
        <v>41</v>
      </c>
      <c r="B5" s="191">
        <f t="shared" si="0"/>
        <v>497044.48293894879</v>
      </c>
      <c r="C5" s="104">
        <f t="shared" si="1"/>
        <v>1292045.26</v>
      </c>
      <c r="D5" s="104">
        <f t="shared" si="2"/>
        <v>493031</v>
      </c>
      <c r="E5" s="104">
        <f t="shared" si="3"/>
        <v>659661</v>
      </c>
      <c r="F5" s="104">
        <f t="shared" si="4"/>
        <v>513731.4</v>
      </c>
      <c r="G5" s="165">
        <f t="shared" si="5"/>
        <v>566693.4</v>
      </c>
      <c r="H5" s="185">
        <f t="shared" si="6"/>
        <v>2.3208588957055215E-2</v>
      </c>
      <c r="I5" s="95">
        <v>825809</v>
      </c>
      <c r="J5" s="175">
        <v>0</v>
      </c>
      <c r="K5" s="79">
        <v>801020</v>
      </c>
      <c r="L5" s="169">
        <v>0</v>
      </c>
      <c r="M5" s="124"/>
      <c r="N5" s="66"/>
      <c r="O5" s="66">
        <v>3</v>
      </c>
      <c r="P5" s="66">
        <v>180</v>
      </c>
      <c r="Q5" s="66">
        <v>1</v>
      </c>
      <c r="R5" s="66">
        <v>180</v>
      </c>
      <c r="S5" s="66"/>
      <c r="T5" s="66"/>
      <c r="U5" s="66">
        <v>1</v>
      </c>
      <c r="V5" s="66">
        <v>410</v>
      </c>
      <c r="W5" s="66"/>
      <c r="X5" s="125"/>
      <c r="Y5" s="124">
        <v>72</v>
      </c>
      <c r="Z5" s="66">
        <v>91</v>
      </c>
      <c r="AA5" s="66">
        <v>0</v>
      </c>
      <c r="AB5" s="117">
        <v>0</v>
      </c>
      <c r="AC5" s="116">
        <v>170</v>
      </c>
      <c r="AD5" s="64">
        <v>3613</v>
      </c>
      <c r="AE5" s="67"/>
      <c r="AF5" s="117"/>
      <c r="AG5" s="68">
        <v>3783</v>
      </c>
      <c r="AH5" s="116">
        <v>17</v>
      </c>
      <c r="AI5" s="67">
        <v>155</v>
      </c>
      <c r="AJ5" s="67">
        <v>12</v>
      </c>
      <c r="AK5" s="67">
        <v>2</v>
      </c>
      <c r="AL5" s="67">
        <v>2</v>
      </c>
      <c r="AM5" s="67">
        <v>2</v>
      </c>
      <c r="AN5" s="67">
        <v>2</v>
      </c>
      <c r="AO5" s="94">
        <v>1</v>
      </c>
      <c r="AP5" s="68">
        <v>384225</v>
      </c>
    </row>
    <row r="6" spans="1:42" x14ac:dyDescent="0.25">
      <c r="A6" s="330" t="s">
        <v>45</v>
      </c>
      <c r="B6" s="191">
        <f t="shared" si="0"/>
        <v>335532.45651936403</v>
      </c>
      <c r="C6" s="104">
        <f t="shared" si="1"/>
        <v>873818.55500000005</v>
      </c>
      <c r="D6" s="104">
        <f t="shared" si="2"/>
        <v>251132</v>
      </c>
      <c r="E6" s="104">
        <f t="shared" si="3"/>
        <v>332663.40000000002</v>
      </c>
      <c r="F6" s="104">
        <f t="shared" si="4"/>
        <v>420165.2</v>
      </c>
      <c r="G6" s="165">
        <f t="shared" si="5"/>
        <v>468274.80000000005</v>
      </c>
      <c r="H6" s="185">
        <f t="shared" si="6"/>
        <v>3.8029197080291968E-2</v>
      </c>
      <c r="I6" s="68">
        <v>541735</v>
      </c>
      <c r="J6" s="175">
        <v>0</v>
      </c>
      <c r="K6" s="73">
        <v>541735</v>
      </c>
      <c r="L6" s="169">
        <v>0</v>
      </c>
      <c r="M6" s="126">
        <v>3</v>
      </c>
      <c r="N6" s="63">
        <v>140</v>
      </c>
      <c r="O6" s="63">
        <v>0</v>
      </c>
      <c r="P6" s="63">
        <v>0</v>
      </c>
      <c r="Q6" s="97">
        <v>1</v>
      </c>
      <c r="R6" s="97">
        <v>200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127">
        <v>0</v>
      </c>
      <c r="Y6" s="124">
        <v>4.7</v>
      </c>
      <c r="Z6" s="66">
        <v>77.5</v>
      </c>
      <c r="AA6" s="66">
        <v>0</v>
      </c>
      <c r="AB6" s="117">
        <v>0</v>
      </c>
      <c r="AC6" s="118">
        <v>232</v>
      </c>
      <c r="AD6" s="73">
        <v>2862</v>
      </c>
      <c r="AE6" s="61">
        <v>0</v>
      </c>
      <c r="AF6" s="119">
        <v>0</v>
      </c>
      <c r="AG6" s="68">
        <v>3126</v>
      </c>
      <c r="AH6" s="118">
        <v>4</v>
      </c>
      <c r="AI6" s="61">
        <v>4</v>
      </c>
      <c r="AJ6" s="61">
        <v>4</v>
      </c>
      <c r="AK6" s="61">
        <v>4</v>
      </c>
      <c r="AL6" s="61">
        <v>4</v>
      </c>
      <c r="AM6" s="61">
        <v>4</v>
      </c>
      <c r="AN6" s="61"/>
      <c r="AO6" s="71">
        <v>8</v>
      </c>
      <c r="AP6" s="68">
        <v>349249</v>
      </c>
    </row>
    <row r="7" spans="1:42" x14ac:dyDescent="0.25">
      <c r="A7" s="330" t="s">
        <v>42</v>
      </c>
      <c r="B7" s="191">
        <f t="shared" si="0"/>
        <v>317576.53925909195</v>
      </c>
      <c r="C7" s="104">
        <f t="shared" si="1"/>
        <v>807296.82200000004</v>
      </c>
      <c r="D7" s="104">
        <f t="shared" si="2"/>
        <v>141812</v>
      </c>
      <c r="E7" s="104">
        <f t="shared" si="3"/>
        <v>44517</v>
      </c>
      <c r="F7" s="104">
        <f t="shared" si="4"/>
        <v>0</v>
      </c>
      <c r="G7" s="165">
        <f t="shared" si="5"/>
        <v>1797.6000000000001</v>
      </c>
      <c r="H7" s="185">
        <f t="shared" si="6"/>
        <v>1.090909090909091E-3</v>
      </c>
      <c r="I7" s="68">
        <v>510694</v>
      </c>
      <c r="J7" s="175">
        <v>0</v>
      </c>
      <c r="K7" s="73">
        <v>500494</v>
      </c>
      <c r="L7" s="169">
        <v>0</v>
      </c>
      <c r="M7" s="124">
        <v>4</v>
      </c>
      <c r="N7" s="66">
        <v>40</v>
      </c>
      <c r="O7" s="66"/>
      <c r="P7" s="66"/>
      <c r="Q7" s="66"/>
      <c r="R7" s="66"/>
      <c r="S7" s="66"/>
      <c r="T7" s="66"/>
      <c r="U7" s="66"/>
      <c r="V7" s="66"/>
      <c r="W7" s="66"/>
      <c r="X7" s="125"/>
      <c r="Y7" s="124">
        <v>11</v>
      </c>
      <c r="Z7" s="66">
        <v>0</v>
      </c>
      <c r="AA7" s="66">
        <v>0</v>
      </c>
      <c r="AB7" s="117">
        <v>0</v>
      </c>
      <c r="AC7" s="116"/>
      <c r="AD7" s="67"/>
      <c r="AE7" s="67"/>
      <c r="AF7" s="117"/>
      <c r="AG7" s="103">
        <v>12</v>
      </c>
      <c r="AH7" s="116">
        <v>6</v>
      </c>
      <c r="AI7" s="67"/>
      <c r="AJ7" s="67"/>
      <c r="AK7" s="67">
        <v>1</v>
      </c>
      <c r="AL7" s="67">
        <v>1</v>
      </c>
      <c r="AM7" s="67"/>
      <c r="AN7" s="67">
        <v>3</v>
      </c>
      <c r="AO7" s="94">
        <v>1</v>
      </c>
      <c r="AP7" s="68">
        <v>229502</v>
      </c>
    </row>
    <row r="8" spans="1:42" x14ac:dyDescent="0.25">
      <c r="A8" s="330" t="s">
        <v>43</v>
      </c>
      <c r="B8" s="191">
        <f t="shared" si="0"/>
        <v>172016.39318815171</v>
      </c>
      <c r="C8" s="104">
        <f t="shared" si="1"/>
        <v>418696.08799999999</v>
      </c>
      <c r="D8" s="104">
        <f t="shared" si="2"/>
        <v>0</v>
      </c>
      <c r="E8" s="104">
        <f t="shared" si="3"/>
        <v>234726</v>
      </c>
      <c r="F8" s="104">
        <f t="shared" si="4"/>
        <v>247699.20000000001</v>
      </c>
      <c r="G8" s="165">
        <f t="shared" si="5"/>
        <v>277729.2</v>
      </c>
      <c r="H8" s="185">
        <f t="shared" si="6"/>
        <v>3.1965517241379311E-2</v>
      </c>
      <c r="I8" s="68">
        <v>264536</v>
      </c>
      <c r="J8" s="175">
        <v>0</v>
      </c>
      <c r="K8" s="73">
        <v>259576</v>
      </c>
      <c r="L8" s="169">
        <v>0</v>
      </c>
      <c r="M8" s="124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125">
        <v>0</v>
      </c>
      <c r="Y8" s="124">
        <v>28</v>
      </c>
      <c r="Z8" s="66">
        <v>30</v>
      </c>
      <c r="AA8" s="66">
        <v>0</v>
      </c>
      <c r="AB8" s="117">
        <v>0</v>
      </c>
      <c r="AC8" s="116">
        <v>298</v>
      </c>
      <c r="AD8" s="64">
        <v>1526</v>
      </c>
      <c r="AE8" s="67">
        <v>0</v>
      </c>
      <c r="AF8" s="117">
        <v>0</v>
      </c>
      <c r="AG8" s="68">
        <v>1854</v>
      </c>
      <c r="AH8" s="116">
        <v>9</v>
      </c>
      <c r="AI8" s="67">
        <v>0</v>
      </c>
      <c r="AJ8" s="67">
        <v>3</v>
      </c>
      <c r="AK8" s="67">
        <v>1</v>
      </c>
      <c r="AL8" s="67">
        <v>1</v>
      </c>
      <c r="AM8" s="67">
        <v>1</v>
      </c>
      <c r="AN8" s="67">
        <v>1</v>
      </c>
      <c r="AO8" s="94">
        <v>2</v>
      </c>
      <c r="AP8" s="68">
        <v>113048</v>
      </c>
    </row>
    <row r="9" spans="1:42" x14ac:dyDescent="0.25">
      <c r="A9" s="330" t="s">
        <v>44</v>
      </c>
      <c r="B9" s="191">
        <f t="shared" si="0"/>
        <v>173509.36415847405</v>
      </c>
      <c r="C9" s="104">
        <f t="shared" si="1"/>
        <v>430671</v>
      </c>
      <c r="D9" s="104">
        <f t="shared" si="2"/>
        <v>35453</v>
      </c>
      <c r="E9" s="104">
        <f t="shared" si="3"/>
        <v>259008</v>
      </c>
      <c r="F9" s="104">
        <f t="shared" si="4"/>
        <v>101714.20000000001</v>
      </c>
      <c r="G9" s="165">
        <f t="shared" si="5"/>
        <v>112350.00000000001</v>
      </c>
      <c r="H9" s="185">
        <f t="shared" si="6"/>
        <v>1.171875E-2</v>
      </c>
      <c r="I9" s="68">
        <v>267000</v>
      </c>
      <c r="J9" s="175">
        <v>0</v>
      </c>
      <c r="K9" s="73">
        <v>267000</v>
      </c>
      <c r="L9" s="169">
        <v>0</v>
      </c>
      <c r="M9" s="124">
        <v>1</v>
      </c>
      <c r="N9" s="66">
        <v>12</v>
      </c>
      <c r="O9" s="66"/>
      <c r="P9" s="66"/>
      <c r="Q9" s="66"/>
      <c r="R9" s="66"/>
      <c r="S9" s="66"/>
      <c r="T9" s="66"/>
      <c r="U9" s="66"/>
      <c r="V9" s="66"/>
      <c r="W9" s="66"/>
      <c r="X9" s="125"/>
      <c r="Y9" s="124">
        <v>39</v>
      </c>
      <c r="Z9" s="66">
        <v>25</v>
      </c>
      <c r="AA9" s="66">
        <v>0</v>
      </c>
      <c r="AB9" s="117">
        <v>0</v>
      </c>
      <c r="AC9" s="116">
        <v>112</v>
      </c>
      <c r="AD9" s="67">
        <v>637</v>
      </c>
      <c r="AE9" s="67"/>
      <c r="AF9" s="117"/>
      <c r="AG9" s="103">
        <v>750</v>
      </c>
      <c r="AH9" s="116">
        <v>9</v>
      </c>
      <c r="AI9" s="67">
        <v>3</v>
      </c>
      <c r="AJ9" s="67">
        <v>4</v>
      </c>
      <c r="AK9" s="67">
        <v>1</v>
      </c>
      <c r="AL9" s="67">
        <v>2</v>
      </c>
      <c r="AM9" s="67">
        <v>1</v>
      </c>
      <c r="AN9" s="67">
        <v>1</v>
      </c>
      <c r="AO9" s="94">
        <v>0</v>
      </c>
      <c r="AP9" s="68">
        <v>157717</v>
      </c>
    </row>
    <row r="10" spans="1:42" x14ac:dyDescent="0.25">
      <c r="A10" s="330" t="s">
        <v>46</v>
      </c>
      <c r="B10" s="191">
        <f t="shared" si="0"/>
        <v>192602.21054137492</v>
      </c>
      <c r="C10" s="104">
        <f t="shared" si="1"/>
        <v>467681.28499999997</v>
      </c>
      <c r="D10" s="104">
        <f t="shared" si="2"/>
        <v>70906</v>
      </c>
      <c r="E10" s="104">
        <f t="shared" si="3"/>
        <v>524976.84</v>
      </c>
      <c r="F10" s="104">
        <f t="shared" si="4"/>
        <v>224205.80000000002</v>
      </c>
      <c r="G10" s="165">
        <f t="shared" si="5"/>
        <v>261101.40000000002</v>
      </c>
      <c r="H10" s="185">
        <f t="shared" si="6"/>
        <v>1.3436632747456059E-2</v>
      </c>
      <c r="I10" s="68">
        <v>298643</v>
      </c>
      <c r="J10" s="175">
        <v>0</v>
      </c>
      <c r="K10" s="73">
        <v>289945</v>
      </c>
      <c r="L10" s="169">
        <v>0</v>
      </c>
      <c r="M10" s="124">
        <v>2</v>
      </c>
      <c r="N10" s="66">
        <v>40</v>
      </c>
      <c r="O10" s="66"/>
      <c r="P10" s="66"/>
      <c r="Q10" s="66"/>
      <c r="R10" s="66"/>
      <c r="S10" s="66"/>
      <c r="T10" s="66"/>
      <c r="U10" s="66"/>
      <c r="V10" s="66"/>
      <c r="W10" s="66"/>
      <c r="X10" s="125"/>
      <c r="Y10" s="124">
        <v>107.4</v>
      </c>
      <c r="Z10" s="66">
        <v>22.32</v>
      </c>
      <c r="AA10" s="66">
        <v>0</v>
      </c>
      <c r="AB10" s="117">
        <v>0</v>
      </c>
      <c r="AC10" s="116">
        <v>604</v>
      </c>
      <c r="AD10" s="64">
        <v>1047</v>
      </c>
      <c r="AE10" s="67"/>
      <c r="AF10" s="117"/>
      <c r="AG10" s="68">
        <v>1743</v>
      </c>
      <c r="AH10" s="116">
        <v>9</v>
      </c>
      <c r="AI10" s="67">
        <v>2</v>
      </c>
      <c r="AJ10" s="67">
        <v>5</v>
      </c>
      <c r="AK10" s="67">
        <v>1</v>
      </c>
      <c r="AL10" s="67">
        <v>1</v>
      </c>
      <c r="AM10" s="67">
        <v>1</v>
      </c>
      <c r="AN10" s="67">
        <v>1</v>
      </c>
      <c r="AO10" s="94"/>
      <c r="AP10" s="68">
        <v>128050</v>
      </c>
    </row>
    <row r="11" spans="1:42" x14ac:dyDescent="0.25">
      <c r="A11" s="330" t="s">
        <v>49</v>
      </c>
      <c r="B11" s="191">
        <f t="shared" si="0"/>
        <v>169534.29679895702</v>
      </c>
      <c r="C11" s="104">
        <f t="shared" si="1"/>
        <v>420094.55900000001</v>
      </c>
      <c r="D11" s="104">
        <f t="shared" si="2"/>
        <v>141812</v>
      </c>
      <c r="E11" s="104">
        <f t="shared" si="3"/>
        <v>343995</v>
      </c>
      <c r="F11" s="104">
        <f t="shared" si="4"/>
        <v>212119.6</v>
      </c>
      <c r="G11" s="165">
        <f t="shared" si="5"/>
        <v>230542.2</v>
      </c>
      <c r="H11" s="185">
        <f t="shared" si="6"/>
        <v>1.8105882352941177E-2</v>
      </c>
      <c r="I11" s="75">
        <v>260443</v>
      </c>
      <c r="J11" s="175"/>
      <c r="K11" s="73">
        <v>260443</v>
      </c>
      <c r="L11" s="169"/>
      <c r="M11" s="116">
        <v>4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117"/>
      <c r="Y11" s="118">
        <v>35.700000000000003</v>
      </c>
      <c r="Z11" s="61">
        <v>49.3</v>
      </c>
      <c r="AA11" s="61">
        <v>0</v>
      </c>
      <c r="AB11" s="119">
        <v>0</v>
      </c>
      <c r="AC11" s="146">
        <v>750</v>
      </c>
      <c r="AD11" s="74">
        <v>812</v>
      </c>
      <c r="AE11" s="67"/>
      <c r="AF11" s="117"/>
      <c r="AG11" s="68">
        <v>1539</v>
      </c>
      <c r="AH11" s="118">
        <v>15</v>
      </c>
      <c r="AI11" s="61">
        <v>4</v>
      </c>
      <c r="AJ11" s="61">
        <v>11</v>
      </c>
      <c r="AK11" s="61">
        <v>2</v>
      </c>
      <c r="AL11" s="61">
        <v>2</v>
      </c>
      <c r="AM11" s="61">
        <v>3</v>
      </c>
      <c r="AN11" s="61">
        <v>0</v>
      </c>
      <c r="AO11" s="71">
        <v>1</v>
      </c>
      <c r="AP11" s="75">
        <v>148815</v>
      </c>
    </row>
    <row r="12" spans="1:42" x14ac:dyDescent="0.25">
      <c r="A12" s="331" t="s">
        <v>173</v>
      </c>
      <c r="B12" s="192"/>
      <c r="C12" s="193"/>
      <c r="D12" s="193"/>
      <c r="E12" s="193"/>
      <c r="F12" s="193"/>
      <c r="G12" s="194"/>
      <c r="H12" s="186"/>
      <c r="I12" s="78"/>
      <c r="J12" s="176"/>
      <c r="K12" s="170"/>
      <c r="L12" s="171"/>
      <c r="M12" s="122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123"/>
      <c r="Y12" s="120"/>
      <c r="Z12" s="62"/>
      <c r="AA12" s="62"/>
      <c r="AB12" s="121"/>
      <c r="AC12" s="147"/>
      <c r="AD12" s="76"/>
      <c r="AE12" s="98"/>
      <c r="AF12" s="123"/>
      <c r="AG12" s="101"/>
      <c r="AH12" s="120"/>
      <c r="AI12" s="62"/>
      <c r="AJ12" s="62"/>
      <c r="AK12" s="62"/>
      <c r="AL12" s="62"/>
      <c r="AM12" s="62"/>
      <c r="AN12" s="62"/>
      <c r="AO12" s="77"/>
      <c r="AP12" s="78"/>
    </row>
    <row r="13" spans="1:42" x14ac:dyDescent="0.25">
      <c r="A13" s="331" t="s">
        <v>52</v>
      </c>
      <c r="B13" s="192"/>
      <c r="C13" s="193"/>
      <c r="D13" s="193"/>
      <c r="E13" s="193"/>
      <c r="F13" s="193"/>
      <c r="G13" s="194"/>
      <c r="H13" s="186"/>
      <c r="I13" s="101"/>
      <c r="J13" s="176"/>
      <c r="K13" s="170"/>
      <c r="L13" s="171"/>
      <c r="M13" s="122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23"/>
      <c r="Y13" s="122"/>
      <c r="Z13" s="98"/>
      <c r="AA13" s="98"/>
      <c r="AB13" s="123"/>
      <c r="AC13" s="122"/>
      <c r="AD13" s="99"/>
      <c r="AE13" s="98"/>
      <c r="AF13" s="123"/>
      <c r="AG13" s="101"/>
      <c r="AH13" s="122"/>
      <c r="AI13" s="98"/>
      <c r="AJ13" s="98"/>
      <c r="AK13" s="98"/>
      <c r="AL13" s="98"/>
      <c r="AM13" s="98"/>
      <c r="AN13" s="98"/>
      <c r="AO13" s="100"/>
      <c r="AP13" s="101"/>
    </row>
    <row r="14" spans="1:42" x14ac:dyDescent="0.25">
      <c r="A14" s="330" t="s">
        <v>53</v>
      </c>
      <c r="B14" s="191">
        <f>1.518*I14^0.9321</f>
        <v>148739.08867457046</v>
      </c>
      <c r="C14" s="104">
        <f>0.748*J14+1.613*K14+1.774*L14</f>
        <v>359866.75199999998</v>
      </c>
      <c r="D14" s="104">
        <f>35453*M14+56469*O14+144773*Q14+178851*(S14+U14)+440*X14</f>
        <v>0</v>
      </c>
      <c r="E14" s="104">
        <f>4047*(Y14+Z14)+85370*(AA14+AB14)</f>
        <v>0</v>
      </c>
      <c r="F14" s="104">
        <f>135.8*(AC14+AD14)+430.2*AE14+1208.1*AF14</f>
        <v>0</v>
      </c>
      <c r="G14" s="165">
        <f>149.8*AG14</f>
        <v>143508.40000000002</v>
      </c>
      <c r="H14" s="185"/>
      <c r="I14" s="95">
        <v>226329</v>
      </c>
      <c r="J14" s="177">
        <v>0</v>
      </c>
      <c r="K14" s="79">
        <v>223104</v>
      </c>
      <c r="L14" s="166">
        <v>0</v>
      </c>
      <c r="M14" s="124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125"/>
      <c r="Y14" s="124"/>
      <c r="Z14" s="66"/>
      <c r="AA14" s="66"/>
      <c r="AB14" s="125"/>
      <c r="AC14" s="124"/>
      <c r="AD14" s="96"/>
      <c r="AE14" s="66"/>
      <c r="AF14" s="125"/>
      <c r="AG14" s="95">
        <v>958</v>
      </c>
      <c r="AH14" s="124">
        <v>6</v>
      </c>
      <c r="AI14" s="66"/>
      <c r="AJ14" s="66"/>
      <c r="AK14" s="66"/>
      <c r="AL14" s="66"/>
      <c r="AM14" s="66"/>
      <c r="AN14" s="66"/>
      <c r="AO14" s="102"/>
      <c r="AP14" s="95">
        <v>94735</v>
      </c>
    </row>
    <row r="15" spans="1:42" x14ac:dyDescent="0.25">
      <c r="A15" s="330" t="s">
        <v>47</v>
      </c>
      <c r="B15" s="191">
        <f t="shared" ref="B15:B38" si="7">1.518*I15^0.9321</f>
        <v>189222.86716699231</v>
      </c>
      <c r="C15" s="104">
        <f t="shared" ref="C15:C38" si="8">0.748*J15+1.613*K15+1.774*L15</f>
        <v>451193.19900000002</v>
      </c>
      <c r="D15" s="104">
        <f t="shared" ref="D15:D38" si="9">35453*M15+56469*O15+144773*Q15+178851*(S15+U15)+440*X15</f>
        <v>178851</v>
      </c>
      <c r="E15" s="104">
        <f t="shared" ref="E15:E38" si="10">4047*(Y15+Z15)+85370*(AA15+AB15)</f>
        <v>234726</v>
      </c>
      <c r="F15" s="104">
        <f t="shared" ref="F15:F38" si="11">135.8*(AC15+AD15)+430.2*AE15+1208.1*AF15</f>
        <v>229773.6</v>
      </c>
      <c r="G15" s="165">
        <f t="shared" ref="G15:G38" si="12">149.8*AG15</f>
        <v>253461.6</v>
      </c>
      <c r="H15" s="185">
        <f t="shared" ref="H15:H38" si="13">AG15/(SUM(Y15:AB15)*1000)</f>
        <v>2.9172413793103449E-2</v>
      </c>
      <c r="I15" s="68">
        <v>293025</v>
      </c>
      <c r="J15" s="175">
        <v>0</v>
      </c>
      <c r="K15" s="73">
        <v>279723</v>
      </c>
      <c r="L15" s="169">
        <v>0</v>
      </c>
      <c r="M15" s="116"/>
      <c r="N15" s="67"/>
      <c r="O15" s="67"/>
      <c r="P15" s="67"/>
      <c r="Q15" s="67"/>
      <c r="R15" s="67"/>
      <c r="S15" s="67">
        <v>1</v>
      </c>
      <c r="T15" s="67"/>
      <c r="U15" s="67"/>
      <c r="V15" s="67"/>
      <c r="W15" s="67"/>
      <c r="X15" s="117"/>
      <c r="Y15" s="116">
        <v>28</v>
      </c>
      <c r="Z15" s="67">
        <v>30</v>
      </c>
      <c r="AA15" s="67">
        <v>0</v>
      </c>
      <c r="AB15" s="117">
        <v>0</v>
      </c>
      <c r="AC15" s="116">
        <v>245</v>
      </c>
      <c r="AD15" s="64">
        <v>1447</v>
      </c>
      <c r="AE15" s="67">
        <v>0</v>
      </c>
      <c r="AF15" s="117">
        <v>0</v>
      </c>
      <c r="AG15" s="68">
        <v>1692</v>
      </c>
      <c r="AH15" s="116">
        <v>5</v>
      </c>
      <c r="AI15" s="67">
        <v>4</v>
      </c>
      <c r="AJ15" s="67">
        <v>2</v>
      </c>
      <c r="AK15" s="67">
        <v>1</v>
      </c>
      <c r="AL15" s="67">
        <v>1</v>
      </c>
      <c r="AM15" s="67">
        <v>1</v>
      </c>
      <c r="AN15" s="67">
        <v>0</v>
      </c>
      <c r="AO15" s="94">
        <v>1</v>
      </c>
      <c r="AP15" s="68">
        <v>190937</v>
      </c>
    </row>
    <row r="16" spans="1:42" x14ac:dyDescent="0.25">
      <c r="A16" s="330" t="s">
        <v>55</v>
      </c>
      <c r="B16" s="191">
        <f t="shared" si="7"/>
        <v>573890.16443921125</v>
      </c>
      <c r="C16" s="104">
        <f t="shared" si="8"/>
        <v>1554159.3729999999</v>
      </c>
      <c r="D16" s="104">
        <f t="shared" si="9"/>
        <v>254750</v>
      </c>
      <c r="E16" s="104">
        <f t="shared" si="10"/>
        <v>1040888.3999999999</v>
      </c>
      <c r="F16" s="104">
        <f t="shared" si="11"/>
        <v>713900.60000000009</v>
      </c>
      <c r="G16" s="165">
        <f t="shared" si="12"/>
        <v>825398.00000000012</v>
      </c>
      <c r="H16" s="185">
        <f t="shared" si="13"/>
        <v>2.1423017107309487E-2</v>
      </c>
      <c r="I16" s="83">
        <v>963521</v>
      </c>
      <c r="J16" s="177"/>
      <c r="K16" s="79">
        <v>963521</v>
      </c>
      <c r="L16" s="166"/>
      <c r="M16" s="126">
        <v>4</v>
      </c>
      <c r="N16" s="63">
        <v>94</v>
      </c>
      <c r="O16" s="63">
        <v>2</v>
      </c>
      <c r="P16" s="63">
        <v>300</v>
      </c>
      <c r="Q16" s="66"/>
      <c r="R16" s="66"/>
      <c r="S16" s="66"/>
      <c r="T16" s="66"/>
      <c r="U16" s="66"/>
      <c r="V16" s="66"/>
      <c r="W16" s="66"/>
      <c r="X16" s="125"/>
      <c r="Y16" s="126">
        <v>150.19999999999999</v>
      </c>
      <c r="Z16" s="63">
        <v>107</v>
      </c>
      <c r="AA16" s="63"/>
      <c r="AB16" s="127"/>
      <c r="AC16" s="126">
        <v>741</v>
      </c>
      <c r="AD16" s="79">
        <v>4516</v>
      </c>
      <c r="AE16" s="66"/>
      <c r="AF16" s="125"/>
      <c r="AG16" s="95">
        <v>5510</v>
      </c>
      <c r="AH16" s="126">
        <v>12</v>
      </c>
      <c r="AI16" s="63">
        <v>14</v>
      </c>
      <c r="AJ16" s="63">
        <v>6</v>
      </c>
      <c r="AK16" s="63">
        <v>3</v>
      </c>
      <c r="AL16" s="63">
        <v>3</v>
      </c>
      <c r="AM16" s="63">
        <v>1</v>
      </c>
      <c r="AN16" s="63">
        <v>1</v>
      </c>
      <c r="AO16" s="80">
        <v>3</v>
      </c>
      <c r="AP16" s="95">
        <v>502892</v>
      </c>
    </row>
    <row r="17" spans="1:42" x14ac:dyDescent="0.25">
      <c r="A17" s="330" t="s">
        <v>48</v>
      </c>
      <c r="B17" s="191">
        <f t="shared" si="7"/>
        <v>290537.05132261355</v>
      </c>
      <c r="C17" s="104">
        <f t="shared" si="8"/>
        <v>748743.30900000001</v>
      </c>
      <c r="D17" s="104">
        <f t="shared" si="9"/>
        <v>0</v>
      </c>
      <c r="E17" s="104">
        <f t="shared" si="10"/>
        <v>291384</v>
      </c>
      <c r="F17" s="104">
        <f t="shared" si="11"/>
        <v>307179.60000000003</v>
      </c>
      <c r="G17" s="165">
        <f t="shared" si="12"/>
        <v>338847.60000000003</v>
      </c>
      <c r="H17" s="185">
        <f t="shared" si="13"/>
        <v>3.1416666666666669E-2</v>
      </c>
      <c r="I17" s="68">
        <v>464193</v>
      </c>
      <c r="J17" s="175">
        <v>0</v>
      </c>
      <c r="K17" s="73">
        <v>464193</v>
      </c>
      <c r="L17" s="169">
        <v>0</v>
      </c>
      <c r="M17" s="11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117"/>
      <c r="Y17" s="116">
        <v>26</v>
      </c>
      <c r="Z17" s="67">
        <v>46</v>
      </c>
      <c r="AA17" s="67">
        <v>0</v>
      </c>
      <c r="AB17" s="117">
        <v>0</v>
      </c>
      <c r="AC17" s="116">
        <v>161</v>
      </c>
      <c r="AD17" s="64">
        <v>2101</v>
      </c>
      <c r="AE17" s="67"/>
      <c r="AF17" s="117"/>
      <c r="AG17" s="68">
        <v>2262</v>
      </c>
      <c r="AH17" s="116">
        <v>11</v>
      </c>
      <c r="AI17" s="67"/>
      <c r="AJ17" s="67">
        <v>4</v>
      </c>
      <c r="AK17" s="67">
        <v>2</v>
      </c>
      <c r="AL17" s="67">
        <v>2</v>
      </c>
      <c r="AM17" s="67"/>
      <c r="AN17" s="67">
        <v>2</v>
      </c>
      <c r="AO17" s="94">
        <v>1</v>
      </c>
      <c r="AP17" s="68">
        <v>261199</v>
      </c>
    </row>
    <row r="18" spans="1:42" x14ac:dyDescent="0.25">
      <c r="A18" s="330" t="s">
        <v>58</v>
      </c>
      <c r="B18" s="191">
        <f t="shared" si="7"/>
        <v>236425.61575135292</v>
      </c>
      <c r="C18" s="104">
        <f t="shared" si="8"/>
        <v>592204.88500000001</v>
      </c>
      <c r="D18" s="104">
        <f t="shared" si="9"/>
        <v>0</v>
      </c>
      <c r="E18" s="104">
        <f t="shared" si="10"/>
        <v>325783.5</v>
      </c>
      <c r="F18" s="104">
        <f t="shared" si="11"/>
        <v>266575.40000000002</v>
      </c>
      <c r="G18" s="165">
        <f t="shared" si="12"/>
        <v>325215.80000000005</v>
      </c>
      <c r="H18" s="185">
        <f t="shared" si="13"/>
        <v>2.6968944099378882E-2</v>
      </c>
      <c r="I18" s="83">
        <v>372110</v>
      </c>
      <c r="J18" s="177"/>
      <c r="K18" s="79">
        <v>367145</v>
      </c>
      <c r="L18" s="166"/>
      <c r="M18" s="124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125"/>
      <c r="Y18" s="126">
        <v>32.1</v>
      </c>
      <c r="Z18" s="63">
        <v>48.4</v>
      </c>
      <c r="AA18" s="63">
        <v>0</v>
      </c>
      <c r="AB18" s="127">
        <v>0</v>
      </c>
      <c r="AC18" s="126">
        <v>72</v>
      </c>
      <c r="AD18" s="79">
        <v>1891</v>
      </c>
      <c r="AE18" s="63">
        <v>0</v>
      </c>
      <c r="AF18" s="127">
        <v>0</v>
      </c>
      <c r="AG18" s="95">
        <v>2171</v>
      </c>
      <c r="AH18" s="126">
        <v>12</v>
      </c>
      <c r="AI18" s="63">
        <v>5</v>
      </c>
      <c r="AJ18" s="63">
        <v>7</v>
      </c>
      <c r="AK18" s="63">
        <v>1</v>
      </c>
      <c r="AL18" s="63">
        <v>1</v>
      </c>
      <c r="AM18" s="63">
        <v>1</v>
      </c>
      <c r="AN18" s="63">
        <v>2</v>
      </c>
      <c r="AO18" s="80">
        <v>2</v>
      </c>
      <c r="AP18" s="81">
        <v>161337</v>
      </c>
    </row>
    <row r="19" spans="1:42" x14ac:dyDescent="0.25">
      <c r="A19" s="330" t="s">
        <v>50</v>
      </c>
      <c r="B19" s="191">
        <f t="shared" si="7"/>
        <v>0</v>
      </c>
      <c r="C19" s="104">
        <f t="shared" si="8"/>
        <v>599534.35699999996</v>
      </c>
      <c r="D19" s="104">
        <f t="shared" si="9"/>
        <v>141812</v>
      </c>
      <c r="E19" s="104">
        <f t="shared" si="10"/>
        <v>659661</v>
      </c>
      <c r="F19" s="104">
        <f t="shared" si="11"/>
        <v>255439.80000000002</v>
      </c>
      <c r="G19" s="165">
        <f t="shared" si="12"/>
        <v>274134</v>
      </c>
      <c r="H19" s="185">
        <f t="shared" si="13"/>
        <v>1.1226993865030675E-2</v>
      </c>
      <c r="I19" s="68"/>
      <c r="J19" s="175">
        <v>0</v>
      </c>
      <c r="K19" s="73">
        <v>371689</v>
      </c>
      <c r="L19" s="166">
        <v>0</v>
      </c>
      <c r="M19" s="124">
        <v>4</v>
      </c>
      <c r="N19" s="66">
        <v>45</v>
      </c>
      <c r="O19" s="66"/>
      <c r="P19" s="66"/>
      <c r="Q19" s="66"/>
      <c r="R19" s="66"/>
      <c r="S19" s="66"/>
      <c r="T19" s="66"/>
      <c r="U19" s="66"/>
      <c r="V19" s="66"/>
      <c r="W19" s="66"/>
      <c r="X19" s="125"/>
      <c r="Y19" s="124">
        <v>106</v>
      </c>
      <c r="Z19" s="66">
        <v>57</v>
      </c>
      <c r="AA19" s="66">
        <v>0</v>
      </c>
      <c r="AB19" s="125">
        <v>0</v>
      </c>
      <c r="AC19" s="116">
        <v>268</v>
      </c>
      <c r="AD19" s="64">
        <v>1613</v>
      </c>
      <c r="AE19" s="67"/>
      <c r="AF19" s="117"/>
      <c r="AG19" s="68">
        <v>1830</v>
      </c>
      <c r="AH19" s="116">
        <v>4</v>
      </c>
      <c r="AI19" s="67"/>
      <c r="AJ19" s="67"/>
      <c r="AK19" s="67"/>
      <c r="AL19" s="67"/>
      <c r="AM19" s="67"/>
      <c r="AN19" s="67"/>
      <c r="AO19" s="94"/>
      <c r="AP19" s="68">
        <v>127978</v>
      </c>
    </row>
    <row r="20" spans="1:42" x14ac:dyDescent="0.25">
      <c r="A20" s="330" t="s">
        <v>61</v>
      </c>
      <c r="B20" s="191">
        <f t="shared" si="7"/>
        <v>408561.96907200455</v>
      </c>
      <c r="C20" s="104">
        <f t="shared" si="8"/>
        <v>1047298.318</v>
      </c>
      <c r="D20" s="104">
        <f t="shared" si="9"/>
        <v>35453</v>
      </c>
      <c r="E20" s="104">
        <f t="shared" si="10"/>
        <v>1443424.5</v>
      </c>
      <c r="F20" s="104">
        <f t="shared" si="11"/>
        <v>952354.4</v>
      </c>
      <c r="G20" s="165">
        <f t="shared" si="12"/>
        <v>851463.20000000007</v>
      </c>
      <c r="H20" s="185">
        <f t="shared" si="13"/>
        <v>3.746868820039552E-2</v>
      </c>
      <c r="I20" s="83">
        <v>669176</v>
      </c>
      <c r="J20" s="177"/>
      <c r="K20" s="79">
        <v>649286</v>
      </c>
      <c r="L20" s="166"/>
      <c r="M20" s="126">
        <v>1</v>
      </c>
      <c r="N20" s="63">
        <v>15</v>
      </c>
      <c r="O20" s="66"/>
      <c r="P20" s="66"/>
      <c r="Q20" s="66"/>
      <c r="R20" s="66"/>
      <c r="S20" s="66"/>
      <c r="T20" s="66"/>
      <c r="U20" s="66"/>
      <c r="V20" s="66"/>
      <c r="W20" s="66"/>
      <c r="X20" s="125"/>
      <c r="Y20" s="126">
        <v>42.5</v>
      </c>
      <c r="Z20" s="63">
        <v>99</v>
      </c>
      <c r="AA20" s="63">
        <v>10.199999999999999</v>
      </c>
      <c r="AB20" s="127"/>
      <c r="AC20" s="126">
        <v>331</v>
      </c>
      <c r="AD20" s="79">
        <v>4740</v>
      </c>
      <c r="AE20" s="63">
        <v>613</v>
      </c>
      <c r="AF20" s="125"/>
      <c r="AG20" s="83">
        <v>5684</v>
      </c>
      <c r="AH20" s="126">
        <v>15</v>
      </c>
      <c r="AI20" s="63">
        <v>11</v>
      </c>
      <c r="AJ20" s="63">
        <v>12</v>
      </c>
      <c r="AK20" s="63">
        <v>3</v>
      </c>
      <c r="AL20" s="63">
        <v>1</v>
      </c>
      <c r="AM20" s="63">
        <v>1</v>
      </c>
      <c r="AN20" s="63">
        <v>2</v>
      </c>
      <c r="AO20" s="82">
        <v>7</v>
      </c>
      <c r="AP20" s="72">
        <v>318105</v>
      </c>
    </row>
    <row r="21" spans="1:42" x14ac:dyDescent="0.25">
      <c r="A21" s="330" t="s">
        <v>63</v>
      </c>
      <c r="B21" s="191">
        <f t="shared" si="7"/>
        <v>154786.60699645701</v>
      </c>
      <c r="C21" s="104">
        <f>0.748*J21+1.613*K21+1.774*L21</f>
        <v>380604.60399999999</v>
      </c>
      <c r="D21" s="104">
        <f t="shared" si="9"/>
        <v>70906</v>
      </c>
      <c r="E21" s="104">
        <f t="shared" si="10"/>
        <v>178877.40000000002</v>
      </c>
      <c r="F21" s="104">
        <f t="shared" si="11"/>
        <v>212527.00000000003</v>
      </c>
      <c r="G21" s="165">
        <f t="shared" si="12"/>
        <v>235635.40000000002</v>
      </c>
      <c r="H21" s="185">
        <f t="shared" si="13"/>
        <v>3.558823529411765E-2</v>
      </c>
      <c r="I21" s="83">
        <v>236216</v>
      </c>
      <c r="J21" s="177"/>
      <c r="K21" s="79"/>
      <c r="L21" s="166">
        <v>214546</v>
      </c>
      <c r="M21" s="126">
        <v>2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125"/>
      <c r="Y21" s="126">
        <v>5</v>
      </c>
      <c r="Z21" s="63">
        <v>39.200000000000003</v>
      </c>
      <c r="AA21" s="63">
        <v>0</v>
      </c>
      <c r="AB21" s="125"/>
      <c r="AC21" s="126">
        <v>2</v>
      </c>
      <c r="AD21" s="79">
        <v>1563</v>
      </c>
      <c r="AE21" s="66"/>
      <c r="AF21" s="125"/>
      <c r="AG21" s="83">
        <v>1573</v>
      </c>
      <c r="AH21" s="126">
        <v>6</v>
      </c>
      <c r="AI21" s="63">
        <v>4</v>
      </c>
      <c r="AJ21" s="63"/>
      <c r="AK21" s="63">
        <v>2</v>
      </c>
      <c r="AL21" s="63">
        <v>2</v>
      </c>
      <c r="AM21" s="63">
        <v>1</v>
      </c>
      <c r="AN21" s="63" t="s">
        <v>213</v>
      </c>
      <c r="AO21" s="80">
        <v>2</v>
      </c>
      <c r="AP21" s="83">
        <v>102495</v>
      </c>
    </row>
    <row r="22" spans="1:42" x14ac:dyDescent="0.25">
      <c r="A22" s="330" t="s">
        <v>51</v>
      </c>
      <c r="B22" s="191">
        <f t="shared" si="7"/>
        <v>179895.51786801897</v>
      </c>
      <c r="C22" s="104">
        <f t="shared" si="8"/>
        <v>411676.31199999998</v>
      </c>
      <c r="D22" s="104">
        <f t="shared" si="9"/>
        <v>35453</v>
      </c>
      <c r="E22" s="104">
        <f t="shared" si="10"/>
        <v>279243</v>
      </c>
      <c r="F22" s="104">
        <f t="shared" si="11"/>
        <v>251094.2</v>
      </c>
      <c r="G22" s="165">
        <f t="shared" si="12"/>
        <v>272636</v>
      </c>
      <c r="H22" s="185">
        <f t="shared" si="13"/>
        <v>2.6376811594202899E-2</v>
      </c>
      <c r="I22" s="68">
        <v>277557</v>
      </c>
      <c r="J22" s="175">
        <v>0</v>
      </c>
      <c r="K22" s="73">
        <v>255224</v>
      </c>
      <c r="L22" s="166">
        <v>0</v>
      </c>
      <c r="M22" s="124">
        <v>1</v>
      </c>
      <c r="N22" s="66">
        <v>50</v>
      </c>
      <c r="O22" s="66"/>
      <c r="P22" s="66"/>
      <c r="Q22" s="66"/>
      <c r="R22" s="66"/>
      <c r="S22" s="66"/>
      <c r="T22" s="66"/>
      <c r="U22" s="66"/>
      <c r="V22" s="66"/>
      <c r="W22" s="66"/>
      <c r="X22" s="125"/>
      <c r="Y22" s="124">
        <v>31</v>
      </c>
      <c r="Z22" s="66">
        <v>38</v>
      </c>
      <c r="AA22" s="66">
        <v>0</v>
      </c>
      <c r="AB22" s="125">
        <v>0</v>
      </c>
      <c r="AC22" s="116">
        <v>221</v>
      </c>
      <c r="AD22" s="64">
        <v>1628</v>
      </c>
      <c r="AE22" s="67"/>
      <c r="AF22" s="117"/>
      <c r="AG22" s="68">
        <v>1820</v>
      </c>
      <c r="AH22" s="116">
        <v>10</v>
      </c>
      <c r="AI22" s="67">
        <v>0</v>
      </c>
      <c r="AJ22" s="67">
        <v>10</v>
      </c>
      <c r="AK22" s="67">
        <v>0</v>
      </c>
      <c r="AL22" s="67">
        <v>1</v>
      </c>
      <c r="AM22" s="67">
        <v>1</v>
      </c>
      <c r="AN22" s="67">
        <v>0</v>
      </c>
      <c r="AO22" s="94">
        <v>2</v>
      </c>
      <c r="AP22" s="68">
        <v>142774</v>
      </c>
    </row>
    <row r="23" spans="1:42" x14ac:dyDescent="0.25">
      <c r="A23" s="330" t="s">
        <v>65</v>
      </c>
      <c r="B23" s="191">
        <f t="shared" si="7"/>
        <v>1554489.0243012877</v>
      </c>
      <c r="C23" s="104">
        <f t="shared" si="8"/>
        <v>4426652.2700000005</v>
      </c>
      <c r="D23" s="104">
        <f t="shared" si="9"/>
        <v>1664912</v>
      </c>
      <c r="E23" s="104">
        <f t="shared" si="10"/>
        <v>5495745.7000000002</v>
      </c>
      <c r="F23" s="104">
        <f t="shared" si="11"/>
        <v>1999602.4000000001</v>
      </c>
      <c r="G23" s="165">
        <f t="shared" si="12"/>
        <v>2165658.6</v>
      </c>
      <c r="H23" s="185">
        <f t="shared" si="13"/>
        <v>2.7067964800599139E-2</v>
      </c>
      <c r="I23" s="68">
        <v>2806370</v>
      </c>
      <c r="J23" s="175"/>
      <c r="K23" s="73">
        <v>2358490</v>
      </c>
      <c r="L23" s="166">
        <v>350850</v>
      </c>
      <c r="M23" s="159">
        <v>7</v>
      </c>
      <c r="N23" s="65">
        <v>77</v>
      </c>
      <c r="O23" s="65">
        <v>1</v>
      </c>
      <c r="P23" s="65">
        <v>80</v>
      </c>
      <c r="Q23" s="65">
        <v>3</v>
      </c>
      <c r="R23" s="65">
        <v>447</v>
      </c>
      <c r="S23" s="65">
        <v>2</v>
      </c>
      <c r="T23" s="65">
        <v>740</v>
      </c>
      <c r="U23" s="65">
        <v>1</v>
      </c>
      <c r="V23" s="65">
        <v>574</v>
      </c>
      <c r="W23" s="65">
        <v>1</v>
      </c>
      <c r="X23" s="154">
        <v>885</v>
      </c>
      <c r="Y23" s="124">
        <v>136.1</v>
      </c>
      <c r="Z23" s="66">
        <v>357</v>
      </c>
      <c r="AA23" s="66">
        <v>41</v>
      </c>
      <c r="AB23" s="125"/>
      <c r="AC23" s="128">
        <v>745</v>
      </c>
      <c r="AD23" s="85">
        <v>11968</v>
      </c>
      <c r="AE23" s="84">
        <v>635</v>
      </c>
      <c r="AF23" s="117"/>
      <c r="AG23" s="68">
        <v>14457</v>
      </c>
      <c r="AH23" s="128">
        <v>42</v>
      </c>
      <c r="AI23" s="84">
        <v>68</v>
      </c>
      <c r="AJ23" s="84">
        <v>71</v>
      </c>
      <c r="AK23" s="84">
        <v>6</v>
      </c>
      <c r="AL23" s="84">
        <v>6</v>
      </c>
      <c r="AM23" s="84">
        <v>2</v>
      </c>
      <c r="AN23" s="84">
        <v>9</v>
      </c>
      <c r="AO23" s="86">
        <v>16</v>
      </c>
      <c r="AP23" s="68">
        <v>1450364</v>
      </c>
    </row>
    <row r="24" spans="1:42" x14ac:dyDescent="0.25">
      <c r="A24" s="330" t="s">
        <v>54</v>
      </c>
      <c r="B24" s="191">
        <f t="shared" si="7"/>
        <v>132401.83662390889</v>
      </c>
      <c r="C24" s="104">
        <f t="shared" si="8"/>
        <v>322227.397</v>
      </c>
      <c r="D24" s="104">
        <f t="shared" si="9"/>
        <v>177265</v>
      </c>
      <c r="E24" s="104">
        <f t="shared" si="10"/>
        <v>182115</v>
      </c>
      <c r="F24" s="104">
        <f t="shared" si="11"/>
        <v>181021.40000000002</v>
      </c>
      <c r="G24" s="165">
        <f t="shared" si="12"/>
        <v>227396.40000000002</v>
      </c>
      <c r="H24" s="185">
        <f t="shared" si="13"/>
        <v>3.373333333333333E-2</v>
      </c>
      <c r="I24" s="68">
        <v>199769</v>
      </c>
      <c r="J24" s="175">
        <v>0</v>
      </c>
      <c r="K24" s="73">
        <v>199769</v>
      </c>
      <c r="L24" s="169">
        <v>0</v>
      </c>
      <c r="M24" s="116">
        <v>5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125"/>
      <c r="Y24" s="124">
        <v>5</v>
      </c>
      <c r="Z24" s="66">
        <v>40</v>
      </c>
      <c r="AA24" s="66">
        <v>0</v>
      </c>
      <c r="AB24" s="125">
        <v>0</v>
      </c>
      <c r="AC24" s="116">
        <v>30</v>
      </c>
      <c r="AD24" s="64">
        <v>1303</v>
      </c>
      <c r="AE24" s="67"/>
      <c r="AF24" s="117"/>
      <c r="AG24" s="68">
        <v>1518</v>
      </c>
      <c r="AH24" s="116"/>
      <c r="AI24" s="67"/>
      <c r="AJ24" s="67"/>
      <c r="AK24" s="67"/>
      <c r="AL24" s="67"/>
      <c r="AM24" s="67"/>
      <c r="AN24" s="67"/>
      <c r="AO24" s="94"/>
      <c r="AP24" s="103"/>
    </row>
    <row r="25" spans="1:42" x14ac:dyDescent="0.25">
      <c r="A25" s="330" t="s">
        <v>56</v>
      </c>
      <c r="B25" s="191">
        <f t="shared" si="7"/>
        <v>188374.63749886543</v>
      </c>
      <c r="C25" s="104">
        <f t="shared" si="8"/>
        <v>470376.60800000001</v>
      </c>
      <c r="D25" s="104">
        <f t="shared" si="9"/>
        <v>0</v>
      </c>
      <c r="E25" s="104">
        <f t="shared" si="10"/>
        <v>263055</v>
      </c>
      <c r="F25" s="104">
        <f t="shared" si="11"/>
        <v>184552.2</v>
      </c>
      <c r="G25" s="165">
        <f t="shared" si="12"/>
        <v>201780.6</v>
      </c>
      <c r="H25" s="185">
        <f t="shared" si="13"/>
        <v>2.0723076923076924E-2</v>
      </c>
      <c r="I25" s="68">
        <v>291616</v>
      </c>
      <c r="J25" s="175">
        <v>0</v>
      </c>
      <c r="K25" s="79">
        <v>291616</v>
      </c>
      <c r="L25" s="166">
        <v>0</v>
      </c>
      <c r="M25" s="124">
        <v>0</v>
      </c>
      <c r="N25" s="66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125">
        <v>0</v>
      </c>
      <c r="Y25" s="124">
        <v>29</v>
      </c>
      <c r="Z25" s="66">
        <v>36</v>
      </c>
      <c r="AA25" s="66">
        <v>0</v>
      </c>
      <c r="AB25" s="125">
        <v>0</v>
      </c>
      <c r="AC25" s="116">
        <v>197</v>
      </c>
      <c r="AD25" s="64">
        <v>1162</v>
      </c>
      <c r="AE25" s="67">
        <v>0</v>
      </c>
      <c r="AF25" s="117">
        <v>0</v>
      </c>
      <c r="AG25" s="68">
        <v>1347</v>
      </c>
      <c r="AH25" s="116">
        <v>8</v>
      </c>
      <c r="AI25" s="67">
        <v>6</v>
      </c>
      <c r="AJ25" s="67">
        <v>2</v>
      </c>
      <c r="AK25" s="67">
        <v>2</v>
      </c>
      <c r="AL25" s="67">
        <v>2</v>
      </c>
      <c r="AM25" s="67">
        <v>1</v>
      </c>
      <c r="AN25" s="67">
        <v>1</v>
      </c>
      <c r="AO25" s="94">
        <v>2</v>
      </c>
      <c r="AP25" s="68">
        <v>138695</v>
      </c>
    </row>
    <row r="26" spans="1:42" x14ac:dyDescent="0.25">
      <c r="A26" s="330" t="s">
        <v>71</v>
      </c>
      <c r="B26" s="191">
        <f t="shared" si="7"/>
        <v>144649.19346566621</v>
      </c>
      <c r="C26" s="104">
        <f t="shared" si="8"/>
        <v>388640.82400000002</v>
      </c>
      <c r="D26" s="104">
        <f t="shared" si="9"/>
        <v>56469</v>
      </c>
      <c r="E26" s="104">
        <f t="shared" si="10"/>
        <v>174021</v>
      </c>
      <c r="F26" s="104">
        <f t="shared" si="11"/>
        <v>239143.80000000002</v>
      </c>
      <c r="G26" s="165">
        <f t="shared" si="12"/>
        <v>264097.40000000002</v>
      </c>
      <c r="H26" s="185">
        <f t="shared" si="13"/>
        <v>4.1000000000000002E-2</v>
      </c>
      <c r="I26" s="83">
        <v>219659</v>
      </c>
      <c r="J26" s="177"/>
      <c r="K26" s="79"/>
      <c r="L26" s="165">
        <v>219076</v>
      </c>
      <c r="M26" s="124"/>
      <c r="N26" s="66"/>
      <c r="O26" s="63">
        <v>1</v>
      </c>
      <c r="P26" s="63">
        <v>76</v>
      </c>
      <c r="Q26" s="66"/>
      <c r="R26" s="66"/>
      <c r="S26" s="66"/>
      <c r="T26" s="66"/>
      <c r="U26" s="66"/>
      <c r="V26" s="66"/>
      <c r="W26" s="66"/>
      <c r="X26" s="125"/>
      <c r="Y26" s="126">
        <v>1</v>
      </c>
      <c r="Z26" s="63">
        <v>42</v>
      </c>
      <c r="AA26" s="63">
        <v>0</v>
      </c>
      <c r="AB26" s="127">
        <v>0</v>
      </c>
      <c r="AC26" s="126">
        <v>47</v>
      </c>
      <c r="AD26" s="79">
        <v>1714</v>
      </c>
      <c r="AE26" s="66"/>
      <c r="AF26" s="125"/>
      <c r="AG26" s="83">
        <v>1763</v>
      </c>
      <c r="AH26" s="126">
        <v>13</v>
      </c>
      <c r="AI26" s="63">
        <v>6</v>
      </c>
      <c r="AJ26" s="63">
        <v>2</v>
      </c>
      <c r="AK26" s="63">
        <v>2</v>
      </c>
      <c r="AL26" s="63">
        <v>2</v>
      </c>
      <c r="AM26" s="63">
        <v>1</v>
      </c>
      <c r="AN26" s="63">
        <v>3</v>
      </c>
      <c r="AO26" s="80">
        <v>2</v>
      </c>
      <c r="AP26" s="83">
        <v>150761</v>
      </c>
    </row>
    <row r="27" spans="1:42" x14ac:dyDescent="0.25">
      <c r="A27" s="330" t="s">
        <v>57</v>
      </c>
      <c r="B27" s="191">
        <f t="shared" si="7"/>
        <v>157548.00245975814</v>
      </c>
      <c r="C27" s="104">
        <f t="shared" si="8"/>
        <v>164907.82</v>
      </c>
      <c r="D27" s="104">
        <f t="shared" si="9"/>
        <v>56469</v>
      </c>
      <c r="E27" s="104">
        <f t="shared" si="10"/>
        <v>259008</v>
      </c>
      <c r="F27" s="104">
        <f t="shared" si="11"/>
        <v>290340.40000000002</v>
      </c>
      <c r="G27" s="165">
        <f t="shared" si="12"/>
        <v>321620.60000000003</v>
      </c>
      <c r="H27" s="185">
        <f t="shared" si="13"/>
        <v>3.3546874999999997E-2</v>
      </c>
      <c r="I27" s="68">
        <v>240740</v>
      </c>
      <c r="J27" s="175">
        <v>220465</v>
      </c>
      <c r="K27" s="79">
        <v>0</v>
      </c>
      <c r="L27" s="166">
        <v>0</v>
      </c>
      <c r="M27" s="124"/>
      <c r="N27" s="66"/>
      <c r="O27" s="67">
        <v>1</v>
      </c>
      <c r="P27" s="67">
        <v>100</v>
      </c>
      <c r="Q27" s="67"/>
      <c r="R27" s="67"/>
      <c r="S27" s="67"/>
      <c r="T27" s="67"/>
      <c r="U27" s="67"/>
      <c r="V27" s="67"/>
      <c r="W27" s="67"/>
      <c r="X27" s="125"/>
      <c r="Y27" s="124">
        <v>10</v>
      </c>
      <c r="Z27" s="66">
        <v>54</v>
      </c>
      <c r="AA27" s="66">
        <v>0</v>
      </c>
      <c r="AB27" s="125">
        <v>0</v>
      </c>
      <c r="AC27" s="116">
        <v>325</v>
      </c>
      <c r="AD27" s="64">
        <v>1813</v>
      </c>
      <c r="AE27" s="67"/>
      <c r="AF27" s="117"/>
      <c r="AG27" s="68">
        <v>2147</v>
      </c>
      <c r="AH27" s="116">
        <v>12</v>
      </c>
      <c r="AI27" s="67"/>
      <c r="AJ27" s="67"/>
      <c r="AK27" s="67"/>
      <c r="AL27" s="67"/>
      <c r="AM27" s="67"/>
      <c r="AN27" s="67"/>
      <c r="AO27" s="94"/>
      <c r="AP27" s="68">
        <v>106816</v>
      </c>
    </row>
    <row r="28" spans="1:42" x14ac:dyDescent="0.25">
      <c r="A28" s="330" t="s">
        <v>59</v>
      </c>
      <c r="B28" s="191">
        <f t="shared" si="7"/>
        <v>232232.9108092832</v>
      </c>
      <c r="C28" s="104">
        <f t="shared" si="8"/>
        <v>583376.93599999999</v>
      </c>
      <c r="D28" s="104">
        <f t="shared" si="9"/>
        <v>70906</v>
      </c>
      <c r="E28" s="104">
        <f t="shared" si="10"/>
        <v>457311</v>
      </c>
      <c r="F28" s="104">
        <f t="shared" si="11"/>
        <v>325105.2</v>
      </c>
      <c r="G28" s="165">
        <f t="shared" si="12"/>
        <v>414047.2</v>
      </c>
      <c r="H28" s="185">
        <f t="shared" si="13"/>
        <v>2.4460176991150443E-2</v>
      </c>
      <c r="I28" s="68">
        <v>365035</v>
      </c>
      <c r="J28" s="175">
        <v>0</v>
      </c>
      <c r="K28" s="79">
        <v>361672</v>
      </c>
      <c r="L28" s="166">
        <v>0</v>
      </c>
      <c r="M28" s="124">
        <v>2</v>
      </c>
      <c r="N28" s="66">
        <v>14</v>
      </c>
      <c r="O28" s="67"/>
      <c r="P28" s="67"/>
      <c r="Q28" s="67"/>
      <c r="R28" s="67"/>
      <c r="S28" s="67"/>
      <c r="T28" s="67"/>
      <c r="U28" s="67"/>
      <c r="V28" s="67"/>
      <c r="W28" s="67"/>
      <c r="X28" s="117"/>
      <c r="Y28" s="116">
        <v>57</v>
      </c>
      <c r="Z28" s="67">
        <v>56</v>
      </c>
      <c r="AA28" s="67">
        <v>0</v>
      </c>
      <c r="AB28" s="117">
        <v>0</v>
      </c>
      <c r="AC28" s="116">
        <v>870</v>
      </c>
      <c r="AD28" s="64">
        <v>1524</v>
      </c>
      <c r="AE28" s="67"/>
      <c r="AF28" s="117"/>
      <c r="AG28" s="68">
        <v>2764</v>
      </c>
      <c r="AH28" s="116">
        <v>17</v>
      </c>
      <c r="AI28" s="67"/>
      <c r="AJ28" s="67">
        <v>7</v>
      </c>
      <c r="AK28" s="67">
        <v>1</v>
      </c>
      <c r="AL28" s="67">
        <v>2</v>
      </c>
      <c r="AM28" s="67">
        <v>1</v>
      </c>
      <c r="AN28" s="67">
        <v>2</v>
      </c>
      <c r="AO28" s="94">
        <v>6</v>
      </c>
      <c r="AP28" s="68">
        <v>189970</v>
      </c>
    </row>
    <row r="29" spans="1:42" x14ac:dyDescent="0.25">
      <c r="A29" s="330" t="s">
        <v>60</v>
      </c>
      <c r="B29" s="191">
        <f t="shared" si="7"/>
        <v>1351476.3319409725</v>
      </c>
      <c r="C29" s="104">
        <f t="shared" si="8"/>
        <v>4282998.358</v>
      </c>
      <c r="D29" s="104">
        <f t="shared" si="9"/>
        <v>715404</v>
      </c>
      <c r="E29" s="104">
        <f t="shared" si="10"/>
        <v>12069163</v>
      </c>
      <c r="F29" s="104">
        <f t="shared" si="11"/>
        <v>3937399.3</v>
      </c>
      <c r="G29" s="165">
        <f t="shared" si="12"/>
        <v>749149.8</v>
      </c>
      <c r="H29" s="185">
        <f t="shared" si="13"/>
        <v>2.9591715976331361E-2</v>
      </c>
      <c r="I29" s="68">
        <v>2415117</v>
      </c>
      <c r="J29" s="175">
        <v>0</v>
      </c>
      <c r="K29" s="79">
        <v>0</v>
      </c>
      <c r="L29" s="166">
        <v>2414317</v>
      </c>
      <c r="M29" s="124"/>
      <c r="N29" s="66"/>
      <c r="O29" s="67"/>
      <c r="P29" s="67"/>
      <c r="Q29" s="67"/>
      <c r="R29" s="67"/>
      <c r="S29" s="67">
        <v>1</v>
      </c>
      <c r="T29" s="67">
        <v>300</v>
      </c>
      <c r="U29" s="67">
        <v>3</v>
      </c>
      <c r="V29" s="64">
        <v>1800</v>
      </c>
      <c r="W29" s="67"/>
      <c r="X29" s="117"/>
      <c r="Y29" s="116">
        <v>0</v>
      </c>
      <c r="Z29" s="67">
        <v>29</v>
      </c>
      <c r="AA29" s="67">
        <v>66</v>
      </c>
      <c r="AB29" s="117">
        <v>74</v>
      </c>
      <c r="AC29" s="116"/>
      <c r="AD29" s="67">
        <v>956</v>
      </c>
      <c r="AE29" s="64">
        <v>2125</v>
      </c>
      <c r="AF29" s="148">
        <v>2395</v>
      </c>
      <c r="AG29" s="68">
        <v>5001</v>
      </c>
      <c r="AH29" s="116">
        <v>75</v>
      </c>
      <c r="AI29" s="67">
        <v>30</v>
      </c>
      <c r="AJ29" s="67">
        <v>60</v>
      </c>
      <c r="AK29" s="67">
        <v>6</v>
      </c>
      <c r="AL29" s="67">
        <v>4</v>
      </c>
      <c r="AM29" s="67">
        <v>1</v>
      </c>
      <c r="AN29" s="67">
        <v>3</v>
      </c>
      <c r="AO29" s="94">
        <v>11</v>
      </c>
      <c r="AP29" s="68">
        <v>1487138</v>
      </c>
    </row>
    <row r="30" spans="1:42" x14ac:dyDescent="0.25">
      <c r="A30" s="330" t="s">
        <v>62</v>
      </c>
      <c r="B30" s="191">
        <f t="shared" si="7"/>
        <v>150755.86380108475</v>
      </c>
      <c r="C30" s="104">
        <f t="shared" si="8"/>
        <v>352785.68199999997</v>
      </c>
      <c r="D30" s="104">
        <f t="shared" si="9"/>
        <v>70906</v>
      </c>
      <c r="E30" s="104">
        <f t="shared" si="10"/>
        <v>279243</v>
      </c>
      <c r="F30" s="104">
        <f t="shared" si="11"/>
        <v>232353.80000000002</v>
      </c>
      <c r="G30" s="165">
        <f t="shared" si="12"/>
        <v>256008.2</v>
      </c>
      <c r="H30" s="185">
        <f t="shared" si="13"/>
        <v>2.4768115942028986E-2</v>
      </c>
      <c r="I30" s="68">
        <v>229623</v>
      </c>
      <c r="J30" s="175">
        <v>0</v>
      </c>
      <c r="K30" s="79">
        <v>218714</v>
      </c>
      <c r="L30" s="166">
        <v>0</v>
      </c>
      <c r="M30" s="124">
        <v>2</v>
      </c>
      <c r="N30" s="66">
        <v>30</v>
      </c>
      <c r="O30" s="67"/>
      <c r="P30" s="67"/>
      <c r="Q30" s="67"/>
      <c r="R30" s="67"/>
      <c r="S30" s="67"/>
      <c r="T30" s="67"/>
      <c r="U30" s="67"/>
      <c r="V30" s="67"/>
      <c r="W30" s="67"/>
      <c r="X30" s="117"/>
      <c r="Y30" s="116">
        <v>38</v>
      </c>
      <c r="Z30" s="67">
        <v>31</v>
      </c>
      <c r="AA30" s="67">
        <v>0</v>
      </c>
      <c r="AB30" s="117">
        <v>0</v>
      </c>
      <c r="AC30" s="145">
        <v>1416</v>
      </c>
      <c r="AD30" s="67">
        <v>295</v>
      </c>
      <c r="AE30" s="67"/>
      <c r="AF30" s="117"/>
      <c r="AG30" s="68">
        <v>1709</v>
      </c>
      <c r="AH30" s="116">
        <v>7</v>
      </c>
      <c r="AI30" s="67"/>
      <c r="AJ30" s="67">
        <v>4</v>
      </c>
      <c r="AK30" s="67">
        <v>2</v>
      </c>
      <c r="AL30" s="67"/>
      <c r="AM30" s="67"/>
      <c r="AN30" s="67">
        <v>2</v>
      </c>
      <c r="AO30" s="94">
        <v>1</v>
      </c>
      <c r="AP30" s="68">
        <v>123377</v>
      </c>
    </row>
    <row r="31" spans="1:42" x14ac:dyDescent="0.25">
      <c r="A31" s="330" t="s">
        <v>64</v>
      </c>
      <c r="B31" s="191">
        <f t="shared" si="7"/>
        <v>869611.01250645076</v>
      </c>
      <c r="C31" s="104">
        <f t="shared" si="8"/>
        <v>2466636.699</v>
      </c>
      <c r="D31" s="104">
        <f t="shared" si="9"/>
        <v>487827</v>
      </c>
      <c r="E31" s="104">
        <f t="shared" si="10"/>
        <v>2453797</v>
      </c>
      <c r="F31" s="104">
        <f t="shared" si="11"/>
        <v>1877358</v>
      </c>
      <c r="G31" s="165">
        <f t="shared" si="12"/>
        <v>1600613.0000000002</v>
      </c>
      <c r="H31" s="185">
        <f t="shared" si="13"/>
        <v>3.2876923076923074E-2</v>
      </c>
      <c r="I31" s="95">
        <v>1504894</v>
      </c>
      <c r="J31" s="175">
        <v>0</v>
      </c>
      <c r="K31" s="79">
        <v>1529223</v>
      </c>
      <c r="L31" s="166">
        <v>0</v>
      </c>
      <c r="M31" s="124">
        <v>4</v>
      </c>
      <c r="N31" s="66">
        <v>180</v>
      </c>
      <c r="O31" s="67">
        <v>1</v>
      </c>
      <c r="P31" s="67">
        <v>80</v>
      </c>
      <c r="Q31" s="67">
        <v>2</v>
      </c>
      <c r="R31" s="67">
        <v>360</v>
      </c>
      <c r="S31" s="67"/>
      <c r="T31" s="67"/>
      <c r="U31" s="67"/>
      <c r="V31" s="67"/>
      <c r="W31" s="66"/>
      <c r="X31" s="125"/>
      <c r="Y31" s="124">
        <v>196</v>
      </c>
      <c r="Z31" s="66">
        <v>115</v>
      </c>
      <c r="AA31" s="66">
        <v>14</v>
      </c>
      <c r="AB31" s="125">
        <v>0</v>
      </c>
      <c r="AC31" s="150">
        <v>5350</v>
      </c>
      <c r="AD31" s="96">
        <v>5636</v>
      </c>
      <c r="AE31" s="66">
        <v>896</v>
      </c>
      <c r="AF31" s="125"/>
      <c r="AG31" s="95">
        <v>10685</v>
      </c>
      <c r="AH31" s="116">
        <v>8</v>
      </c>
      <c r="AI31" s="67">
        <v>4</v>
      </c>
      <c r="AJ31" s="67">
        <v>8</v>
      </c>
      <c r="AK31" s="67">
        <v>5</v>
      </c>
      <c r="AL31" s="67">
        <v>5</v>
      </c>
      <c r="AM31" s="67">
        <v>2</v>
      </c>
      <c r="AN31" s="67">
        <v>4</v>
      </c>
      <c r="AO31" s="94">
        <v>7</v>
      </c>
      <c r="AP31" s="68">
        <v>659761</v>
      </c>
    </row>
    <row r="32" spans="1:42" x14ac:dyDescent="0.25">
      <c r="A32" s="330" t="s">
        <v>66</v>
      </c>
      <c r="B32" s="191">
        <f t="shared" si="7"/>
        <v>186826.75837442587</v>
      </c>
      <c r="C32" s="104">
        <f t="shared" si="8"/>
        <v>481589.554</v>
      </c>
      <c r="D32" s="104">
        <f t="shared" si="9"/>
        <v>198281</v>
      </c>
      <c r="E32" s="104">
        <f t="shared" si="10"/>
        <v>356136</v>
      </c>
      <c r="F32" s="104">
        <f t="shared" si="11"/>
        <v>284908.40000000002</v>
      </c>
      <c r="G32" s="165">
        <f t="shared" si="12"/>
        <v>314280.40000000002</v>
      </c>
      <c r="H32" s="185">
        <f t="shared" si="13"/>
        <v>2.384090909090909E-2</v>
      </c>
      <c r="I32" s="95">
        <v>289046</v>
      </c>
      <c r="J32" s="175">
        <v>0</v>
      </c>
      <c r="K32" s="79">
        <v>0</v>
      </c>
      <c r="L32" s="166">
        <v>271471</v>
      </c>
      <c r="M32" s="124">
        <v>4</v>
      </c>
      <c r="N32" s="66">
        <v>50</v>
      </c>
      <c r="O32" s="67">
        <v>1</v>
      </c>
      <c r="P32" s="67">
        <v>80</v>
      </c>
      <c r="Q32" s="67"/>
      <c r="R32" s="67"/>
      <c r="S32" s="67"/>
      <c r="T32" s="67"/>
      <c r="U32" s="67"/>
      <c r="V32" s="67"/>
      <c r="W32" s="66"/>
      <c r="X32" s="125"/>
      <c r="Y32" s="124">
        <v>31</v>
      </c>
      <c r="Z32" s="66">
        <v>57</v>
      </c>
      <c r="AA32" s="66">
        <v>0</v>
      </c>
      <c r="AB32" s="125">
        <v>0</v>
      </c>
      <c r="AC32" s="124">
        <v>200</v>
      </c>
      <c r="AD32" s="96">
        <v>1898</v>
      </c>
      <c r="AE32" s="66"/>
      <c r="AF32" s="125"/>
      <c r="AG32" s="95">
        <v>2098</v>
      </c>
      <c r="AH32" s="116">
        <v>8</v>
      </c>
      <c r="AI32" s="67">
        <v>7</v>
      </c>
      <c r="AJ32" s="67">
        <v>6</v>
      </c>
      <c r="AK32" s="67">
        <v>1</v>
      </c>
      <c r="AL32" s="67">
        <v>1</v>
      </c>
      <c r="AM32" s="67">
        <v>1</v>
      </c>
      <c r="AN32" s="67">
        <v>4</v>
      </c>
      <c r="AO32" s="94">
        <v>2</v>
      </c>
      <c r="AP32" s="68">
        <v>153342</v>
      </c>
    </row>
    <row r="33" spans="1:42" x14ac:dyDescent="0.25">
      <c r="A33" s="330" t="s">
        <v>67</v>
      </c>
      <c r="B33" s="191">
        <f t="shared" si="7"/>
        <v>302690.21642503882</v>
      </c>
      <c r="C33" s="104">
        <f t="shared" si="8"/>
        <v>782395.32799999998</v>
      </c>
      <c r="D33" s="104">
        <f t="shared" si="9"/>
        <v>70906</v>
      </c>
      <c r="E33" s="104">
        <f t="shared" si="10"/>
        <v>631332</v>
      </c>
      <c r="F33" s="104">
        <f t="shared" si="11"/>
        <v>640297</v>
      </c>
      <c r="G33" s="165">
        <f t="shared" si="12"/>
        <v>706157.20000000007</v>
      </c>
      <c r="H33" s="185">
        <f t="shared" si="13"/>
        <v>3.0217948717948719E-2</v>
      </c>
      <c r="I33" s="95">
        <v>485056</v>
      </c>
      <c r="J33" s="175">
        <v>0</v>
      </c>
      <c r="K33" s="79">
        <v>485056</v>
      </c>
      <c r="L33" s="166">
        <v>0</v>
      </c>
      <c r="M33" s="124">
        <v>2</v>
      </c>
      <c r="N33" s="67">
        <v>60</v>
      </c>
      <c r="O33" s="67"/>
      <c r="P33" s="67"/>
      <c r="Q33" s="67"/>
      <c r="R33" s="67"/>
      <c r="S33" s="67"/>
      <c r="T33" s="67"/>
      <c r="U33" s="67"/>
      <c r="V33" s="67"/>
      <c r="W33" s="66"/>
      <c r="X33" s="125"/>
      <c r="Y33" s="124">
        <v>57</v>
      </c>
      <c r="Z33" s="66">
        <v>99</v>
      </c>
      <c r="AA33" s="66">
        <v>0</v>
      </c>
      <c r="AB33" s="125">
        <v>0</v>
      </c>
      <c r="AC33" s="150">
        <v>1140</v>
      </c>
      <c r="AD33" s="96">
        <v>3575</v>
      </c>
      <c r="AE33" s="66"/>
      <c r="AF33" s="125"/>
      <c r="AG33" s="95">
        <v>4714</v>
      </c>
      <c r="AH33" s="116">
        <v>21</v>
      </c>
      <c r="AI33" s="67">
        <v>5</v>
      </c>
      <c r="AJ33" s="67">
        <v>14</v>
      </c>
      <c r="AK33" s="67">
        <v>2</v>
      </c>
      <c r="AL33" s="67">
        <v>2</v>
      </c>
      <c r="AM33" s="67">
        <v>2</v>
      </c>
      <c r="AN33" s="67">
        <v>3</v>
      </c>
      <c r="AO33" s="94">
        <v>3</v>
      </c>
      <c r="AP33" s="68">
        <v>318533</v>
      </c>
    </row>
    <row r="34" spans="1:42" x14ac:dyDescent="0.25">
      <c r="A34" s="330" t="s">
        <v>68</v>
      </c>
      <c r="B34" s="191">
        <f t="shared" si="7"/>
        <v>187901.33814449672</v>
      </c>
      <c r="C34" s="104">
        <f t="shared" si="8"/>
        <v>463158.43300000002</v>
      </c>
      <c r="D34" s="104">
        <f t="shared" si="9"/>
        <v>106359</v>
      </c>
      <c r="E34" s="104">
        <f t="shared" si="10"/>
        <v>242820</v>
      </c>
      <c r="F34" s="104">
        <f t="shared" si="11"/>
        <v>288167.60000000003</v>
      </c>
      <c r="G34" s="165">
        <f t="shared" si="12"/>
        <v>317875.60000000003</v>
      </c>
      <c r="H34" s="185">
        <f t="shared" si="13"/>
        <v>3.5366666666666664E-2</v>
      </c>
      <c r="I34" s="95">
        <v>290830</v>
      </c>
      <c r="J34" s="175">
        <v>0</v>
      </c>
      <c r="K34" s="79">
        <v>287141</v>
      </c>
      <c r="L34" s="166">
        <v>0</v>
      </c>
      <c r="M34" s="124">
        <v>3</v>
      </c>
      <c r="N34" s="67">
        <v>60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6">
        <v>0</v>
      </c>
      <c r="X34" s="125">
        <v>0</v>
      </c>
      <c r="Y34" s="124">
        <v>21</v>
      </c>
      <c r="Z34" s="66">
        <v>39</v>
      </c>
      <c r="AA34" s="66">
        <v>0</v>
      </c>
      <c r="AB34" s="125">
        <v>0</v>
      </c>
      <c r="AC34" s="124">
        <v>105</v>
      </c>
      <c r="AD34" s="96">
        <v>2017</v>
      </c>
      <c r="AE34" s="66">
        <v>0</v>
      </c>
      <c r="AF34" s="125">
        <v>0</v>
      </c>
      <c r="AG34" s="95">
        <v>2122</v>
      </c>
      <c r="AH34" s="116">
        <v>10</v>
      </c>
      <c r="AI34" s="67">
        <v>4</v>
      </c>
      <c r="AJ34" s="67">
        <v>4</v>
      </c>
      <c r="AK34" s="67">
        <v>6</v>
      </c>
      <c r="AL34" s="67">
        <v>4</v>
      </c>
      <c r="AM34" s="67">
        <v>2</v>
      </c>
      <c r="AN34" s="67">
        <v>2</v>
      </c>
      <c r="AO34" s="94">
        <v>4</v>
      </c>
      <c r="AP34" s="68">
        <v>176754</v>
      </c>
    </row>
    <row r="35" spans="1:42" x14ac:dyDescent="0.25">
      <c r="A35" s="330" t="s">
        <v>69</v>
      </c>
      <c r="B35" s="191">
        <f t="shared" si="7"/>
        <v>181518.88820456812</v>
      </c>
      <c r="C35" s="104">
        <f t="shared" si="8"/>
        <v>452035.185</v>
      </c>
      <c r="D35" s="104">
        <f t="shared" si="9"/>
        <v>0</v>
      </c>
      <c r="E35" s="104">
        <f t="shared" si="10"/>
        <v>219780.429</v>
      </c>
      <c r="F35" s="104">
        <f t="shared" si="11"/>
        <v>282871.40000000002</v>
      </c>
      <c r="G35" s="165">
        <f t="shared" si="12"/>
        <v>312033.40000000002</v>
      </c>
      <c r="H35" s="185">
        <f t="shared" si="13"/>
        <v>3.8356013036993389E-2</v>
      </c>
      <c r="I35" s="95">
        <v>280245</v>
      </c>
      <c r="J35" s="175">
        <v>0</v>
      </c>
      <c r="K35" s="79">
        <v>280245</v>
      </c>
      <c r="L35" s="166">
        <v>0</v>
      </c>
      <c r="M35" s="124"/>
      <c r="N35" s="67"/>
      <c r="O35" s="67"/>
      <c r="P35" s="67"/>
      <c r="Q35" s="67"/>
      <c r="R35" s="67"/>
      <c r="S35" s="67"/>
      <c r="T35" s="67"/>
      <c r="U35" s="67"/>
      <c r="V35" s="67"/>
      <c r="W35" s="66"/>
      <c r="X35" s="125"/>
      <c r="Y35" s="124">
        <v>11</v>
      </c>
      <c r="Z35" s="66">
        <v>43.307000000000002</v>
      </c>
      <c r="AA35" s="66">
        <v>0</v>
      </c>
      <c r="AB35" s="125">
        <v>0</v>
      </c>
      <c r="AC35" s="124">
        <v>62</v>
      </c>
      <c r="AD35" s="96">
        <v>2021</v>
      </c>
      <c r="AE35" s="66"/>
      <c r="AF35" s="125"/>
      <c r="AG35" s="95">
        <v>2083</v>
      </c>
      <c r="AH35" s="116">
        <v>11</v>
      </c>
      <c r="AI35" s="67"/>
      <c r="AJ35" s="67">
        <v>4</v>
      </c>
      <c r="AK35" s="67">
        <v>2</v>
      </c>
      <c r="AL35" s="67">
        <v>2</v>
      </c>
      <c r="AM35" s="67">
        <v>1</v>
      </c>
      <c r="AN35" s="67">
        <v>2</v>
      </c>
      <c r="AO35" s="94"/>
      <c r="AP35" s="68">
        <v>143984</v>
      </c>
    </row>
    <row r="36" spans="1:42" x14ac:dyDescent="0.25">
      <c r="A36" s="330" t="s">
        <v>70</v>
      </c>
      <c r="B36" s="191">
        <f t="shared" si="7"/>
        <v>526815.73270373791</v>
      </c>
      <c r="C36" s="104">
        <f t="shared" si="8"/>
        <v>1347584.0759999999</v>
      </c>
      <c r="D36" s="104">
        <f t="shared" si="9"/>
        <v>1298000</v>
      </c>
      <c r="E36" s="104">
        <f t="shared" si="10"/>
        <v>5606691</v>
      </c>
      <c r="F36" s="104">
        <f t="shared" si="11"/>
        <v>2299015.5999999996</v>
      </c>
      <c r="G36" s="165">
        <f t="shared" si="12"/>
        <v>1763595.4000000001</v>
      </c>
      <c r="H36" s="185">
        <f t="shared" si="13"/>
        <v>4.905416666666667E-2</v>
      </c>
      <c r="I36" s="95">
        <v>878989</v>
      </c>
      <c r="J36" s="175">
        <v>0</v>
      </c>
      <c r="K36" s="79">
        <v>835452</v>
      </c>
      <c r="L36" s="166">
        <v>0</v>
      </c>
      <c r="M36" s="124"/>
      <c r="N36" s="67"/>
      <c r="O36" s="67"/>
      <c r="P36" s="67"/>
      <c r="Q36" s="67"/>
      <c r="R36" s="67"/>
      <c r="S36" s="67"/>
      <c r="T36" s="67"/>
      <c r="U36" s="67"/>
      <c r="V36" s="67"/>
      <c r="W36" s="66">
        <v>2</v>
      </c>
      <c r="X36" s="161">
        <v>2950</v>
      </c>
      <c r="Y36" s="124">
        <v>6</v>
      </c>
      <c r="Z36" s="66">
        <v>177</v>
      </c>
      <c r="AA36" s="66">
        <v>57</v>
      </c>
      <c r="AB36" s="125">
        <v>0</v>
      </c>
      <c r="AC36" s="124">
        <v>271</v>
      </c>
      <c r="AD36" s="96">
        <v>8254</v>
      </c>
      <c r="AE36" s="96">
        <v>2653</v>
      </c>
      <c r="AF36" s="125"/>
      <c r="AG36" s="95">
        <v>11773</v>
      </c>
      <c r="AH36" s="116">
        <v>50</v>
      </c>
      <c r="AI36" s="67">
        <v>570</v>
      </c>
      <c r="AJ36" s="67">
        <v>34</v>
      </c>
      <c r="AK36" s="67">
        <v>2</v>
      </c>
      <c r="AL36" s="67">
        <v>2</v>
      </c>
      <c r="AM36" s="67">
        <v>2</v>
      </c>
      <c r="AN36" s="67">
        <v>4</v>
      </c>
      <c r="AO36" s="94">
        <v>46</v>
      </c>
      <c r="AP36" s="68">
        <v>794630</v>
      </c>
    </row>
    <row r="37" spans="1:42" x14ac:dyDescent="0.25">
      <c r="A37" s="330" t="s">
        <v>72</v>
      </c>
      <c r="B37" s="191">
        <f t="shared" si="7"/>
        <v>143169.37331187367</v>
      </c>
      <c r="C37" s="104">
        <f t="shared" si="8"/>
        <v>342941.54300000001</v>
      </c>
      <c r="D37" s="104">
        <f t="shared" si="9"/>
        <v>0</v>
      </c>
      <c r="E37" s="104">
        <f t="shared" si="10"/>
        <v>121410</v>
      </c>
      <c r="F37" s="104">
        <f t="shared" si="11"/>
        <v>169071</v>
      </c>
      <c r="G37" s="165">
        <f t="shared" si="12"/>
        <v>186201.40000000002</v>
      </c>
      <c r="H37" s="185">
        <f t="shared" si="13"/>
        <v>4.1433333333333336E-2</v>
      </c>
      <c r="I37" s="95">
        <v>217249</v>
      </c>
      <c r="J37" s="175">
        <v>0</v>
      </c>
      <c r="K37" s="73">
        <v>212611</v>
      </c>
      <c r="L37" s="169">
        <v>0</v>
      </c>
      <c r="M37" s="116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117"/>
      <c r="Y37" s="116">
        <v>4</v>
      </c>
      <c r="Z37" s="67">
        <v>26</v>
      </c>
      <c r="AA37" s="67">
        <v>0</v>
      </c>
      <c r="AB37" s="117">
        <v>0</v>
      </c>
      <c r="AC37" s="116">
        <v>4</v>
      </c>
      <c r="AD37" s="64">
        <v>1241</v>
      </c>
      <c r="AE37" s="67"/>
      <c r="AF37" s="117"/>
      <c r="AG37" s="68">
        <v>1243</v>
      </c>
      <c r="AH37" s="116">
        <v>8</v>
      </c>
      <c r="AI37" s="67"/>
      <c r="AJ37" s="67">
        <v>4</v>
      </c>
      <c r="AK37" s="67">
        <v>1</v>
      </c>
      <c r="AL37" s="67">
        <v>1</v>
      </c>
      <c r="AM37" s="67">
        <v>1</v>
      </c>
      <c r="AN37" s="67">
        <v>2</v>
      </c>
      <c r="AO37" s="94">
        <v>2</v>
      </c>
      <c r="AP37" s="68">
        <v>115810</v>
      </c>
    </row>
    <row r="38" spans="1:42" x14ac:dyDescent="0.25">
      <c r="A38" s="330" t="s">
        <v>73</v>
      </c>
      <c r="B38" s="191">
        <f t="shared" si="7"/>
        <v>542103.8624656467</v>
      </c>
      <c r="C38" s="104">
        <f t="shared" si="8"/>
        <v>1733399.2319999998</v>
      </c>
      <c r="D38" s="104">
        <f t="shared" si="9"/>
        <v>0</v>
      </c>
      <c r="E38" s="104">
        <f t="shared" si="10"/>
        <v>2340264</v>
      </c>
      <c r="F38" s="104">
        <f t="shared" si="11"/>
        <v>718156.80000000005</v>
      </c>
      <c r="G38" s="165">
        <f t="shared" si="12"/>
        <v>578977</v>
      </c>
      <c r="H38" s="185">
        <f t="shared" si="13"/>
        <v>4.0260416666666667E-2</v>
      </c>
      <c r="I38" s="68">
        <v>906384</v>
      </c>
      <c r="J38" s="175">
        <v>486270</v>
      </c>
      <c r="K38" s="73">
        <v>849144</v>
      </c>
      <c r="L38" s="169">
        <v>0</v>
      </c>
      <c r="M38" s="11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117"/>
      <c r="Y38" s="116">
        <v>1</v>
      </c>
      <c r="Z38" s="67">
        <v>71</v>
      </c>
      <c r="AA38" s="67">
        <v>24</v>
      </c>
      <c r="AB38" s="117">
        <v>0</v>
      </c>
      <c r="AC38" s="116"/>
      <c r="AD38" s="64">
        <v>3546</v>
      </c>
      <c r="AE38" s="67">
        <v>550</v>
      </c>
      <c r="AF38" s="117"/>
      <c r="AG38" s="68">
        <v>3865</v>
      </c>
      <c r="AH38" s="116">
        <v>46</v>
      </c>
      <c r="AI38" s="67"/>
      <c r="AJ38" s="67"/>
      <c r="AK38" s="67"/>
      <c r="AL38" s="67"/>
      <c r="AM38" s="67"/>
      <c r="AN38" s="67"/>
      <c r="AO38" s="94"/>
      <c r="AP38" s="68">
        <v>498815</v>
      </c>
    </row>
    <row r="39" spans="1:42" x14ac:dyDescent="0.25">
      <c r="A39" s="331" t="s">
        <v>80</v>
      </c>
      <c r="B39" s="192"/>
      <c r="C39" s="193"/>
      <c r="D39" s="193"/>
      <c r="E39" s="193"/>
      <c r="F39" s="193"/>
      <c r="G39" s="194"/>
      <c r="H39" s="186"/>
      <c r="I39" s="101"/>
      <c r="J39" s="176"/>
      <c r="K39" s="170"/>
      <c r="L39" s="171"/>
      <c r="M39" s="122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123"/>
      <c r="Y39" s="122"/>
      <c r="Z39" s="98"/>
      <c r="AA39" s="98"/>
      <c r="AB39" s="123"/>
      <c r="AC39" s="122"/>
      <c r="AD39" s="99"/>
      <c r="AE39" s="98"/>
      <c r="AF39" s="123"/>
      <c r="AG39" s="101"/>
      <c r="AH39" s="122"/>
      <c r="AI39" s="98"/>
      <c r="AJ39" s="98"/>
      <c r="AK39" s="98"/>
      <c r="AL39" s="98"/>
      <c r="AM39" s="98"/>
      <c r="AN39" s="98"/>
      <c r="AO39" s="100"/>
      <c r="AP39" s="101"/>
    </row>
    <row r="40" spans="1:42" x14ac:dyDescent="0.25">
      <c r="A40" s="330" t="s">
        <v>74</v>
      </c>
      <c r="B40" s="191">
        <f t="shared" ref="B40:B48" si="14">1.518*I40^0.9321</f>
        <v>1196335.7674759342</v>
      </c>
      <c r="C40" s="104">
        <f t="shared" ref="C40:C48" si="15">0.748*J40+1.613*K40+1.774*L40</f>
        <v>3559740.3319999999</v>
      </c>
      <c r="D40" s="104">
        <f t="shared" ref="D40:D48" si="16">35453*M40+56469*O40+144773*Q40+178851*(S40+U40)+440*X40</f>
        <v>537928</v>
      </c>
      <c r="E40" s="104">
        <f t="shared" ref="E40:E48" si="17">4047*(Y40+Z40)+85370*(AA40+AB40)</f>
        <v>3244277</v>
      </c>
      <c r="F40" s="104">
        <f t="shared" ref="F40:F48" si="18">135.8*(AC40+AD40)+430.2*AE40+1208.1*AF40</f>
        <v>2271920.7999999998</v>
      </c>
      <c r="G40" s="165">
        <f t="shared" ref="G40:G48" si="19">149.8*AG40</f>
        <v>1471635.2000000002</v>
      </c>
      <c r="H40" s="185">
        <f t="shared" ref="H40:H48" si="20">AG40/(SUM(Y40:AB40)*1000)</f>
        <v>4.1104602510460254E-2</v>
      </c>
      <c r="I40" s="68">
        <v>2118972</v>
      </c>
      <c r="J40" s="175">
        <v>0</v>
      </c>
      <c r="K40" s="73">
        <v>0</v>
      </c>
      <c r="L40" s="169">
        <v>2006618</v>
      </c>
      <c r="M40" s="116">
        <v>1</v>
      </c>
      <c r="N40" s="67">
        <v>10</v>
      </c>
      <c r="O40" s="67"/>
      <c r="P40" s="67"/>
      <c r="Q40" s="67">
        <v>1</v>
      </c>
      <c r="R40" s="67">
        <v>170</v>
      </c>
      <c r="S40" s="67">
        <v>1</v>
      </c>
      <c r="T40" s="67">
        <v>300</v>
      </c>
      <c r="U40" s="67">
        <v>1</v>
      </c>
      <c r="V40" s="67">
        <v>550</v>
      </c>
      <c r="W40" s="67"/>
      <c r="X40" s="117"/>
      <c r="Y40" s="116">
        <v>8</v>
      </c>
      <c r="Z40" s="67">
        <v>203</v>
      </c>
      <c r="AA40" s="67">
        <v>28</v>
      </c>
      <c r="AB40" s="117">
        <v>0</v>
      </c>
      <c r="AC40" s="116">
        <v>139</v>
      </c>
      <c r="AD40" s="64">
        <v>6517</v>
      </c>
      <c r="AE40" s="64">
        <v>3180</v>
      </c>
      <c r="AF40" s="117"/>
      <c r="AG40" s="68">
        <v>9824</v>
      </c>
      <c r="AH40" s="116">
        <v>43</v>
      </c>
      <c r="AI40" s="67">
        <v>21</v>
      </c>
      <c r="AJ40" s="67">
        <v>31</v>
      </c>
      <c r="AK40" s="67">
        <v>3</v>
      </c>
      <c r="AL40" s="67">
        <v>2</v>
      </c>
      <c r="AM40" s="67">
        <v>6</v>
      </c>
      <c r="AN40" s="67">
        <v>4</v>
      </c>
      <c r="AO40" s="94">
        <v>18</v>
      </c>
      <c r="AP40" s="95">
        <v>448000</v>
      </c>
    </row>
    <row r="41" spans="1:42" x14ac:dyDescent="0.25">
      <c r="A41" s="330" t="s">
        <v>75</v>
      </c>
      <c r="B41" s="191">
        <f t="shared" si="14"/>
        <v>392536.58155312185</v>
      </c>
      <c r="C41" s="104">
        <f t="shared" si="15"/>
        <v>993917.696</v>
      </c>
      <c r="D41" s="104">
        <f t="shared" si="16"/>
        <v>70906</v>
      </c>
      <c r="E41" s="104">
        <f t="shared" si="17"/>
        <v>736044.07799999998</v>
      </c>
      <c r="F41" s="104">
        <f t="shared" si="18"/>
        <v>474621.00000000006</v>
      </c>
      <c r="G41" s="165">
        <f t="shared" si="19"/>
        <v>523551.00000000006</v>
      </c>
      <c r="H41" s="185">
        <f t="shared" si="20"/>
        <v>1.9216600503645379E-2</v>
      </c>
      <c r="I41" s="68">
        <v>641057</v>
      </c>
      <c r="J41" s="175">
        <v>0</v>
      </c>
      <c r="K41" s="73">
        <v>616192</v>
      </c>
      <c r="L41" s="169">
        <v>0</v>
      </c>
      <c r="M41" s="116">
        <v>2</v>
      </c>
      <c r="N41" s="67">
        <v>10</v>
      </c>
      <c r="O41" s="67"/>
      <c r="P41" s="67"/>
      <c r="Q41" s="67"/>
      <c r="R41" s="67"/>
      <c r="S41" s="67"/>
      <c r="T41" s="67"/>
      <c r="U41" s="67"/>
      <c r="V41" s="67"/>
      <c r="W41" s="66"/>
      <c r="X41" s="125"/>
      <c r="Y41" s="124">
        <v>157.39699999999999</v>
      </c>
      <c r="Z41" s="66">
        <v>24.477</v>
      </c>
      <c r="AA41" s="66">
        <v>0</v>
      </c>
      <c r="AB41" s="125">
        <v>0</v>
      </c>
      <c r="AC41" s="150">
        <v>1521</v>
      </c>
      <c r="AD41" s="96">
        <v>1974</v>
      </c>
      <c r="AE41" s="66"/>
      <c r="AF41" s="117"/>
      <c r="AG41" s="68">
        <v>3495</v>
      </c>
      <c r="AH41" s="116">
        <v>10</v>
      </c>
      <c r="AI41" s="67">
        <v>2</v>
      </c>
      <c r="AJ41" s="67">
        <v>8</v>
      </c>
      <c r="AK41" s="67">
        <v>12</v>
      </c>
      <c r="AL41" s="67">
        <v>2</v>
      </c>
      <c r="AM41" s="67">
        <v>2</v>
      </c>
      <c r="AN41" s="67">
        <v>2</v>
      </c>
      <c r="AO41" s="94">
        <v>16</v>
      </c>
      <c r="AP41" s="68">
        <v>264104</v>
      </c>
    </row>
    <row r="42" spans="1:42" x14ac:dyDescent="0.25">
      <c r="A42" s="330" t="s">
        <v>76</v>
      </c>
      <c r="B42" s="191">
        <f t="shared" si="14"/>
        <v>451441.60011512431</v>
      </c>
      <c r="C42" s="104">
        <f t="shared" si="15"/>
        <v>1178886.858</v>
      </c>
      <c r="D42" s="104">
        <f t="shared" si="16"/>
        <v>106359</v>
      </c>
      <c r="E42" s="104">
        <f t="shared" si="17"/>
        <v>683943</v>
      </c>
      <c r="F42" s="104">
        <f t="shared" si="18"/>
        <v>668271.80000000005</v>
      </c>
      <c r="G42" s="165">
        <f t="shared" si="19"/>
        <v>768923.4</v>
      </c>
      <c r="H42" s="185">
        <f t="shared" si="20"/>
        <v>3.0372781065088759E-2</v>
      </c>
      <c r="I42" s="68">
        <v>744803</v>
      </c>
      <c r="J42" s="175">
        <v>0</v>
      </c>
      <c r="K42" s="73">
        <v>730866</v>
      </c>
      <c r="L42" s="169">
        <v>0</v>
      </c>
      <c r="M42" s="116">
        <v>3</v>
      </c>
      <c r="N42" s="67">
        <v>120</v>
      </c>
      <c r="O42" s="67"/>
      <c r="P42" s="67"/>
      <c r="Q42" s="67"/>
      <c r="R42" s="67"/>
      <c r="S42" s="67"/>
      <c r="T42" s="67"/>
      <c r="U42" s="67"/>
      <c r="V42" s="67"/>
      <c r="W42" s="67"/>
      <c r="X42" s="117"/>
      <c r="Y42" s="116">
        <v>90</v>
      </c>
      <c r="Z42" s="67">
        <v>79</v>
      </c>
      <c r="AA42" s="67">
        <v>0</v>
      </c>
      <c r="AB42" s="117">
        <v>0</v>
      </c>
      <c r="AC42" s="145">
        <v>2102</v>
      </c>
      <c r="AD42" s="64">
        <v>2819</v>
      </c>
      <c r="AE42" s="67"/>
      <c r="AF42" s="117"/>
      <c r="AG42" s="68">
        <v>5133</v>
      </c>
      <c r="AH42" s="116">
        <v>30</v>
      </c>
      <c r="AI42" s="67">
        <v>42</v>
      </c>
      <c r="AJ42" s="67">
        <v>48</v>
      </c>
      <c r="AK42" s="67">
        <v>3</v>
      </c>
      <c r="AL42" s="67">
        <v>3</v>
      </c>
      <c r="AM42" s="67">
        <v>3</v>
      </c>
      <c r="AN42" s="67">
        <v>4</v>
      </c>
      <c r="AO42" s="94">
        <v>12</v>
      </c>
      <c r="AP42" s="68">
        <v>549566</v>
      </c>
    </row>
    <row r="43" spans="1:42" x14ac:dyDescent="0.25">
      <c r="A43" s="330" t="s">
        <v>77</v>
      </c>
      <c r="B43" s="191">
        <f t="shared" si="14"/>
        <v>337086.31713941501</v>
      </c>
      <c r="C43" s="104">
        <f t="shared" si="15"/>
        <v>850128.424</v>
      </c>
      <c r="D43" s="104">
        <f t="shared" si="16"/>
        <v>0</v>
      </c>
      <c r="E43" s="104">
        <f t="shared" si="17"/>
        <v>607050</v>
      </c>
      <c r="F43" s="104">
        <f t="shared" si="18"/>
        <v>756541.8</v>
      </c>
      <c r="G43" s="165">
        <f t="shared" si="19"/>
        <v>803677.00000000012</v>
      </c>
      <c r="H43" s="185">
        <f t="shared" si="20"/>
        <v>3.5766666666666669E-2</v>
      </c>
      <c r="I43" s="68">
        <v>544427</v>
      </c>
      <c r="J43" s="175">
        <v>0</v>
      </c>
      <c r="K43" s="73">
        <v>527048</v>
      </c>
      <c r="L43" s="169">
        <v>0</v>
      </c>
      <c r="M43" s="116"/>
      <c r="N43" s="67"/>
      <c r="O43" s="67"/>
      <c r="P43" s="67"/>
      <c r="Q43" s="67"/>
      <c r="R43" s="66"/>
      <c r="S43" s="66"/>
      <c r="T43" s="66"/>
      <c r="U43" s="66"/>
      <c r="V43" s="66"/>
      <c r="W43" s="66"/>
      <c r="X43" s="125"/>
      <c r="Y43" s="124">
        <v>67</v>
      </c>
      <c r="Z43" s="66">
        <v>83</v>
      </c>
      <c r="AA43" s="66">
        <v>0</v>
      </c>
      <c r="AB43" s="125">
        <v>0</v>
      </c>
      <c r="AC43" s="150">
        <v>1251</v>
      </c>
      <c r="AD43" s="96">
        <v>4320</v>
      </c>
      <c r="AE43" s="66"/>
      <c r="AF43" s="117"/>
      <c r="AG43" s="68">
        <v>5365</v>
      </c>
      <c r="AH43" s="116">
        <v>22</v>
      </c>
      <c r="AI43" s="67">
        <v>13</v>
      </c>
      <c r="AJ43" s="67">
        <v>11</v>
      </c>
      <c r="AK43" s="67">
        <v>3</v>
      </c>
      <c r="AL43" s="67">
        <v>3</v>
      </c>
      <c r="AM43" s="67"/>
      <c r="AN43" s="67">
        <v>1</v>
      </c>
      <c r="AO43" s="94">
        <v>2</v>
      </c>
      <c r="AP43" s="68">
        <v>544289</v>
      </c>
    </row>
    <row r="44" spans="1:42" x14ac:dyDescent="0.25">
      <c r="A44" s="330" t="s">
        <v>78</v>
      </c>
      <c r="B44" s="191">
        <f t="shared" si="14"/>
        <v>155860.092024691</v>
      </c>
      <c r="C44" s="104">
        <f t="shared" si="15"/>
        <v>413641.80599999998</v>
      </c>
      <c r="D44" s="104">
        <f t="shared" si="16"/>
        <v>91922</v>
      </c>
      <c r="E44" s="104">
        <f t="shared" si="17"/>
        <v>306701.89499999996</v>
      </c>
      <c r="F44" s="104">
        <f t="shared" si="18"/>
        <v>228144.00000000003</v>
      </c>
      <c r="G44" s="165">
        <f t="shared" si="19"/>
        <v>273684.60000000003</v>
      </c>
      <c r="H44" s="185">
        <f t="shared" si="20"/>
        <v>2.4107673022365904E-2</v>
      </c>
      <c r="I44" s="68">
        <v>237974</v>
      </c>
      <c r="J44" s="175">
        <v>0</v>
      </c>
      <c r="K44" s="73">
        <v>0</v>
      </c>
      <c r="L44" s="169">
        <v>233169</v>
      </c>
      <c r="M44" s="116">
        <v>1</v>
      </c>
      <c r="N44" s="67">
        <v>25</v>
      </c>
      <c r="O44" s="67">
        <v>1</v>
      </c>
      <c r="P44" s="67">
        <v>55</v>
      </c>
      <c r="Q44" s="67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125">
        <v>0</v>
      </c>
      <c r="Y44" s="124">
        <v>25.466000000000001</v>
      </c>
      <c r="Z44" s="66">
        <v>50.319000000000003</v>
      </c>
      <c r="AA44" s="66">
        <v>0</v>
      </c>
      <c r="AB44" s="125">
        <v>0</v>
      </c>
      <c r="AC44" s="124">
        <v>81</v>
      </c>
      <c r="AD44" s="96">
        <v>1599</v>
      </c>
      <c r="AE44" s="66">
        <v>0</v>
      </c>
      <c r="AF44" s="117">
        <v>0</v>
      </c>
      <c r="AG44" s="68">
        <v>1827</v>
      </c>
      <c r="AH44" s="116">
        <v>6</v>
      </c>
      <c r="AI44" s="67">
        <v>15</v>
      </c>
      <c r="AJ44" s="67">
        <v>4</v>
      </c>
      <c r="AK44" s="67">
        <v>1</v>
      </c>
      <c r="AL44" s="67">
        <v>1</v>
      </c>
      <c r="AM44" s="67">
        <v>1</v>
      </c>
      <c r="AN44" s="67">
        <v>1</v>
      </c>
      <c r="AO44" s="94">
        <v>0</v>
      </c>
      <c r="AP44" s="68">
        <v>90024</v>
      </c>
    </row>
    <row r="45" spans="1:42" x14ac:dyDescent="0.25">
      <c r="A45" s="330" t="s">
        <v>203</v>
      </c>
      <c r="B45" s="191">
        <f t="shared" si="14"/>
        <v>244928.99637650631</v>
      </c>
      <c r="C45" s="104">
        <f t="shared" si="15"/>
        <v>602270.005</v>
      </c>
      <c r="D45" s="104">
        <f t="shared" si="16"/>
        <v>35453</v>
      </c>
      <c r="E45" s="104">
        <f t="shared" si="17"/>
        <v>218538</v>
      </c>
      <c r="F45" s="104">
        <f t="shared" si="18"/>
        <v>258291.60000000003</v>
      </c>
      <c r="G45" s="165">
        <f t="shared" si="19"/>
        <v>384237.00000000006</v>
      </c>
      <c r="H45" s="185">
        <f t="shared" si="20"/>
        <v>4.7500000000000001E-2</v>
      </c>
      <c r="I45" s="68">
        <v>386487</v>
      </c>
      <c r="J45" s="175">
        <v>0</v>
      </c>
      <c r="K45" s="73">
        <v>373385</v>
      </c>
      <c r="L45" s="169">
        <v>0</v>
      </c>
      <c r="M45" s="116">
        <v>1</v>
      </c>
      <c r="N45" s="67">
        <v>5</v>
      </c>
      <c r="O45" s="67"/>
      <c r="P45" s="67"/>
      <c r="Q45" s="67"/>
      <c r="R45" s="66"/>
      <c r="S45" s="66"/>
      <c r="T45" s="66"/>
      <c r="U45" s="66"/>
      <c r="V45" s="66"/>
      <c r="W45" s="66"/>
      <c r="X45" s="125"/>
      <c r="Y45" s="124">
        <v>0</v>
      </c>
      <c r="Z45" s="66">
        <v>54</v>
      </c>
      <c r="AA45" s="66">
        <v>0</v>
      </c>
      <c r="AB45" s="125">
        <v>0</v>
      </c>
      <c r="AC45" s="124"/>
      <c r="AD45" s="96">
        <v>1902</v>
      </c>
      <c r="AE45" s="66"/>
      <c r="AF45" s="117"/>
      <c r="AG45" s="68">
        <v>2565</v>
      </c>
      <c r="AH45" s="116">
        <v>12</v>
      </c>
      <c r="AI45" s="67">
        <v>11</v>
      </c>
      <c r="AJ45" s="67">
        <v>7</v>
      </c>
      <c r="AK45" s="67">
        <v>3</v>
      </c>
      <c r="AL45" s="67">
        <v>2</v>
      </c>
      <c r="AM45" s="67">
        <v>3</v>
      </c>
      <c r="AN45" s="67">
        <v>2</v>
      </c>
      <c r="AO45" s="94">
        <v>3</v>
      </c>
      <c r="AP45" s="68">
        <v>190291</v>
      </c>
    </row>
    <row r="46" spans="1:42" x14ac:dyDescent="0.25">
      <c r="A46" s="330" t="s">
        <v>79</v>
      </c>
      <c r="B46" s="191">
        <f t="shared" si="14"/>
        <v>344500.98889869481</v>
      </c>
      <c r="C46" s="104">
        <f t="shared" si="15"/>
        <v>825405.973</v>
      </c>
      <c r="D46" s="104">
        <f t="shared" si="16"/>
        <v>35453</v>
      </c>
      <c r="E46" s="104">
        <f t="shared" si="17"/>
        <v>639426</v>
      </c>
      <c r="F46" s="104">
        <f t="shared" si="18"/>
        <v>184688.00000000003</v>
      </c>
      <c r="G46" s="165">
        <f t="shared" si="19"/>
        <v>212416.40000000002</v>
      </c>
      <c r="H46" s="185">
        <f t="shared" si="20"/>
        <v>8.9746835443037971E-3</v>
      </c>
      <c r="I46" s="68">
        <v>557285</v>
      </c>
      <c r="J46" s="175">
        <v>0</v>
      </c>
      <c r="K46" s="73">
        <v>511721</v>
      </c>
      <c r="L46" s="169">
        <v>0</v>
      </c>
      <c r="M46" s="116">
        <v>1</v>
      </c>
      <c r="N46" s="67">
        <v>30</v>
      </c>
      <c r="O46" s="67"/>
      <c r="P46" s="67"/>
      <c r="Q46" s="67"/>
      <c r="R46" s="66"/>
      <c r="S46" s="66"/>
      <c r="T46" s="66"/>
      <c r="U46" s="66"/>
      <c r="V46" s="66"/>
      <c r="W46" s="66"/>
      <c r="X46" s="125"/>
      <c r="Y46" s="124">
        <v>143</v>
      </c>
      <c r="Z46" s="66">
        <v>15</v>
      </c>
      <c r="AA46" s="66">
        <v>0</v>
      </c>
      <c r="AB46" s="125">
        <v>0</v>
      </c>
      <c r="AC46" s="124">
        <v>300</v>
      </c>
      <c r="AD46" s="96">
        <v>1060</v>
      </c>
      <c r="AE46" s="66"/>
      <c r="AF46" s="117"/>
      <c r="AG46" s="68">
        <v>1418</v>
      </c>
      <c r="AH46" s="116">
        <v>7</v>
      </c>
      <c r="AI46" s="67">
        <v>6</v>
      </c>
      <c r="AJ46" s="67">
        <v>3</v>
      </c>
      <c r="AK46" s="67">
        <v>2</v>
      </c>
      <c r="AL46" s="67">
        <v>1</v>
      </c>
      <c r="AM46" s="67">
        <v>2</v>
      </c>
      <c r="AN46" s="67">
        <v>2</v>
      </c>
      <c r="AO46" s="94">
        <v>1</v>
      </c>
      <c r="AP46" s="68">
        <v>190059</v>
      </c>
    </row>
    <row r="47" spans="1:42" x14ac:dyDescent="0.25">
      <c r="A47" s="330" t="s">
        <v>81</v>
      </c>
      <c r="B47" s="191">
        <f t="shared" si="14"/>
        <v>986281.13341211551</v>
      </c>
      <c r="C47" s="104">
        <f t="shared" si="15"/>
        <v>2775008.8020000001</v>
      </c>
      <c r="D47" s="104">
        <f t="shared" si="16"/>
        <v>225876</v>
      </c>
      <c r="E47" s="104">
        <f t="shared" si="17"/>
        <v>1123317</v>
      </c>
      <c r="F47" s="104">
        <f t="shared" si="18"/>
        <v>700571.8</v>
      </c>
      <c r="G47" s="165">
        <f t="shared" si="19"/>
        <v>934152.8</v>
      </c>
      <c r="H47" s="185">
        <f t="shared" si="20"/>
        <v>3.9719745222929939E-2</v>
      </c>
      <c r="I47" s="68">
        <v>1722521</v>
      </c>
      <c r="J47" s="175">
        <v>0</v>
      </c>
      <c r="K47" s="73">
        <v>1342736</v>
      </c>
      <c r="L47" s="169">
        <v>343391</v>
      </c>
      <c r="M47" s="116"/>
      <c r="N47" s="67"/>
      <c r="O47" s="67">
        <v>4</v>
      </c>
      <c r="P47" s="67">
        <v>260</v>
      </c>
      <c r="Q47" s="67"/>
      <c r="R47" s="66"/>
      <c r="S47" s="66"/>
      <c r="T47" s="66"/>
      <c r="U47" s="66"/>
      <c r="V47" s="66"/>
      <c r="W47" s="66"/>
      <c r="X47" s="125"/>
      <c r="Y47" s="124">
        <v>33</v>
      </c>
      <c r="Z47" s="66">
        <v>118</v>
      </c>
      <c r="AA47" s="66">
        <v>6</v>
      </c>
      <c r="AB47" s="125">
        <v>0</v>
      </c>
      <c r="AC47" s="124">
        <v>208</v>
      </c>
      <c r="AD47" s="96">
        <v>4048</v>
      </c>
      <c r="AE47" s="66">
        <v>285</v>
      </c>
      <c r="AF47" s="117"/>
      <c r="AG47" s="141">
        <v>6236</v>
      </c>
      <c r="AH47" s="116">
        <v>38</v>
      </c>
      <c r="AI47" s="67">
        <v>24</v>
      </c>
      <c r="AJ47" s="67">
        <v>24</v>
      </c>
      <c r="AK47" s="67">
        <v>3</v>
      </c>
      <c r="AL47" s="67">
        <v>3</v>
      </c>
      <c r="AM47" s="67">
        <v>3</v>
      </c>
      <c r="AN47" s="67">
        <v>5</v>
      </c>
      <c r="AO47" s="94">
        <v>3</v>
      </c>
      <c r="AP47" s="68">
        <v>957536</v>
      </c>
    </row>
    <row r="48" spans="1:42" x14ac:dyDescent="0.25">
      <c r="A48" s="330" t="s">
        <v>82</v>
      </c>
      <c r="B48" s="191">
        <f t="shared" si="14"/>
        <v>218359.25002808185</v>
      </c>
      <c r="C48" s="104">
        <f t="shared" si="15"/>
        <v>551147.58299999998</v>
      </c>
      <c r="D48" s="104">
        <f t="shared" si="16"/>
        <v>425436</v>
      </c>
      <c r="E48" s="104">
        <f t="shared" si="17"/>
        <v>283290</v>
      </c>
      <c r="F48" s="104">
        <f t="shared" si="18"/>
        <v>346425.80000000005</v>
      </c>
      <c r="G48" s="165">
        <f t="shared" si="19"/>
        <v>375548.60000000003</v>
      </c>
      <c r="H48" s="185">
        <f t="shared" si="20"/>
        <v>3.5814285714285715E-2</v>
      </c>
      <c r="I48" s="68">
        <v>341691</v>
      </c>
      <c r="J48" s="175">
        <v>0</v>
      </c>
      <c r="K48" s="73">
        <v>341691</v>
      </c>
      <c r="L48" s="169">
        <v>0</v>
      </c>
      <c r="M48" s="116">
        <v>12</v>
      </c>
      <c r="N48" s="67">
        <v>336</v>
      </c>
      <c r="O48" s="67"/>
      <c r="P48" s="67"/>
      <c r="Q48" s="67"/>
      <c r="R48" s="66"/>
      <c r="S48" s="66"/>
      <c r="T48" s="66"/>
      <c r="U48" s="66"/>
      <c r="V48" s="66"/>
      <c r="W48" s="66"/>
      <c r="X48" s="125"/>
      <c r="Y48" s="124">
        <v>6</v>
      </c>
      <c r="Z48" s="66">
        <v>64</v>
      </c>
      <c r="AA48" s="66">
        <v>0</v>
      </c>
      <c r="AB48" s="125">
        <v>0</v>
      </c>
      <c r="AC48" s="124">
        <v>26</v>
      </c>
      <c r="AD48" s="96">
        <v>2525</v>
      </c>
      <c r="AE48" s="66"/>
      <c r="AF48" s="117"/>
      <c r="AG48" s="68">
        <v>2507</v>
      </c>
      <c r="AH48" s="116">
        <v>10</v>
      </c>
      <c r="AI48" s="67">
        <v>0</v>
      </c>
      <c r="AJ48" s="67">
        <v>4</v>
      </c>
      <c r="AK48" s="67">
        <v>1</v>
      </c>
      <c r="AL48" s="67">
        <v>1</v>
      </c>
      <c r="AM48" s="67">
        <v>0</v>
      </c>
      <c r="AN48" s="67">
        <v>1</v>
      </c>
      <c r="AO48" s="94">
        <v>3</v>
      </c>
      <c r="AP48" s="68">
        <v>188777</v>
      </c>
    </row>
    <row r="49" spans="1:42" x14ac:dyDescent="0.25">
      <c r="A49" s="330" t="s">
        <v>96</v>
      </c>
      <c r="B49" s="191">
        <f t="shared" ref="B49" si="21">1.518*I49^0.9321</f>
        <v>228886.64927661911</v>
      </c>
      <c r="C49" s="104">
        <f t="shared" ref="C49" si="22">0.748*J49+1.613*K49+1.774*L49</f>
        <v>637566.73</v>
      </c>
      <c r="D49" s="104">
        <f t="shared" ref="D49" si="23">35453*M49+56469*O49+144773*Q49+178851*(S49+U49)+440*X49</f>
        <v>70906</v>
      </c>
      <c r="E49" s="104">
        <f t="shared" ref="E49" si="24">4047*(Y49+Z49)+85370*(AA49+AB49)</f>
        <v>2468893.5</v>
      </c>
      <c r="F49" s="104">
        <f t="shared" ref="F49" si="25">135.8*(AC49+AD49)+430.2*AE49+1208.1*AF49</f>
        <v>995672.79999999993</v>
      </c>
      <c r="G49" s="165">
        <f t="shared" ref="G49" si="26">149.8*AG49</f>
        <v>414646.4</v>
      </c>
      <c r="H49" s="185">
        <f t="shared" ref="H49" si="27">AG49/(SUM(Y49:AB49)*1000)</f>
        <v>4.1007407407407409E-2</v>
      </c>
      <c r="I49" s="95">
        <v>359395</v>
      </c>
      <c r="J49" s="177"/>
      <c r="K49" s="79"/>
      <c r="L49" s="166">
        <v>359395</v>
      </c>
      <c r="M49" s="124">
        <v>2</v>
      </c>
      <c r="N49" s="66">
        <v>30</v>
      </c>
      <c r="O49" s="66"/>
      <c r="P49" s="66"/>
      <c r="Q49" s="66"/>
      <c r="R49" s="66"/>
      <c r="S49" s="66"/>
      <c r="T49" s="66"/>
      <c r="U49" s="66"/>
      <c r="V49" s="66"/>
      <c r="W49" s="66"/>
      <c r="X49" s="125"/>
      <c r="Y49" s="124">
        <v>8.4</v>
      </c>
      <c r="Z49" s="66">
        <v>32.1</v>
      </c>
      <c r="AA49" s="66">
        <v>27</v>
      </c>
      <c r="AB49" s="125"/>
      <c r="AC49" s="130">
        <v>138</v>
      </c>
      <c r="AD49" s="59">
        <v>554</v>
      </c>
      <c r="AE49" s="59">
        <v>2096</v>
      </c>
      <c r="AF49" s="129">
        <v>0</v>
      </c>
      <c r="AG49" s="95">
        <v>2768</v>
      </c>
      <c r="AH49" s="8">
        <v>10</v>
      </c>
      <c r="AI49" s="9">
        <v>4</v>
      </c>
      <c r="AJ49" s="9">
        <v>2</v>
      </c>
      <c r="AK49" s="9">
        <v>0</v>
      </c>
      <c r="AL49" s="9">
        <v>0</v>
      </c>
      <c r="AM49" s="9">
        <v>0</v>
      </c>
      <c r="AN49" s="9">
        <v>0</v>
      </c>
      <c r="AO49" s="69">
        <v>0</v>
      </c>
      <c r="AP49" s="95">
        <v>178380</v>
      </c>
    </row>
    <row r="50" spans="1:42" x14ac:dyDescent="0.25">
      <c r="A50" s="330" t="s">
        <v>98</v>
      </c>
      <c r="B50" s="191">
        <f t="shared" ref="B50:B64" si="28">1.518*I50^0.9321</f>
        <v>2109008.6445043194</v>
      </c>
      <c r="C50" s="104">
        <f t="shared" ref="C50:C64" si="29">0.748*J50+1.613*K50+1.774*L50</f>
        <v>6292671.0250000004</v>
      </c>
      <c r="D50" s="104">
        <f t="shared" ref="D50:D64" si="30">35453*M50+56469*O50+144773*Q50+178851*(S50+U50)+440*X50</f>
        <v>340093</v>
      </c>
      <c r="E50" s="104">
        <f t="shared" ref="E50:E64" si="31">4047*(Y50+Z50)+85370*(AA50+AB50)</f>
        <v>4654982</v>
      </c>
      <c r="F50" s="104">
        <f t="shared" ref="F50:F64" si="32">135.8*(AC50+AD50)+430.2*AE50+1208.1*AF50</f>
        <v>2925541.4000000004</v>
      </c>
      <c r="G50" s="165">
        <f t="shared" ref="G50:G64" si="33">149.8*AG50</f>
        <v>2929039.4000000004</v>
      </c>
      <c r="H50" s="185">
        <f t="shared" ref="H50:H64" si="34">AG50/(SUM(Y50:AB50)*1000)</f>
        <v>2.1994375703037122E-2</v>
      </c>
      <c r="I50" s="83">
        <v>3893024</v>
      </c>
      <c r="J50" s="177"/>
      <c r="K50" s="79">
        <v>2266553</v>
      </c>
      <c r="L50" s="166">
        <v>1486314</v>
      </c>
      <c r="M50" s="126">
        <v>8</v>
      </c>
      <c r="N50" s="63">
        <v>227</v>
      </c>
      <c r="O50" s="63">
        <v>1</v>
      </c>
      <c r="P50" s="63">
        <v>60</v>
      </c>
      <c r="Q50" s="63">
        <v>0</v>
      </c>
      <c r="R50" s="63"/>
      <c r="S50" s="63">
        <v>0</v>
      </c>
      <c r="T50" s="63"/>
      <c r="U50" s="63">
        <v>0</v>
      </c>
      <c r="V50" s="63"/>
      <c r="W50" s="63">
        <v>0</v>
      </c>
      <c r="X50" s="127"/>
      <c r="Y50" s="124">
        <v>599</v>
      </c>
      <c r="Z50" s="66">
        <v>277</v>
      </c>
      <c r="AA50" s="66">
        <v>13</v>
      </c>
      <c r="AB50" s="125"/>
      <c r="AC50" s="149">
        <v>7280</v>
      </c>
      <c r="AD50" s="79">
        <v>12074</v>
      </c>
      <c r="AE50" s="63">
        <v>691</v>
      </c>
      <c r="AF50" s="127">
        <v>0</v>
      </c>
      <c r="AG50" s="83">
        <v>19553</v>
      </c>
      <c r="AH50" s="126">
        <v>63</v>
      </c>
      <c r="AI50" s="63">
        <v>5</v>
      </c>
      <c r="AJ50" s="63">
        <v>22</v>
      </c>
      <c r="AK50" s="63">
        <v>9</v>
      </c>
      <c r="AL50" s="63">
        <v>5</v>
      </c>
      <c r="AM50" s="63" t="s">
        <v>214</v>
      </c>
      <c r="AN50" s="63">
        <v>13</v>
      </c>
      <c r="AO50" s="80">
        <v>19</v>
      </c>
      <c r="AP50" s="83">
        <v>2311431</v>
      </c>
    </row>
    <row r="51" spans="1:42" x14ac:dyDescent="0.25">
      <c r="A51" s="330" t="s">
        <v>167</v>
      </c>
      <c r="B51" s="191">
        <f t="shared" si="28"/>
        <v>268574.32697427209</v>
      </c>
      <c r="C51" s="104">
        <f t="shared" si="29"/>
        <v>685184.65700000001</v>
      </c>
      <c r="D51" s="104">
        <f t="shared" si="30"/>
        <v>525720</v>
      </c>
      <c r="E51" s="104">
        <f t="shared" si="31"/>
        <v>350874.9</v>
      </c>
      <c r="F51" s="104">
        <f t="shared" si="32"/>
        <v>407264.2</v>
      </c>
      <c r="G51" s="165">
        <f t="shared" si="33"/>
        <v>1203043.8</v>
      </c>
      <c r="H51" s="185">
        <f t="shared" si="34"/>
        <v>9.2629757785467129E-2</v>
      </c>
      <c r="I51" s="68">
        <v>426653</v>
      </c>
      <c r="J51" s="175"/>
      <c r="K51" s="73">
        <v>424789</v>
      </c>
      <c r="L51" s="169"/>
      <c r="M51" s="116"/>
      <c r="N51" s="67"/>
      <c r="O51" s="67">
        <v>1</v>
      </c>
      <c r="P51" s="67">
        <v>90</v>
      </c>
      <c r="Q51" s="67"/>
      <c r="R51" s="66"/>
      <c r="S51" s="66"/>
      <c r="T51" s="66"/>
      <c r="U51" s="66">
        <v>1</v>
      </c>
      <c r="V51" s="66">
        <v>360</v>
      </c>
      <c r="W51" s="66">
        <v>1</v>
      </c>
      <c r="X51" s="125">
        <v>660</v>
      </c>
      <c r="Y51" s="124">
        <v>2.9</v>
      </c>
      <c r="Z51" s="66">
        <v>83.8</v>
      </c>
      <c r="AA51" s="66"/>
      <c r="AB51" s="125"/>
      <c r="AC51" s="124">
        <v>83</v>
      </c>
      <c r="AD51" s="96">
        <v>2916</v>
      </c>
      <c r="AE51" s="66"/>
      <c r="AF51" s="117"/>
      <c r="AG51" s="68">
        <v>8031</v>
      </c>
      <c r="AH51" s="116">
        <v>24</v>
      </c>
      <c r="AI51" s="67">
        <v>118</v>
      </c>
      <c r="AJ51" s="67">
        <v>99</v>
      </c>
      <c r="AK51" s="67">
        <v>3</v>
      </c>
      <c r="AL51" s="67">
        <v>3</v>
      </c>
      <c r="AM51" s="67">
        <v>1</v>
      </c>
      <c r="AN51" s="67">
        <v>5</v>
      </c>
      <c r="AO51" s="94">
        <v>3</v>
      </c>
      <c r="AP51" s="68">
        <v>246219</v>
      </c>
    </row>
    <row r="52" spans="1:42" x14ac:dyDescent="0.25">
      <c r="A52" s="330" t="s">
        <v>168</v>
      </c>
      <c r="B52" s="191">
        <f t="shared" si="28"/>
        <v>0</v>
      </c>
      <c r="C52" s="104">
        <f t="shared" si="29"/>
        <v>0</v>
      </c>
      <c r="D52" s="104">
        <f>35453*M52+56469*O52+144773*Q52+178851*(S52+U52)+440*X52</f>
        <v>380093</v>
      </c>
      <c r="E52" s="104">
        <f t="shared" si="31"/>
        <v>2177235</v>
      </c>
      <c r="F52" s="104">
        <f t="shared" si="32"/>
        <v>855549.8</v>
      </c>
      <c r="G52" s="165">
        <f t="shared" si="33"/>
        <v>792591.8</v>
      </c>
      <c r="H52" s="185">
        <f t="shared" si="34"/>
        <v>4.5612068965517241E-2</v>
      </c>
      <c r="I52" s="95">
        <v>0</v>
      </c>
      <c r="J52" s="177">
        <v>0</v>
      </c>
      <c r="K52" s="79">
        <v>0</v>
      </c>
      <c r="L52" s="166">
        <v>0</v>
      </c>
      <c r="M52" s="124"/>
      <c r="N52" s="66"/>
      <c r="O52" s="66">
        <v>1</v>
      </c>
      <c r="P52" s="66">
        <v>100</v>
      </c>
      <c r="Q52" s="66">
        <v>1</v>
      </c>
      <c r="R52" s="66">
        <v>200</v>
      </c>
      <c r="S52" s="66"/>
      <c r="T52" s="66"/>
      <c r="U52" s="66">
        <v>1</v>
      </c>
      <c r="V52" s="66">
        <v>600</v>
      </c>
      <c r="W52" s="66"/>
      <c r="X52" s="125"/>
      <c r="Y52" s="124">
        <v>7.1</v>
      </c>
      <c r="Z52" s="66">
        <v>87.9</v>
      </c>
      <c r="AA52" s="66">
        <v>21</v>
      </c>
      <c r="AB52" s="125"/>
      <c r="AC52" s="124">
        <v>138</v>
      </c>
      <c r="AD52" s="96">
        <v>4255</v>
      </c>
      <c r="AE52" s="66">
        <v>602</v>
      </c>
      <c r="AF52" s="125"/>
      <c r="AG52" s="95">
        <v>5291</v>
      </c>
      <c r="AH52" s="124">
        <v>16</v>
      </c>
      <c r="AI52" s="66">
        <v>3</v>
      </c>
      <c r="AJ52" s="66">
        <v>16</v>
      </c>
      <c r="AK52" s="66"/>
      <c r="AL52" s="66"/>
      <c r="AM52" s="66"/>
      <c r="AN52" s="66"/>
      <c r="AO52" s="102"/>
      <c r="AP52" s="95"/>
    </row>
    <row r="53" spans="1:42" x14ac:dyDescent="0.25">
      <c r="A53" s="330" t="s">
        <v>172</v>
      </c>
      <c r="B53" s="191">
        <f t="shared" si="28"/>
        <v>0</v>
      </c>
      <c r="C53" s="104">
        <f t="shared" si="29"/>
        <v>0</v>
      </c>
      <c r="D53" s="104">
        <f t="shared" si="30"/>
        <v>0</v>
      </c>
      <c r="E53" s="104">
        <f t="shared" si="31"/>
        <v>402824.6</v>
      </c>
      <c r="F53" s="104">
        <f t="shared" si="32"/>
        <v>323204</v>
      </c>
      <c r="G53" s="165">
        <f t="shared" si="33"/>
        <v>358321.60000000003</v>
      </c>
      <c r="H53" s="185">
        <f t="shared" si="34"/>
        <v>4.8519269776876262E-2</v>
      </c>
      <c r="I53" s="95">
        <v>0</v>
      </c>
      <c r="J53" s="177">
        <v>0</v>
      </c>
      <c r="K53" s="79">
        <v>0</v>
      </c>
      <c r="L53" s="166">
        <v>0</v>
      </c>
      <c r="M53" s="124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125"/>
      <c r="Y53" s="124">
        <v>6.7</v>
      </c>
      <c r="Z53" s="66">
        <v>40.1</v>
      </c>
      <c r="AA53" s="66">
        <v>2.5</v>
      </c>
      <c r="AB53" s="125"/>
      <c r="AC53" s="150">
        <v>2060</v>
      </c>
      <c r="AD53" s="66">
        <v>320</v>
      </c>
      <c r="AE53" s="66"/>
      <c r="AF53" s="125"/>
      <c r="AG53" s="95">
        <v>2392</v>
      </c>
      <c r="AH53" s="124">
        <v>7</v>
      </c>
      <c r="AI53" s="66">
        <v>2</v>
      </c>
      <c r="AJ53" s="66">
        <v>7</v>
      </c>
      <c r="AK53" s="66"/>
      <c r="AL53" s="66"/>
      <c r="AM53" s="66"/>
      <c r="AN53" s="66"/>
      <c r="AO53" s="102"/>
      <c r="AP53" s="95">
        <v>1102</v>
      </c>
    </row>
    <row r="54" spans="1:42" x14ac:dyDescent="0.25">
      <c r="A54" s="330" t="s">
        <v>83</v>
      </c>
      <c r="B54" s="191">
        <f t="shared" si="28"/>
        <v>1345020.4784485663</v>
      </c>
      <c r="C54" s="104">
        <f t="shared" si="29"/>
        <v>3875622.8459999999</v>
      </c>
      <c r="D54" s="104">
        <f t="shared" si="30"/>
        <v>35453</v>
      </c>
      <c r="E54" s="104">
        <f t="shared" si="31"/>
        <v>2004580</v>
      </c>
      <c r="F54" s="104">
        <f t="shared" si="32"/>
        <v>1083496.8</v>
      </c>
      <c r="G54" s="165">
        <f t="shared" si="33"/>
        <v>1129042.6000000001</v>
      </c>
      <c r="H54" s="185">
        <f t="shared" si="34"/>
        <v>3.5219626168224299E-2</v>
      </c>
      <c r="I54" s="68">
        <v>2402742</v>
      </c>
      <c r="J54" s="175">
        <v>0</v>
      </c>
      <c r="K54" s="73">
        <v>2402742</v>
      </c>
      <c r="L54" s="169">
        <v>0</v>
      </c>
      <c r="M54" s="116">
        <v>1</v>
      </c>
      <c r="N54" s="67">
        <v>33</v>
      </c>
      <c r="O54" s="67"/>
      <c r="P54" s="67"/>
      <c r="Q54" s="67"/>
      <c r="R54" s="67"/>
      <c r="S54" s="67"/>
      <c r="T54" s="67"/>
      <c r="U54" s="67"/>
      <c r="V54" s="67"/>
      <c r="W54" s="67"/>
      <c r="X54" s="117"/>
      <c r="Y54" s="116">
        <v>70</v>
      </c>
      <c r="Z54" s="67">
        <v>130</v>
      </c>
      <c r="AA54" s="67">
        <v>14</v>
      </c>
      <c r="AB54" s="117">
        <v>0</v>
      </c>
      <c r="AC54" s="116">
        <v>562</v>
      </c>
      <c r="AD54" s="64">
        <v>4952</v>
      </c>
      <c r="AE54" s="67">
        <v>778</v>
      </c>
      <c r="AF54" s="117">
        <v>0</v>
      </c>
      <c r="AG54" s="68">
        <v>7537</v>
      </c>
      <c r="AH54" s="116">
        <v>22</v>
      </c>
      <c r="AI54" s="67">
        <v>6</v>
      </c>
      <c r="AJ54" s="67">
        <v>12</v>
      </c>
      <c r="AK54" s="67">
        <v>4</v>
      </c>
      <c r="AL54" s="67">
        <v>1</v>
      </c>
      <c r="AM54" s="67">
        <v>2</v>
      </c>
      <c r="AN54" s="67">
        <v>4</v>
      </c>
      <c r="AO54" s="94">
        <v>5</v>
      </c>
      <c r="AP54" s="68">
        <v>1036773</v>
      </c>
    </row>
    <row r="55" spans="1:42" x14ac:dyDescent="0.25">
      <c r="A55" s="330" t="s">
        <v>84</v>
      </c>
      <c r="B55" s="191">
        <f t="shared" si="28"/>
        <v>146871.15325037367</v>
      </c>
      <c r="C55" s="104">
        <f t="shared" si="29"/>
        <v>327916.44799999997</v>
      </c>
      <c r="D55" s="104">
        <f t="shared" si="30"/>
        <v>0</v>
      </c>
      <c r="E55" s="104">
        <f t="shared" si="31"/>
        <v>129504</v>
      </c>
      <c r="F55" s="104">
        <f t="shared" si="32"/>
        <v>317636.2</v>
      </c>
      <c r="G55" s="165">
        <f t="shared" si="33"/>
        <v>356224.4</v>
      </c>
      <c r="H55" s="185">
        <f t="shared" si="34"/>
        <v>7.4312500000000004E-2</v>
      </c>
      <c r="I55" s="68">
        <v>223281</v>
      </c>
      <c r="J55" s="175">
        <v>0</v>
      </c>
      <c r="K55" s="73">
        <v>203296</v>
      </c>
      <c r="L55" s="169">
        <v>0</v>
      </c>
      <c r="M55" s="116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117">
        <v>0</v>
      </c>
      <c r="Y55" s="116">
        <v>0</v>
      </c>
      <c r="Z55" s="67">
        <v>32</v>
      </c>
      <c r="AA55" s="67">
        <v>0</v>
      </c>
      <c r="AB55" s="117">
        <v>0</v>
      </c>
      <c r="AC55" s="116">
        <v>0</v>
      </c>
      <c r="AD55" s="64">
        <v>2339</v>
      </c>
      <c r="AE55" s="67">
        <v>0</v>
      </c>
      <c r="AF55" s="117">
        <v>0</v>
      </c>
      <c r="AG55" s="68">
        <v>2378</v>
      </c>
      <c r="AH55" s="116">
        <v>11</v>
      </c>
      <c r="AI55" s="67"/>
      <c r="AJ55" s="67">
        <v>4</v>
      </c>
      <c r="AK55" s="67">
        <v>2</v>
      </c>
      <c r="AL55" s="67">
        <v>1</v>
      </c>
      <c r="AM55" s="67">
        <v>1</v>
      </c>
      <c r="AN55" s="67"/>
      <c r="AO55" s="94">
        <v>3</v>
      </c>
      <c r="AP55" s="68">
        <v>129466</v>
      </c>
    </row>
    <row r="56" spans="1:42" x14ac:dyDescent="0.25">
      <c r="A56" s="330" t="s">
        <v>85</v>
      </c>
      <c r="B56" s="191">
        <f t="shared" si="28"/>
        <v>143968.98225848732</v>
      </c>
      <c r="C56" s="104">
        <f t="shared" si="29"/>
        <v>346925.65299999999</v>
      </c>
      <c r="D56" s="104">
        <f t="shared" si="30"/>
        <v>70906</v>
      </c>
      <c r="E56" s="104">
        <f t="shared" si="31"/>
        <v>194256</v>
      </c>
      <c r="F56" s="104">
        <f t="shared" si="32"/>
        <v>256118.80000000002</v>
      </c>
      <c r="G56" s="165">
        <f t="shared" si="33"/>
        <v>282522.80000000005</v>
      </c>
      <c r="H56" s="185">
        <f t="shared" si="34"/>
        <v>3.9291666666666669E-2</v>
      </c>
      <c r="I56" s="68">
        <v>218551</v>
      </c>
      <c r="J56" s="175">
        <v>0</v>
      </c>
      <c r="K56" s="73">
        <v>215081</v>
      </c>
      <c r="L56" s="169">
        <v>0</v>
      </c>
      <c r="M56" s="116">
        <v>2</v>
      </c>
      <c r="N56" s="67">
        <v>8</v>
      </c>
      <c r="O56" s="67"/>
      <c r="P56" s="67"/>
      <c r="Q56" s="67"/>
      <c r="R56" s="67"/>
      <c r="S56" s="67"/>
      <c r="T56" s="67"/>
      <c r="U56" s="67"/>
      <c r="V56" s="67"/>
      <c r="W56" s="67"/>
      <c r="X56" s="117"/>
      <c r="Y56" s="116">
        <v>9</v>
      </c>
      <c r="Z56" s="67">
        <v>39</v>
      </c>
      <c r="AA56" s="67">
        <v>0</v>
      </c>
      <c r="AB56" s="117">
        <v>0</v>
      </c>
      <c r="AC56" s="116">
        <v>82</v>
      </c>
      <c r="AD56" s="64">
        <v>1804</v>
      </c>
      <c r="AE56" s="67"/>
      <c r="AF56" s="117"/>
      <c r="AG56" s="68">
        <v>1886</v>
      </c>
      <c r="AH56" s="116">
        <v>8</v>
      </c>
      <c r="AI56" s="67"/>
      <c r="AJ56" s="67">
        <v>2</v>
      </c>
      <c r="AK56" s="67">
        <v>1</v>
      </c>
      <c r="AL56" s="67">
        <v>1</v>
      </c>
      <c r="AM56" s="67">
        <v>1</v>
      </c>
      <c r="AN56" s="67">
        <v>1</v>
      </c>
      <c r="AO56" s="94">
        <v>2</v>
      </c>
      <c r="AP56" s="68">
        <v>91660</v>
      </c>
    </row>
    <row r="57" spans="1:42" x14ac:dyDescent="0.25">
      <c r="A57" s="330" t="s">
        <v>86</v>
      </c>
      <c r="B57" s="191">
        <f t="shared" si="28"/>
        <v>567034.08662276878</v>
      </c>
      <c r="C57" s="104">
        <f t="shared" si="29"/>
        <v>1513858.568</v>
      </c>
      <c r="D57" s="104">
        <f t="shared" si="30"/>
        <v>1047857</v>
      </c>
      <c r="E57" s="104">
        <f t="shared" si="31"/>
        <v>3033833</v>
      </c>
      <c r="F57" s="104">
        <f t="shared" si="32"/>
        <v>1196932.6000000001</v>
      </c>
      <c r="G57" s="165">
        <f t="shared" si="33"/>
        <v>1222218.2000000002</v>
      </c>
      <c r="H57" s="185">
        <f t="shared" si="34"/>
        <v>4.3631016042780746E-2</v>
      </c>
      <c r="I57" s="68">
        <v>951177</v>
      </c>
      <c r="J57" s="175">
        <v>0</v>
      </c>
      <c r="K57" s="73">
        <v>938536</v>
      </c>
      <c r="L57" s="169">
        <v>0</v>
      </c>
      <c r="M57" s="116">
        <v>1</v>
      </c>
      <c r="N57" s="67">
        <v>2</v>
      </c>
      <c r="O57" s="67">
        <v>0</v>
      </c>
      <c r="P57" s="67">
        <v>0</v>
      </c>
      <c r="Q57" s="67">
        <v>0</v>
      </c>
      <c r="R57" s="67">
        <v>0</v>
      </c>
      <c r="S57" s="67">
        <v>1</v>
      </c>
      <c r="T57" s="67">
        <v>376</v>
      </c>
      <c r="U57" s="67">
        <v>3</v>
      </c>
      <c r="V57" s="64">
        <v>1540</v>
      </c>
      <c r="W57" s="67">
        <v>1</v>
      </c>
      <c r="X57" s="117">
        <v>675</v>
      </c>
      <c r="Y57" s="116">
        <v>20</v>
      </c>
      <c r="Z57" s="67">
        <v>139</v>
      </c>
      <c r="AA57" s="67">
        <v>28</v>
      </c>
      <c r="AB57" s="117">
        <v>0</v>
      </c>
      <c r="AC57" s="116">
        <v>144</v>
      </c>
      <c r="AD57" s="64">
        <v>5822</v>
      </c>
      <c r="AE57" s="67">
        <v>899</v>
      </c>
      <c r="AF57" s="117">
        <v>0</v>
      </c>
      <c r="AG57" s="68">
        <v>8159</v>
      </c>
      <c r="AH57" s="116">
        <v>30</v>
      </c>
      <c r="AI57" s="67">
        <v>10</v>
      </c>
      <c r="AJ57" s="67">
        <v>24</v>
      </c>
      <c r="AK57" s="67">
        <v>1</v>
      </c>
      <c r="AL57" s="67">
        <v>1</v>
      </c>
      <c r="AM57" s="67">
        <v>1</v>
      </c>
      <c r="AN57" s="67">
        <v>10</v>
      </c>
      <c r="AO57" s="94">
        <v>2</v>
      </c>
      <c r="AP57" s="68">
        <v>598552</v>
      </c>
    </row>
    <row r="58" spans="1:42" x14ac:dyDescent="0.25">
      <c r="A58" s="330" t="s">
        <v>87</v>
      </c>
      <c r="B58" s="191">
        <f t="shared" si="28"/>
        <v>226959.15528939228</v>
      </c>
      <c r="C58" s="104">
        <f t="shared" si="29"/>
        <v>574468.33699999994</v>
      </c>
      <c r="D58" s="104">
        <f t="shared" si="30"/>
        <v>283624</v>
      </c>
      <c r="E58" s="104">
        <f t="shared" si="31"/>
        <v>530157</v>
      </c>
      <c r="F58" s="104">
        <f t="shared" si="32"/>
        <v>288575</v>
      </c>
      <c r="G58" s="165">
        <f t="shared" si="33"/>
        <v>319523.40000000002</v>
      </c>
      <c r="H58" s="185">
        <f t="shared" si="34"/>
        <v>1.6282442748091604E-2</v>
      </c>
      <c r="I58" s="68">
        <v>356149</v>
      </c>
      <c r="J58" s="175">
        <v>0</v>
      </c>
      <c r="K58" s="79">
        <v>356149</v>
      </c>
      <c r="L58" s="166">
        <v>0</v>
      </c>
      <c r="M58" s="124">
        <v>8</v>
      </c>
      <c r="N58" s="66">
        <v>141</v>
      </c>
      <c r="O58" s="66"/>
      <c r="P58" s="66"/>
      <c r="Q58" s="66"/>
      <c r="R58" s="66"/>
      <c r="S58" s="66"/>
      <c r="T58" s="66"/>
      <c r="U58" s="66"/>
      <c r="V58" s="66"/>
      <c r="W58" s="66"/>
      <c r="X58" s="125"/>
      <c r="Y58" s="124">
        <v>80</v>
      </c>
      <c r="Z58" s="66">
        <v>51</v>
      </c>
      <c r="AA58" s="66">
        <v>0</v>
      </c>
      <c r="AB58" s="125">
        <v>0</v>
      </c>
      <c r="AC58" s="124">
        <v>284</v>
      </c>
      <c r="AD58" s="96">
        <v>1841</v>
      </c>
      <c r="AE58" s="67"/>
      <c r="AF58" s="117"/>
      <c r="AG58" s="68">
        <v>2133</v>
      </c>
      <c r="AH58" s="116">
        <v>16</v>
      </c>
      <c r="AI58" s="67"/>
      <c r="AJ58" s="67">
        <v>6</v>
      </c>
      <c r="AK58" s="67">
        <v>2</v>
      </c>
      <c r="AL58" s="67">
        <v>2</v>
      </c>
      <c r="AM58" s="67">
        <v>2</v>
      </c>
      <c r="AN58" s="67">
        <v>2</v>
      </c>
      <c r="AO58" s="94">
        <v>2</v>
      </c>
      <c r="AP58" s="68">
        <v>186655</v>
      </c>
    </row>
    <row r="59" spans="1:42" x14ac:dyDescent="0.25">
      <c r="A59" s="330" t="s">
        <v>169</v>
      </c>
      <c r="B59" s="191">
        <f t="shared" si="28"/>
        <v>156879.95327270828</v>
      </c>
      <c r="C59" s="104">
        <f t="shared" si="29"/>
        <v>345425.56300000002</v>
      </c>
      <c r="D59" s="104">
        <f t="shared" si="30"/>
        <v>35453</v>
      </c>
      <c r="E59" s="104">
        <f t="shared" si="31"/>
        <v>338329.19999999995</v>
      </c>
      <c r="F59" s="104">
        <f t="shared" si="32"/>
        <v>92072.400000000009</v>
      </c>
      <c r="G59" s="165">
        <f t="shared" si="33"/>
        <v>101564.40000000001</v>
      </c>
      <c r="H59" s="185">
        <f t="shared" si="34"/>
        <v>8.1100478468899527E-3</v>
      </c>
      <c r="I59" s="95">
        <v>239645</v>
      </c>
      <c r="J59" s="177"/>
      <c r="K59" s="79">
        <v>214151</v>
      </c>
      <c r="L59" s="166"/>
      <c r="M59" s="124">
        <v>1</v>
      </c>
      <c r="N59" s="66">
        <v>20</v>
      </c>
      <c r="O59" s="66"/>
      <c r="P59" s="66"/>
      <c r="Q59" s="66"/>
      <c r="R59" s="66"/>
      <c r="S59" s="66"/>
      <c r="T59" s="66"/>
      <c r="U59" s="66"/>
      <c r="V59" s="66"/>
      <c r="W59" s="66"/>
      <c r="X59" s="125"/>
      <c r="Y59" s="124">
        <v>83.6</v>
      </c>
      <c r="Z59" s="66"/>
      <c r="AA59" s="66"/>
      <c r="AB59" s="125"/>
      <c r="AC59" s="124">
        <v>678</v>
      </c>
      <c r="AD59" s="96"/>
      <c r="AE59" s="66"/>
      <c r="AF59" s="125"/>
      <c r="AG59" s="95">
        <v>678</v>
      </c>
      <c r="AH59" s="124">
        <v>7</v>
      </c>
      <c r="AI59" s="66"/>
      <c r="AJ59" s="66"/>
      <c r="AK59" s="66"/>
      <c r="AL59" s="66"/>
      <c r="AM59" s="66"/>
      <c r="AN59" s="66"/>
      <c r="AO59" s="102"/>
      <c r="AP59" s="95">
        <v>184207</v>
      </c>
    </row>
    <row r="60" spans="1:42" x14ac:dyDescent="0.25">
      <c r="A60" s="330" t="s">
        <v>88</v>
      </c>
      <c r="B60" s="191">
        <f t="shared" si="28"/>
        <v>174128.33287076172</v>
      </c>
      <c r="C60" s="104">
        <f t="shared" si="29"/>
        <v>432319.48599999998</v>
      </c>
      <c r="D60" s="104">
        <f t="shared" si="30"/>
        <v>0</v>
      </c>
      <c r="E60" s="104">
        <f t="shared" si="31"/>
        <v>372324</v>
      </c>
      <c r="F60" s="104">
        <f>135.8*(AC60+AD60)+430.2*AE60+1208.1*AF60</f>
        <v>291019.40000000002</v>
      </c>
      <c r="G60" s="165">
        <f t="shared" si="33"/>
        <v>310086</v>
      </c>
      <c r="H60" s="185">
        <f t="shared" si="34"/>
        <v>2.2499999999999999E-2</v>
      </c>
      <c r="I60" s="68">
        <v>268022</v>
      </c>
      <c r="J60" s="175">
        <v>0</v>
      </c>
      <c r="K60" s="79">
        <v>268022</v>
      </c>
      <c r="L60" s="166">
        <v>0</v>
      </c>
      <c r="M60" s="124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125"/>
      <c r="Y60" s="124">
        <v>40</v>
      </c>
      <c r="Z60" s="66">
        <v>52</v>
      </c>
      <c r="AA60" s="66">
        <v>0</v>
      </c>
      <c r="AB60" s="125">
        <v>0</v>
      </c>
      <c r="AC60" s="124">
        <v>281</v>
      </c>
      <c r="AD60" s="96">
        <v>1862</v>
      </c>
      <c r="AE60" s="67"/>
      <c r="AF60" s="117"/>
      <c r="AG60" s="68">
        <v>2070</v>
      </c>
      <c r="AH60" s="116">
        <v>4</v>
      </c>
      <c r="AI60" s="67">
        <v>6</v>
      </c>
      <c r="AJ60" s="67">
        <v>6</v>
      </c>
      <c r="AK60" s="67"/>
      <c r="AL60" s="67"/>
      <c r="AM60" s="67"/>
      <c r="AN60" s="67"/>
      <c r="AO60" s="94"/>
      <c r="AP60" s="68">
        <v>110109</v>
      </c>
    </row>
    <row r="61" spans="1:42" x14ac:dyDescent="0.25">
      <c r="A61" s="330" t="s">
        <v>89</v>
      </c>
      <c r="B61" s="191">
        <f t="shared" si="28"/>
        <v>246902.54187154354</v>
      </c>
      <c r="C61" s="104">
        <f t="shared" si="29"/>
        <v>617346.71600000001</v>
      </c>
      <c r="D61" s="104">
        <f t="shared" si="30"/>
        <v>283624</v>
      </c>
      <c r="E61" s="104">
        <f t="shared" si="31"/>
        <v>513969</v>
      </c>
      <c r="F61" s="104">
        <f t="shared" si="32"/>
        <v>326870.60000000003</v>
      </c>
      <c r="G61" s="165">
        <f t="shared" si="33"/>
        <v>363265</v>
      </c>
      <c r="H61" s="185">
        <f t="shared" si="34"/>
        <v>1.9094488188976379E-2</v>
      </c>
      <c r="I61" s="68">
        <v>389829</v>
      </c>
      <c r="J61" s="175">
        <v>0</v>
      </c>
      <c r="K61" s="79">
        <v>382732</v>
      </c>
      <c r="L61" s="166">
        <v>0</v>
      </c>
      <c r="M61" s="124">
        <v>8</v>
      </c>
      <c r="N61" s="66">
        <v>238</v>
      </c>
      <c r="O61" s="66"/>
      <c r="P61" s="66"/>
      <c r="Q61" s="66"/>
      <c r="R61" s="66"/>
      <c r="S61" s="66"/>
      <c r="T61" s="66"/>
      <c r="U61" s="66"/>
      <c r="V61" s="66"/>
      <c r="W61" s="66"/>
      <c r="X61" s="125"/>
      <c r="Y61" s="124">
        <v>101</v>
      </c>
      <c r="Z61" s="66">
        <v>26</v>
      </c>
      <c r="AA61" s="66">
        <v>0</v>
      </c>
      <c r="AB61" s="125">
        <v>0</v>
      </c>
      <c r="AC61" s="150">
        <v>1144</v>
      </c>
      <c r="AD61" s="96">
        <v>1263</v>
      </c>
      <c r="AE61" s="67"/>
      <c r="AF61" s="117"/>
      <c r="AG61" s="68">
        <v>2425</v>
      </c>
      <c r="AH61" s="116">
        <v>11</v>
      </c>
      <c r="AI61" s="67">
        <v>10</v>
      </c>
      <c r="AJ61" s="67">
        <v>4</v>
      </c>
      <c r="AK61" s="67">
        <v>1</v>
      </c>
      <c r="AL61" s="67">
        <v>1</v>
      </c>
      <c r="AM61" s="67">
        <v>1</v>
      </c>
      <c r="AN61" s="67">
        <v>1</v>
      </c>
      <c r="AO61" s="94">
        <v>1</v>
      </c>
      <c r="AP61" s="68">
        <v>215181</v>
      </c>
    </row>
    <row r="62" spans="1:42" x14ac:dyDescent="0.25">
      <c r="A62" s="330" t="s">
        <v>90</v>
      </c>
      <c r="B62" s="191">
        <f t="shared" si="28"/>
        <v>148231.82733545703</v>
      </c>
      <c r="C62" s="104">
        <f t="shared" si="29"/>
        <v>388593.43100000004</v>
      </c>
      <c r="D62" s="104">
        <f t="shared" si="30"/>
        <v>0</v>
      </c>
      <c r="E62" s="104">
        <f t="shared" si="31"/>
        <v>437076</v>
      </c>
      <c r="F62" s="104">
        <f t="shared" si="32"/>
        <v>202613.6</v>
      </c>
      <c r="G62" s="165">
        <f t="shared" si="33"/>
        <v>252862.40000000002</v>
      </c>
      <c r="H62" s="185">
        <f t="shared" si="34"/>
        <v>1.5629629629629629E-2</v>
      </c>
      <c r="I62" s="68">
        <v>225501</v>
      </c>
      <c r="J62" s="175">
        <v>0</v>
      </c>
      <c r="K62" s="79">
        <v>7765</v>
      </c>
      <c r="L62" s="166">
        <v>211989</v>
      </c>
      <c r="M62" s="124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125"/>
      <c r="Y62" s="124">
        <v>73</v>
      </c>
      <c r="Z62" s="66">
        <v>35</v>
      </c>
      <c r="AA62" s="66">
        <v>0</v>
      </c>
      <c r="AB62" s="125">
        <v>0</v>
      </c>
      <c r="AC62" s="124">
        <v>280</v>
      </c>
      <c r="AD62" s="96">
        <v>1212</v>
      </c>
      <c r="AE62" s="67"/>
      <c r="AF62" s="117"/>
      <c r="AG62" s="68">
        <v>1688</v>
      </c>
      <c r="AH62" s="116">
        <v>16</v>
      </c>
      <c r="AI62" s="67">
        <v>43</v>
      </c>
      <c r="AJ62" s="67"/>
      <c r="AK62" s="67">
        <v>41</v>
      </c>
      <c r="AL62" s="67">
        <v>2</v>
      </c>
      <c r="AM62" s="67"/>
      <c r="AN62" s="67"/>
      <c r="AO62" s="94"/>
      <c r="AP62" s="68">
        <v>138971</v>
      </c>
    </row>
    <row r="63" spans="1:42" x14ac:dyDescent="0.25">
      <c r="A63" s="330" t="s">
        <v>91</v>
      </c>
      <c r="B63" s="191">
        <f t="shared" si="28"/>
        <v>204129.52943739016</v>
      </c>
      <c r="C63" s="104">
        <f t="shared" si="29"/>
        <v>508675.68</v>
      </c>
      <c r="D63" s="104">
        <f t="shared" si="30"/>
        <v>70906</v>
      </c>
      <c r="E63" s="104">
        <f t="shared" si="31"/>
        <v>157833</v>
      </c>
      <c r="F63" s="104">
        <f t="shared" si="32"/>
        <v>103208.00000000001</v>
      </c>
      <c r="G63" s="165">
        <f t="shared" si="33"/>
        <v>115046.40000000001</v>
      </c>
      <c r="H63" s="185">
        <f t="shared" si="34"/>
        <v>1.9692307692307693E-2</v>
      </c>
      <c r="I63" s="68">
        <v>317860</v>
      </c>
      <c r="J63" s="175">
        <v>0</v>
      </c>
      <c r="K63" s="79">
        <v>315360</v>
      </c>
      <c r="L63" s="166">
        <v>0</v>
      </c>
      <c r="M63" s="124">
        <v>2</v>
      </c>
      <c r="N63" s="66">
        <v>23</v>
      </c>
      <c r="O63" s="66"/>
      <c r="P63" s="66"/>
      <c r="Q63" s="66"/>
      <c r="R63" s="66"/>
      <c r="S63" s="66"/>
      <c r="T63" s="66"/>
      <c r="U63" s="66"/>
      <c r="V63" s="66"/>
      <c r="W63" s="66"/>
      <c r="X63" s="125"/>
      <c r="Y63" s="124">
        <v>18</v>
      </c>
      <c r="Z63" s="66">
        <v>21</v>
      </c>
      <c r="AA63" s="66">
        <v>0</v>
      </c>
      <c r="AB63" s="125">
        <v>0</v>
      </c>
      <c r="AC63" s="124">
        <v>85</v>
      </c>
      <c r="AD63" s="66">
        <v>675</v>
      </c>
      <c r="AE63" s="67"/>
      <c r="AF63" s="117"/>
      <c r="AG63" s="103">
        <v>768</v>
      </c>
      <c r="AH63" s="116">
        <v>8</v>
      </c>
      <c r="AI63" s="67"/>
      <c r="AJ63" s="67"/>
      <c r="AK63" s="67"/>
      <c r="AL63" s="67"/>
      <c r="AM63" s="67"/>
      <c r="AN63" s="67"/>
      <c r="AO63" s="94"/>
      <c r="AP63" s="68">
        <v>176606</v>
      </c>
    </row>
    <row r="64" spans="1:42" x14ac:dyDescent="0.25">
      <c r="A64" s="330" t="s">
        <v>92</v>
      </c>
      <c r="B64" s="191">
        <f t="shared" si="28"/>
        <v>103891.07385173446</v>
      </c>
      <c r="C64" s="104">
        <f t="shared" si="29"/>
        <v>248413.291</v>
      </c>
      <c r="D64" s="104">
        <f t="shared" si="30"/>
        <v>177265</v>
      </c>
      <c r="E64" s="104">
        <f t="shared" si="31"/>
        <v>485640</v>
      </c>
      <c r="F64" s="104">
        <f t="shared" si="32"/>
        <v>115022.6</v>
      </c>
      <c r="G64" s="165">
        <f t="shared" si="33"/>
        <v>159836.6</v>
      </c>
      <c r="H64" s="185">
        <f t="shared" si="34"/>
        <v>8.8916666666666675E-3</v>
      </c>
      <c r="I64" s="68">
        <v>154007</v>
      </c>
      <c r="J64" s="175">
        <v>0</v>
      </c>
      <c r="K64" s="73">
        <v>154007</v>
      </c>
      <c r="L64" s="169">
        <v>0</v>
      </c>
      <c r="M64" s="116">
        <v>5</v>
      </c>
      <c r="N64" s="67">
        <v>43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117">
        <v>0</v>
      </c>
      <c r="Y64" s="116">
        <v>120</v>
      </c>
      <c r="Z64" s="67">
        <v>0</v>
      </c>
      <c r="AA64" s="67">
        <v>0</v>
      </c>
      <c r="AB64" s="117">
        <v>0</v>
      </c>
      <c r="AC64" s="116">
        <v>847</v>
      </c>
      <c r="AD64" s="67">
        <v>0</v>
      </c>
      <c r="AE64" s="67">
        <v>0</v>
      </c>
      <c r="AF64" s="117">
        <v>0</v>
      </c>
      <c r="AG64" s="68">
        <v>1067</v>
      </c>
      <c r="AH64" s="116">
        <v>8</v>
      </c>
      <c r="AI64" s="67">
        <v>2</v>
      </c>
      <c r="AJ64" s="67">
        <v>4</v>
      </c>
      <c r="AK64" s="67">
        <v>1</v>
      </c>
      <c r="AL64" s="67">
        <v>1</v>
      </c>
      <c r="AM64" s="67">
        <v>1</v>
      </c>
      <c r="AN64" s="67">
        <v>1</v>
      </c>
      <c r="AO64" s="94">
        <v>0</v>
      </c>
      <c r="AP64" s="68">
        <v>81708</v>
      </c>
    </row>
    <row r="65" spans="1:42" x14ac:dyDescent="0.25">
      <c r="A65" s="331" t="s">
        <v>174</v>
      </c>
      <c r="B65" s="192"/>
      <c r="C65" s="193"/>
      <c r="D65" s="193"/>
      <c r="E65" s="193"/>
      <c r="F65" s="193"/>
      <c r="G65" s="194"/>
      <c r="H65" s="186"/>
      <c r="I65" s="101"/>
      <c r="J65" s="176"/>
      <c r="K65" s="170"/>
      <c r="L65" s="171"/>
      <c r="M65" s="122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123"/>
      <c r="Y65" s="122"/>
      <c r="Z65" s="98"/>
      <c r="AA65" s="98"/>
      <c r="AB65" s="123"/>
      <c r="AC65" s="122"/>
      <c r="AD65" s="98"/>
      <c r="AE65" s="98"/>
      <c r="AF65" s="123"/>
      <c r="AG65" s="101"/>
      <c r="AH65" s="122"/>
      <c r="AI65" s="98"/>
      <c r="AJ65" s="98"/>
      <c r="AK65" s="98"/>
      <c r="AL65" s="98"/>
      <c r="AM65" s="98"/>
      <c r="AN65" s="98"/>
      <c r="AO65" s="100"/>
      <c r="AP65" s="101"/>
    </row>
    <row r="66" spans="1:42" x14ac:dyDescent="0.25">
      <c r="A66" s="330" t="s">
        <v>107</v>
      </c>
      <c r="B66" s="191">
        <f>1.518*I66^0.9321</f>
        <v>0</v>
      </c>
      <c r="C66" s="104">
        <f>0.748*J66+1.613*K66+1.774*L66</f>
        <v>4161902.5319999997</v>
      </c>
      <c r="D66" s="104">
        <f>35453*M66+56469*O66+144773*Q66+178851*(S66+U66)+440*X66</f>
        <v>0</v>
      </c>
      <c r="E66" s="104">
        <f>4047*(Y66+Z66)+85370*(AA66+AB66)</f>
        <v>0</v>
      </c>
      <c r="F66" s="104">
        <f>135.8*(AC66+AD66)+430.2*AE66+1208.1*AF66</f>
        <v>950.60000000000014</v>
      </c>
      <c r="G66" s="165">
        <f>149.8*AG66</f>
        <v>1348.2</v>
      </c>
      <c r="H66" s="185"/>
      <c r="I66" s="95"/>
      <c r="J66" s="178">
        <v>3498621</v>
      </c>
      <c r="K66" s="79"/>
      <c r="L66" s="163">
        <v>870876</v>
      </c>
      <c r="M66" s="124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125"/>
      <c r="Y66" s="124"/>
      <c r="Z66" s="66"/>
      <c r="AA66" s="66"/>
      <c r="AB66" s="125"/>
      <c r="AC66" s="124"/>
      <c r="AD66" s="9">
        <v>7</v>
      </c>
      <c r="AE66" s="66"/>
      <c r="AF66" s="125"/>
      <c r="AG66" s="142">
        <v>9</v>
      </c>
      <c r="AH66" s="8">
        <v>13</v>
      </c>
      <c r="AI66" s="9">
        <v>2</v>
      </c>
      <c r="AJ66" s="66"/>
      <c r="AK66" s="66"/>
      <c r="AL66" s="66"/>
      <c r="AM66" s="66"/>
      <c r="AN66" s="66"/>
      <c r="AO66" s="102"/>
      <c r="AP66" s="72">
        <v>1479452</v>
      </c>
    </row>
    <row r="67" spans="1:42" x14ac:dyDescent="0.25">
      <c r="A67" s="332" t="s">
        <v>93</v>
      </c>
      <c r="B67" s="191">
        <f t="shared" ref="B67:B80" si="35">1.518*I67^0.9321</f>
        <v>471410.80007640144</v>
      </c>
      <c r="C67" s="104">
        <f t="shared" ref="C67:C80" si="36">0.748*J67+1.613*K67+1.774*L67</f>
        <v>1258470.665</v>
      </c>
      <c r="D67" s="104">
        <f t="shared" ref="D67:D80" si="37">35453*M67+56469*O67+144773*Q67+178851*(S67+U67)+440*X67</f>
        <v>35453</v>
      </c>
      <c r="E67" s="104">
        <f t="shared" ref="E67:E80" si="38">4047*(Y67+Z67)+85370*(AA67+AB67)</f>
        <v>523074.75</v>
      </c>
      <c r="F67" s="104">
        <f t="shared" ref="F67:F80" si="39">135.8*(AC67+AD67)+430.2*AE67+1208.1*AF67</f>
        <v>543200</v>
      </c>
      <c r="G67" s="165">
        <f t="shared" ref="G67:G80" si="40">149.8*AG67</f>
        <v>599200</v>
      </c>
      <c r="H67" s="185">
        <f t="shared" ref="H67:H80" si="41">AG67/(SUM(Y67:AB67)*1000)</f>
        <v>3.0947775628626693E-2</v>
      </c>
      <c r="I67" s="95">
        <v>780205</v>
      </c>
      <c r="J67" s="177">
        <v>0</v>
      </c>
      <c r="K67" s="79">
        <v>780205</v>
      </c>
      <c r="L67" s="166">
        <v>0</v>
      </c>
      <c r="M67" s="124">
        <v>1</v>
      </c>
      <c r="N67" s="66">
        <v>7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125">
        <v>0</v>
      </c>
      <c r="Y67" s="124">
        <v>126</v>
      </c>
      <c r="Z67" s="66">
        <v>3.25</v>
      </c>
      <c r="AA67" s="66"/>
      <c r="AB67" s="125"/>
      <c r="AC67" s="124">
        <v>3070</v>
      </c>
      <c r="AD67" s="96">
        <v>930</v>
      </c>
      <c r="AE67" s="66"/>
      <c r="AF67" s="125"/>
      <c r="AG67" s="95">
        <v>4000</v>
      </c>
      <c r="AH67" s="124">
        <v>13</v>
      </c>
      <c r="AI67" s="66">
        <v>4</v>
      </c>
      <c r="AJ67" s="66">
        <v>7</v>
      </c>
      <c r="AK67" s="66">
        <v>1</v>
      </c>
      <c r="AL67" s="66">
        <v>1</v>
      </c>
      <c r="AM67" s="66">
        <v>1</v>
      </c>
      <c r="AN67" s="66">
        <v>1</v>
      </c>
      <c r="AO67" s="102">
        <v>3</v>
      </c>
      <c r="AP67" s="95">
        <v>380830</v>
      </c>
    </row>
    <row r="68" spans="1:42" x14ac:dyDescent="0.25">
      <c r="A68" s="330" t="s">
        <v>112</v>
      </c>
      <c r="B68" s="191">
        <f t="shared" si="35"/>
        <v>142481.89182140774</v>
      </c>
      <c r="C68" s="104">
        <f t="shared" si="36"/>
        <v>346961.13900000002</v>
      </c>
      <c r="D68" s="104">
        <f t="shared" si="37"/>
        <v>212718</v>
      </c>
      <c r="E68" s="104">
        <f t="shared" si="38"/>
        <v>367062.89999999997</v>
      </c>
      <c r="F68" s="104">
        <f t="shared" si="39"/>
        <v>184009.00000000003</v>
      </c>
      <c r="G68" s="165">
        <f t="shared" si="40"/>
        <v>273534.80000000005</v>
      </c>
      <c r="H68" s="185">
        <f t="shared" si="41"/>
        <v>2.0132304299889749E-2</v>
      </c>
      <c r="I68" s="95">
        <v>216130</v>
      </c>
      <c r="J68" s="177"/>
      <c r="K68" s="79">
        <v>215103</v>
      </c>
      <c r="L68" s="166"/>
      <c r="M68" s="124">
        <v>6</v>
      </c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125"/>
      <c r="Y68" s="124">
        <v>50.9</v>
      </c>
      <c r="Z68" s="66">
        <v>39.799999999999997</v>
      </c>
      <c r="AA68" s="66"/>
      <c r="AB68" s="125"/>
      <c r="AC68" s="124">
        <v>205</v>
      </c>
      <c r="AD68" s="96">
        <v>1150</v>
      </c>
      <c r="AE68" s="66"/>
      <c r="AF68" s="125"/>
      <c r="AG68" s="95">
        <v>1826</v>
      </c>
      <c r="AH68" s="124">
        <v>7</v>
      </c>
      <c r="AI68" s="66">
        <v>8</v>
      </c>
      <c r="AJ68" s="66"/>
      <c r="AK68" s="66"/>
      <c r="AL68" s="66"/>
      <c r="AM68" s="66"/>
      <c r="AN68" s="66"/>
      <c r="AO68" s="102"/>
      <c r="AP68" s="95">
        <v>115791</v>
      </c>
    </row>
    <row r="69" spans="1:42" x14ac:dyDescent="0.25">
      <c r="A69" s="330" t="s">
        <v>94</v>
      </c>
      <c r="B69" s="191">
        <f t="shared" si="35"/>
        <v>1199087.2874185892</v>
      </c>
      <c r="C69" s="104">
        <f t="shared" si="36"/>
        <v>3150604.74</v>
      </c>
      <c r="D69" s="104">
        <f t="shared" si="37"/>
        <v>307601</v>
      </c>
      <c r="E69" s="104">
        <f t="shared" si="38"/>
        <v>2182265</v>
      </c>
      <c r="F69" s="104">
        <f t="shared" si="39"/>
        <v>1069384.2000000002</v>
      </c>
      <c r="G69" s="165">
        <f t="shared" si="40"/>
        <v>1180274.2000000002</v>
      </c>
      <c r="H69" s="185">
        <f t="shared" si="41"/>
        <v>2.8341726618705036E-2</v>
      </c>
      <c r="I69" s="68">
        <v>2124201</v>
      </c>
      <c r="J69" s="175">
        <v>172474</v>
      </c>
      <c r="K69" s="79">
        <v>1873276</v>
      </c>
      <c r="L69" s="166">
        <v>0</v>
      </c>
      <c r="M69" s="124">
        <v>3</v>
      </c>
      <c r="N69" s="66"/>
      <c r="O69" s="66">
        <v>1</v>
      </c>
      <c r="P69" s="66"/>
      <c r="Q69" s="66">
        <v>1</v>
      </c>
      <c r="R69" s="66">
        <v>600</v>
      </c>
      <c r="S69" s="66"/>
      <c r="T69" s="66"/>
      <c r="U69" s="66"/>
      <c r="V69" s="66"/>
      <c r="W69" s="66"/>
      <c r="X69" s="125"/>
      <c r="Y69" s="124">
        <v>85</v>
      </c>
      <c r="Z69" s="66">
        <v>180</v>
      </c>
      <c r="AA69" s="66">
        <v>13</v>
      </c>
      <c r="AB69" s="125">
        <v>0</v>
      </c>
      <c r="AC69" s="124">
        <v>184</v>
      </c>
      <c r="AD69" s="64">
        <v>5885</v>
      </c>
      <c r="AE69" s="67">
        <v>570</v>
      </c>
      <c r="AF69" s="117"/>
      <c r="AG69" s="68">
        <v>7879</v>
      </c>
      <c r="AH69" s="116">
        <v>36</v>
      </c>
      <c r="AI69" s="67">
        <v>12</v>
      </c>
      <c r="AJ69" s="67">
        <v>48</v>
      </c>
      <c r="AK69" s="67">
        <v>2</v>
      </c>
      <c r="AL69" s="67">
        <v>2</v>
      </c>
      <c r="AM69" s="67">
        <v>2</v>
      </c>
      <c r="AN69" s="67">
        <v>4</v>
      </c>
      <c r="AO69" s="94">
        <v>7</v>
      </c>
      <c r="AP69" s="68">
        <v>705932</v>
      </c>
    </row>
    <row r="70" spans="1:42" x14ac:dyDescent="0.25">
      <c r="A70" s="330" t="s">
        <v>95</v>
      </c>
      <c r="B70" s="191">
        <f t="shared" si="35"/>
        <v>538666.17509119015</v>
      </c>
      <c r="C70" s="104">
        <f t="shared" si="36"/>
        <v>1409886.2009999999</v>
      </c>
      <c r="D70" s="104">
        <f t="shared" si="37"/>
        <v>183844</v>
      </c>
      <c r="E70" s="104">
        <f t="shared" si="38"/>
        <v>1363839</v>
      </c>
      <c r="F70" s="104">
        <f t="shared" si="39"/>
        <v>962686.20000000007</v>
      </c>
      <c r="G70" s="165">
        <f t="shared" si="40"/>
        <v>1112714.4000000001</v>
      </c>
      <c r="H70" s="185">
        <f t="shared" si="41"/>
        <v>2.2041543026706231E-2</v>
      </c>
      <c r="I70" s="68">
        <v>900219</v>
      </c>
      <c r="J70" s="175">
        <v>0</v>
      </c>
      <c r="K70" s="79">
        <v>874077</v>
      </c>
      <c r="L70" s="166">
        <v>0</v>
      </c>
      <c r="M70" s="124">
        <v>2</v>
      </c>
      <c r="N70" s="66">
        <v>46</v>
      </c>
      <c r="O70" s="66">
        <v>2</v>
      </c>
      <c r="P70" s="66">
        <v>125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125">
        <v>0</v>
      </c>
      <c r="Y70" s="124">
        <v>276</v>
      </c>
      <c r="Z70" s="66">
        <v>61</v>
      </c>
      <c r="AA70" s="66">
        <v>0</v>
      </c>
      <c r="AB70" s="125">
        <v>0</v>
      </c>
      <c r="AC70" s="150">
        <v>3823</v>
      </c>
      <c r="AD70" s="64">
        <v>3266</v>
      </c>
      <c r="AE70" s="67">
        <v>0</v>
      </c>
      <c r="AF70" s="117">
        <v>0</v>
      </c>
      <c r="AG70" s="68">
        <v>7428</v>
      </c>
      <c r="AH70" s="116">
        <v>34</v>
      </c>
      <c r="AI70" s="67">
        <v>69</v>
      </c>
      <c r="AJ70" s="67">
        <v>20</v>
      </c>
      <c r="AK70" s="67">
        <v>4</v>
      </c>
      <c r="AL70" s="67">
        <v>3</v>
      </c>
      <c r="AM70" s="67">
        <v>3</v>
      </c>
      <c r="AN70" s="67">
        <v>4</v>
      </c>
      <c r="AO70" s="94">
        <v>2</v>
      </c>
      <c r="AP70" s="68">
        <v>508576</v>
      </c>
    </row>
    <row r="71" spans="1:42" x14ac:dyDescent="0.25">
      <c r="A71" s="330" t="s">
        <v>97</v>
      </c>
      <c r="B71" s="191">
        <f t="shared" si="35"/>
        <v>216250.45497020119</v>
      </c>
      <c r="C71" s="104">
        <f t="shared" si="36"/>
        <v>540600.17599999998</v>
      </c>
      <c r="D71" s="104">
        <f t="shared" si="37"/>
        <v>0</v>
      </c>
      <c r="E71" s="104">
        <f t="shared" si="38"/>
        <v>416841</v>
      </c>
      <c r="F71" s="104">
        <f t="shared" si="39"/>
        <v>324154.60000000003</v>
      </c>
      <c r="G71" s="165">
        <f t="shared" si="40"/>
        <v>418241.60000000003</v>
      </c>
      <c r="H71" s="185">
        <f t="shared" si="41"/>
        <v>2.7106796116504853E-2</v>
      </c>
      <c r="I71" s="68">
        <v>338152</v>
      </c>
      <c r="J71" s="175">
        <v>0</v>
      </c>
      <c r="K71" s="79">
        <v>335152</v>
      </c>
      <c r="L71" s="166">
        <v>0</v>
      </c>
      <c r="M71" s="124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5"/>
      <c r="Y71" s="124">
        <v>57</v>
      </c>
      <c r="Z71" s="66">
        <v>46</v>
      </c>
      <c r="AA71" s="66">
        <v>0</v>
      </c>
      <c r="AB71" s="125">
        <v>0</v>
      </c>
      <c r="AC71" s="124">
        <v>605</v>
      </c>
      <c r="AD71" s="64">
        <v>1782</v>
      </c>
      <c r="AE71" s="67"/>
      <c r="AF71" s="117"/>
      <c r="AG71" s="68">
        <v>2792</v>
      </c>
      <c r="AH71" s="116">
        <v>4</v>
      </c>
      <c r="AI71" s="67">
        <v>9</v>
      </c>
      <c r="AJ71" s="67"/>
      <c r="AK71" s="67"/>
      <c r="AL71" s="67"/>
      <c r="AM71" s="67"/>
      <c r="AN71" s="67"/>
      <c r="AO71" s="94"/>
      <c r="AP71" s="68">
        <v>148688</v>
      </c>
    </row>
    <row r="72" spans="1:42" x14ac:dyDescent="0.25">
      <c r="A72" s="330" t="s">
        <v>115</v>
      </c>
      <c r="B72" s="191">
        <f t="shared" si="35"/>
        <v>77504.813919088585</v>
      </c>
      <c r="C72" s="104">
        <f t="shared" si="36"/>
        <v>379892.69400000002</v>
      </c>
      <c r="D72" s="104">
        <f t="shared" si="37"/>
        <v>35453</v>
      </c>
      <c r="E72" s="104">
        <f t="shared" si="38"/>
        <v>311619</v>
      </c>
      <c r="F72" s="104">
        <f t="shared" si="39"/>
        <v>223255.2</v>
      </c>
      <c r="G72" s="165">
        <f t="shared" si="40"/>
        <v>254060.80000000002</v>
      </c>
      <c r="H72" s="185">
        <f t="shared" si="41"/>
        <v>2.2025974025974025E-2</v>
      </c>
      <c r="I72" s="95">
        <v>112466</v>
      </c>
      <c r="J72" s="177"/>
      <c r="K72" s="79">
        <v>112162</v>
      </c>
      <c r="L72" s="166">
        <v>112162</v>
      </c>
      <c r="M72" s="124">
        <v>1</v>
      </c>
      <c r="N72" s="66">
        <v>40</v>
      </c>
      <c r="O72" s="66"/>
      <c r="P72" s="66"/>
      <c r="Q72" s="66"/>
      <c r="R72" s="66"/>
      <c r="S72" s="66"/>
      <c r="T72" s="66"/>
      <c r="U72" s="66"/>
      <c r="V72" s="66"/>
      <c r="W72" s="66"/>
      <c r="X72" s="125"/>
      <c r="Y72" s="124">
        <v>49.6</v>
      </c>
      <c r="Z72" s="66">
        <v>27.400000000000002</v>
      </c>
      <c r="AA72" s="66"/>
      <c r="AB72" s="125"/>
      <c r="AC72" s="124">
        <v>440</v>
      </c>
      <c r="AD72" s="96">
        <v>1204</v>
      </c>
      <c r="AE72" s="66"/>
      <c r="AF72" s="125"/>
      <c r="AG72" s="95">
        <v>1696</v>
      </c>
      <c r="AH72" s="124">
        <v>16</v>
      </c>
      <c r="AI72" s="66">
        <v>1</v>
      </c>
      <c r="AJ72" s="66">
        <v>13</v>
      </c>
      <c r="AK72" s="66">
        <v>1</v>
      </c>
      <c r="AL72" s="66">
        <v>1</v>
      </c>
      <c r="AM72" s="66">
        <v>1</v>
      </c>
      <c r="AN72" s="66">
        <v>1</v>
      </c>
      <c r="AO72" s="102">
        <v>1</v>
      </c>
      <c r="AP72" s="10">
        <v>111493</v>
      </c>
    </row>
    <row r="73" spans="1:42" x14ac:dyDescent="0.25">
      <c r="A73" s="330" t="s">
        <v>116</v>
      </c>
      <c r="B73" s="191">
        <f t="shared" si="35"/>
        <v>1135817.1078274578</v>
      </c>
      <c r="C73" s="104">
        <f t="shared" si="36"/>
        <v>3186341.1689999998</v>
      </c>
      <c r="D73" s="104">
        <f t="shared" si="37"/>
        <v>994366</v>
      </c>
      <c r="E73" s="104">
        <f t="shared" si="38"/>
        <v>2761672.8</v>
      </c>
      <c r="F73" s="104">
        <f t="shared" si="39"/>
        <v>1183361.2000000002</v>
      </c>
      <c r="G73" s="165">
        <f t="shared" si="40"/>
        <v>1356888.4000000001</v>
      </c>
      <c r="H73" s="185">
        <f t="shared" si="41"/>
        <v>1.3273739742086753E-2</v>
      </c>
      <c r="I73" s="72">
        <v>2004187</v>
      </c>
      <c r="J73" s="177"/>
      <c r="K73" s="105">
        <v>1975413</v>
      </c>
      <c r="L73" s="166"/>
      <c r="M73" s="130">
        <v>16</v>
      </c>
      <c r="N73" s="59">
        <v>209</v>
      </c>
      <c r="O73" s="59">
        <v>5</v>
      </c>
      <c r="P73" s="59">
        <v>341</v>
      </c>
      <c r="Q73" s="59">
        <v>1</v>
      </c>
      <c r="R73" s="59">
        <v>200</v>
      </c>
      <c r="S73" s="66"/>
      <c r="T73" s="66"/>
      <c r="U73" s="66"/>
      <c r="V73" s="66"/>
      <c r="W73" s="66"/>
      <c r="X73" s="125"/>
      <c r="Y73" s="124">
        <v>415.4</v>
      </c>
      <c r="Z73" s="66">
        <v>267</v>
      </c>
      <c r="AA73" s="66"/>
      <c r="AB73" s="125"/>
      <c r="AC73" s="151">
        <v>1512</v>
      </c>
      <c r="AD73" s="88">
        <v>7202</v>
      </c>
      <c r="AE73" s="66"/>
      <c r="AF73" s="125"/>
      <c r="AG73" s="72">
        <v>9058</v>
      </c>
      <c r="AH73" s="8">
        <v>54</v>
      </c>
      <c r="AI73" s="9">
        <v>5</v>
      </c>
      <c r="AJ73" s="9">
        <v>27</v>
      </c>
      <c r="AK73" s="9">
        <v>6</v>
      </c>
      <c r="AL73" s="9">
        <v>6</v>
      </c>
      <c r="AM73" s="9">
        <v>6</v>
      </c>
      <c r="AN73" s="9">
        <v>8</v>
      </c>
      <c r="AO73" s="69">
        <v>4</v>
      </c>
      <c r="AP73" s="72">
        <v>675782</v>
      </c>
    </row>
    <row r="74" spans="1:42" x14ac:dyDescent="0.25">
      <c r="A74" s="330" t="s">
        <v>99</v>
      </c>
      <c r="B74" s="191">
        <f t="shared" si="35"/>
        <v>239880.59407179389</v>
      </c>
      <c r="C74" s="104">
        <f t="shared" si="36"/>
        <v>598171.37199999997</v>
      </c>
      <c r="D74" s="104">
        <f t="shared" si="37"/>
        <v>70906</v>
      </c>
      <c r="E74" s="104">
        <f t="shared" si="38"/>
        <v>133551</v>
      </c>
      <c r="F74" s="104">
        <f t="shared" si="39"/>
        <v>100084.6</v>
      </c>
      <c r="G74" s="165">
        <f t="shared" si="40"/>
        <v>110402.6</v>
      </c>
      <c r="H74" s="185">
        <f t="shared" si="41"/>
        <v>2.2333333333333334E-2</v>
      </c>
      <c r="I74" s="68">
        <v>377947</v>
      </c>
      <c r="J74" s="175">
        <v>0</v>
      </c>
      <c r="K74" s="79">
        <v>370844</v>
      </c>
      <c r="L74" s="166">
        <v>0</v>
      </c>
      <c r="M74" s="124">
        <v>2</v>
      </c>
      <c r="N74" s="66">
        <v>60</v>
      </c>
      <c r="O74" s="66"/>
      <c r="P74" s="66"/>
      <c r="Q74" s="66"/>
      <c r="R74" s="66"/>
      <c r="S74" s="66"/>
      <c r="T74" s="66"/>
      <c r="U74" s="66"/>
      <c r="V74" s="66"/>
      <c r="W74" s="66"/>
      <c r="X74" s="125"/>
      <c r="Y74" s="124">
        <v>18</v>
      </c>
      <c r="Z74" s="66">
        <v>15</v>
      </c>
      <c r="AA74" s="66">
        <v>0</v>
      </c>
      <c r="AB74" s="125">
        <v>0</v>
      </c>
      <c r="AC74" s="124">
        <v>595</v>
      </c>
      <c r="AD74" s="67">
        <v>142</v>
      </c>
      <c r="AE74" s="67"/>
      <c r="AF74" s="117"/>
      <c r="AG74" s="103">
        <v>737</v>
      </c>
      <c r="AH74" s="116">
        <v>12</v>
      </c>
      <c r="AI74" s="67"/>
      <c r="AJ74" s="67">
        <v>12</v>
      </c>
      <c r="AK74" s="67">
        <v>1</v>
      </c>
      <c r="AL74" s="67">
        <v>1</v>
      </c>
      <c r="AM74" s="67">
        <v>1</v>
      </c>
      <c r="AN74" s="67">
        <v>2</v>
      </c>
      <c r="AO74" s="94">
        <v>1</v>
      </c>
      <c r="AP74" s="68">
        <v>155411</v>
      </c>
    </row>
    <row r="75" spans="1:42" x14ac:dyDescent="0.25">
      <c r="A75" s="330" t="s">
        <v>100</v>
      </c>
      <c r="B75" s="191">
        <f t="shared" si="35"/>
        <v>427201.52138216095</v>
      </c>
      <c r="C75" s="104">
        <f t="shared" si="36"/>
        <v>1065112.29</v>
      </c>
      <c r="D75" s="104">
        <f t="shared" si="37"/>
        <v>0</v>
      </c>
      <c r="E75" s="104">
        <f t="shared" si="38"/>
        <v>1470376</v>
      </c>
      <c r="F75" s="104">
        <f t="shared" si="39"/>
        <v>802642.60000000009</v>
      </c>
      <c r="G75" s="165">
        <f t="shared" si="40"/>
        <v>578228</v>
      </c>
      <c r="H75" s="185">
        <f t="shared" si="41"/>
        <v>4.7073170731707317E-2</v>
      </c>
      <c r="I75" s="68">
        <v>701983</v>
      </c>
      <c r="J75" s="175">
        <v>0</v>
      </c>
      <c r="K75" s="79">
        <v>660330</v>
      </c>
      <c r="L75" s="166">
        <v>0</v>
      </c>
      <c r="M75" s="124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5"/>
      <c r="Y75" s="124">
        <v>10</v>
      </c>
      <c r="Z75" s="66">
        <v>58</v>
      </c>
      <c r="AA75" s="66">
        <v>14</v>
      </c>
      <c r="AB75" s="125">
        <v>0</v>
      </c>
      <c r="AC75" s="124">
        <v>60</v>
      </c>
      <c r="AD75" s="64">
        <v>3332</v>
      </c>
      <c r="AE75" s="67">
        <v>795</v>
      </c>
      <c r="AF75" s="117">
        <v>0</v>
      </c>
      <c r="AG75" s="68">
        <v>3860</v>
      </c>
      <c r="AH75" s="116">
        <v>23</v>
      </c>
      <c r="AI75" s="67">
        <v>10</v>
      </c>
      <c r="AJ75" s="67">
        <v>1</v>
      </c>
      <c r="AK75" s="67">
        <v>1</v>
      </c>
      <c r="AL75" s="67">
        <v>1</v>
      </c>
      <c r="AM75" s="67">
        <v>1</v>
      </c>
      <c r="AN75" s="67">
        <v>2</v>
      </c>
      <c r="AO75" s="94">
        <v>8</v>
      </c>
      <c r="AP75" s="68">
        <v>260338</v>
      </c>
    </row>
    <row r="76" spans="1:42" x14ac:dyDescent="0.25">
      <c r="A76" s="330" t="s">
        <v>101</v>
      </c>
      <c r="B76" s="191">
        <f t="shared" si="35"/>
        <v>207522.71148492425</v>
      </c>
      <c r="C76" s="104">
        <f t="shared" si="36"/>
        <v>456368.451</v>
      </c>
      <c r="D76" s="104">
        <f t="shared" si="37"/>
        <v>70906</v>
      </c>
      <c r="E76" s="104">
        <f t="shared" si="38"/>
        <v>186162</v>
      </c>
      <c r="F76" s="104">
        <f t="shared" si="39"/>
        <v>272550.60000000003</v>
      </c>
      <c r="G76" s="165">
        <f t="shared" si="40"/>
        <v>300648.60000000003</v>
      </c>
      <c r="H76" s="185">
        <f t="shared" si="41"/>
        <v>4.3630434782608696E-2</v>
      </c>
      <c r="I76" s="68">
        <v>323532</v>
      </c>
      <c r="J76" s="175">
        <v>1</v>
      </c>
      <c r="K76" s="79">
        <v>282931</v>
      </c>
      <c r="L76" s="166">
        <v>0</v>
      </c>
      <c r="M76" s="124">
        <v>2</v>
      </c>
      <c r="N76" s="66">
        <v>45</v>
      </c>
      <c r="O76" s="66"/>
      <c r="P76" s="66"/>
      <c r="Q76" s="66"/>
      <c r="R76" s="66"/>
      <c r="S76" s="66"/>
      <c r="T76" s="66"/>
      <c r="U76" s="66"/>
      <c r="V76" s="66"/>
      <c r="W76" s="66"/>
      <c r="X76" s="125"/>
      <c r="Y76" s="124">
        <v>1</v>
      </c>
      <c r="Z76" s="66">
        <v>45</v>
      </c>
      <c r="AA76" s="66">
        <v>0</v>
      </c>
      <c r="AB76" s="125">
        <v>0</v>
      </c>
      <c r="AC76" s="124">
        <v>36</v>
      </c>
      <c r="AD76" s="64">
        <v>1971</v>
      </c>
      <c r="AE76" s="67"/>
      <c r="AF76" s="117"/>
      <c r="AG76" s="68">
        <v>2007</v>
      </c>
      <c r="AH76" s="116">
        <v>12</v>
      </c>
      <c r="AI76" s="67"/>
      <c r="AJ76" s="67"/>
      <c r="AK76" s="67"/>
      <c r="AL76" s="67"/>
      <c r="AM76" s="67"/>
      <c r="AN76" s="67"/>
      <c r="AO76" s="94"/>
      <c r="AP76" s="68">
        <v>108372</v>
      </c>
    </row>
    <row r="77" spans="1:42" x14ac:dyDescent="0.25">
      <c r="A77" s="330" t="s">
        <v>102</v>
      </c>
      <c r="B77" s="191">
        <f t="shared" si="35"/>
        <v>196387.26410877911</v>
      </c>
      <c r="C77" s="104">
        <f t="shared" si="36"/>
        <v>403825.84100000001</v>
      </c>
      <c r="D77" s="104">
        <f t="shared" si="37"/>
        <v>0</v>
      </c>
      <c r="E77" s="104">
        <f t="shared" si="38"/>
        <v>254961</v>
      </c>
      <c r="F77" s="104">
        <f t="shared" si="39"/>
        <v>366252.60000000003</v>
      </c>
      <c r="G77" s="165">
        <f t="shared" si="40"/>
        <v>392176.4</v>
      </c>
      <c r="H77" s="185">
        <f t="shared" si="41"/>
        <v>4.1555555555555554E-2</v>
      </c>
      <c r="I77" s="68">
        <v>304944</v>
      </c>
      <c r="J77" s="175">
        <v>0</v>
      </c>
      <c r="K77" s="79">
        <v>250357</v>
      </c>
      <c r="L77" s="166">
        <v>0</v>
      </c>
      <c r="M77" s="124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5"/>
      <c r="Y77" s="124">
        <v>20</v>
      </c>
      <c r="Z77" s="66">
        <v>43</v>
      </c>
      <c r="AA77" s="66">
        <v>0</v>
      </c>
      <c r="AB77" s="125">
        <v>0</v>
      </c>
      <c r="AC77" s="124">
        <v>24</v>
      </c>
      <c r="AD77" s="64">
        <v>2673</v>
      </c>
      <c r="AE77" s="67"/>
      <c r="AF77" s="117"/>
      <c r="AG77" s="68">
        <v>2618</v>
      </c>
      <c r="AH77" s="116">
        <v>11</v>
      </c>
      <c r="AI77" s="67">
        <v>9</v>
      </c>
      <c r="AJ77" s="67">
        <v>2</v>
      </c>
      <c r="AK77" s="67">
        <v>1</v>
      </c>
      <c r="AL77" s="67">
        <v>1</v>
      </c>
      <c r="AM77" s="67">
        <v>1</v>
      </c>
      <c r="AN77" s="67">
        <v>12</v>
      </c>
      <c r="AO77" s="94">
        <v>3</v>
      </c>
      <c r="AP77" s="68">
        <v>138270</v>
      </c>
    </row>
    <row r="78" spans="1:42" x14ac:dyDescent="0.25">
      <c r="A78" s="330" t="s">
        <v>123</v>
      </c>
      <c r="B78" s="191">
        <f t="shared" si="35"/>
        <v>148280.84360495376</v>
      </c>
      <c r="C78" s="104">
        <f t="shared" si="36"/>
        <v>379511.82</v>
      </c>
      <c r="D78" s="104">
        <f t="shared" si="37"/>
        <v>106359</v>
      </c>
      <c r="E78" s="104">
        <f t="shared" si="38"/>
        <v>311619</v>
      </c>
      <c r="F78" s="104">
        <f t="shared" si="39"/>
        <v>187539.80000000002</v>
      </c>
      <c r="G78" s="165">
        <f t="shared" si="40"/>
        <v>206873.80000000002</v>
      </c>
      <c r="H78" s="185">
        <f t="shared" si="41"/>
        <v>1.7935064935064936E-2</v>
      </c>
      <c r="I78" s="72">
        <v>225581</v>
      </c>
      <c r="J78" s="177"/>
      <c r="K78" s="79"/>
      <c r="L78" s="166">
        <v>213930</v>
      </c>
      <c r="M78" s="130">
        <v>3</v>
      </c>
      <c r="N78" s="66">
        <v>26</v>
      </c>
      <c r="O78" s="66"/>
      <c r="P78" s="66"/>
      <c r="Q78" s="66"/>
      <c r="R78" s="66"/>
      <c r="S78" s="66"/>
      <c r="T78" s="66"/>
      <c r="U78" s="66"/>
      <c r="V78" s="66"/>
      <c r="W78" s="66"/>
      <c r="X78" s="125"/>
      <c r="Y78" s="130">
        <v>50.7</v>
      </c>
      <c r="Z78" s="59">
        <v>26.3</v>
      </c>
      <c r="AA78" s="97"/>
      <c r="AB78" s="125"/>
      <c r="AC78" s="130">
        <v>465</v>
      </c>
      <c r="AD78" s="9">
        <v>916</v>
      </c>
      <c r="AE78" s="66"/>
      <c r="AF78" s="125"/>
      <c r="AG78" s="72">
        <v>1381</v>
      </c>
      <c r="AH78" s="8">
        <v>6</v>
      </c>
      <c r="AI78" s="106"/>
      <c r="AJ78" s="66"/>
      <c r="AK78" s="66"/>
      <c r="AL78" s="66"/>
      <c r="AM78" s="66"/>
      <c r="AN78" s="66"/>
      <c r="AO78" s="102"/>
      <c r="AP78" s="72">
        <v>96843</v>
      </c>
    </row>
    <row r="79" spans="1:42" x14ac:dyDescent="0.25">
      <c r="A79" s="330" t="s">
        <v>103</v>
      </c>
      <c r="B79" s="191">
        <f t="shared" si="35"/>
        <v>996837.92349784286</v>
      </c>
      <c r="C79" s="104">
        <f t="shared" si="36"/>
        <v>2755239.4980000001</v>
      </c>
      <c r="D79" s="104">
        <f t="shared" si="37"/>
        <v>180226</v>
      </c>
      <c r="E79" s="104">
        <f t="shared" si="38"/>
        <v>1736163</v>
      </c>
      <c r="F79" s="104">
        <f t="shared" si="39"/>
        <v>1021623.4000000001</v>
      </c>
      <c r="G79" s="165">
        <f t="shared" si="40"/>
        <v>1125147.8</v>
      </c>
      <c r="H79" s="185">
        <f t="shared" si="41"/>
        <v>1.7508158508158508E-2</v>
      </c>
      <c r="I79" s="68">
        <v>1742309</v>
      </c>
      <c r="J79" s="175">
        <v>0</v>
      </c>
      <c r="K79" s="79">
        <v>1708146</v>
      </c>
      <c r="L79" s="166">
        <v>0</v>
      </c>
      <c r="M79" s="124">
        <v>1</v>
      </c>
      <c r="N79" s="66">
        <v>20</v>
      </c>
      <c r="O79" s="66"/>
      <c r="P79" s="66"/>
      <c r="Q79" s="66">
        <v>1</v>
      </c>
      <c r="R79" s="66">
        <v>200</v>
      </c>
      <c r="S79" s="66"/>
      <c r="T79" s="66"/>
      <c r="U79" s="66"/>
      <c r="V79" s="66"/>
      <c r="W79" s="66"/>
      <c r="X79" s="125"/>
      <c r="Y79" s="124">
        <v>316</v>
      </c>
      <c r="Z79" s="66">
        <v>113</v>
      </c>
      <c r="AA79" s="66">
        <v>0</v>
      </c>
      <c r="AB79" s="125">
        <v>0</v>
      </c>
      <c r="AC79" s="150">
        <v>3189</v>
      </c>
      <c r="AD79" s="64">
        <v>4334</v>
      </c>
      <c r="AE79" s="67">
        <v>0</v>
      </c>
      <c r="AF79" s="117">
        <v>0</v>
      </c>
      <c r="AG79" s="68">
        <v>7511</v>
      </c>
      <c r="AH79" s="116">
        <v>47</v>
      </c>
      <c r="AI79" s="67">
        <v>11</v>
      </c>
      <c r="AJ79" s="67">
        <v>35</v>
      </c>
      <c r="AK79" s="67">
        <v>3</v>
      </c>
      <c r="AL79" s="67">
        <v>4</v>
      </c>
      <c r="AM79" s="67">
        <v>4</v>
      </c>
      <c r="AN79" s="67">
        <v>7</v>
      </c>
      <c r="AO79" s="94">
        <v>5</v>
      </c>
      <c r="AP79" s="68">
        <v>824406</v>
      </c>
    </row>
    <row r="80" spans="1:42" x14ac:dyDescent="0.25">
      <c r="A80" s="330" t="s">
        <v>104</v>
      </c>
      <c r="B80" s="191">
        <f t="shared" si="35"/>
        <v>193417.82401185945</v>
      </c>
      <c r="C80" s="104">
        <f t="shared" si="36"/>
        <v>483900</v>
      </c>
      <c r="D80" s="104">
        <f t="shared" si="37"/>
        <v>35453</v>
      </c>
      <c r="E80" s="104">
        <f t="shared" si="38"/>
        <v>141645</v>
      </c>
      <c r="F80" s="104">
        <f t="shared" si="39"/>
        <v>115430.00000000001</v>
      </c>
      <c r="G80" s="165">
        <f t="shared" si="40"/>
        <v>127330.00000000001</v>
      </c>
      <c r="H80" s="185">
        <f t="shared" si="41"/>
        <v>2.4285714285714285E-2</v>
      </c>
      <c r="I80" s="68">
        <v>300000</v>
      </c>
      <c r="J80" s="175">
        <v>0</v>
      </c>
      <c r="K80" s="64">
        <v>300000</v>
      </c>
      <c r="L80" s="169">
        <v>0</v>
      </c>
      <c r="M80" s="116">
        <v>1</v>
      </c>
      <c r="N80" s="67">
        <v>10</v>
      </c>
      <c r="O80" s="67"/>
      <c r="P80" s="67"/>
      <c r="Q80" s="67"/>
      <c r="R80" s="67"/>
      <c r="S80" s="67"/>
      <c r="T80" s="67"/>
      <c r="U80" s="67"/>
      <c r="V80" s="67"/>
      <c r="W80" s="67"/>
      <c r="X80" s="117"/>
      <c r="Y80" s="116">
        <v>0</v>
      </c>
      <c r="Z80" s="67">
        <v>35</v>
      </c>
      <c r="AA80" s="67">
        <v>0</v>
      </c>
      <c r="AB80" s="117">
        <v>0</v>
      </c>
      <c r="AC80" s="116"/>
      <c r="AD80" s="67">
        <v>850</v>
      </c>
      <c r="AE80" s="67"/>
      <c r="AF80" s="117"/>
      <c r="AG80" s="103">
        <v>850</v>
      </c>
      <c r="AH80" s="116">
        <v>4</v>
      </c>
      <c r="AI80" s="67"/>
      <c r="AJ80" s="67"/>
      <c r="AK80" s="67"/>
      <c r="AL80" s="67"/>
      <c r="AM80" s="67"/>
      <c r="AN80" s="67"/>
      <c r="AO80" s="94">
        <v>1</v>
      </c>
      <c r="AP80" s="68">
        <v>127415</v>
      </c>
    </row>
    <row r="81" spans="1:42" x14ac:dyDescent="0.25">
      <c r="A81" s="331" t="s">
        <v>127</v>
      </c>
      <c r="B81" s="192"/>
      <c r="C81" s="193"/>
      <c r="D81" s="193"/>
      <c r="E81" s="193"/>
      <c r="F81" s="193"/>
      <c r="G81" s="194"/>
      <c r="H81" s="186"/>
      <c r="I81" s="101"/>
      <c r="J81" s="176"/>
      <c r="K81" s="99"/>
      <c r="L81" s="171"/>
      <c r="M81" s="122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123"/>
      <c r="Y81" s="122"/>
      <c r="Z81" s="98"/>
      <c r="AA81" s="98"/>
      <c r="AB81" s="123"/>
      <c r="AC81" s="122"/>
      <c r="AD81" s="98"/>
      <c r="AE81" s="98"/>
      <c r="AF81" s="123"/>
      <c r="AG81" s="108"/>
      <c r="AH81" s="122"/>
      <c r="AI81" s="98"/>
      <c r="AJ81" s="98"/>
      <c r="AK81" s="98"/>
      <c r="AL81" s="98"/>
      <c r="AM81" s="98"/>
      <c r="AN81" s="98"/>
      <c r="AO81" s="100"/>
      <c r="AP81" s="101"/>
    </row>
    <row r="82" spans="1:42" x14ac:dyDescent="0.25">
      <c r="A82" s="330" t="s">
        <v>105</v>
      </c>
      <c r="B82" s="191">
        <f t="shared" ref="B82:B95" si="42">1.518*I82^0.9321</f>
        <v>151255.16103541639</v>
      </c>
      <c r="C82" s="104">
        <f t="shared" ref="C82:C95" si="43">0.748*J82+1.613*K82+1.774*L82</f>
        <v>407262.50199999998</v>
      </c>
      <c r="D82" s="104">
        <f t="shared" ref="D82:D95" si="44">35453*M82+56469*O82+144773*Q82+178851*(S82+U82)+440*X82</f>
        <v>0</v>
      </c>
      <c r="E82" s="104">
        <f t="shared" ref="E82:E95" si="45">4047*(Y82+Z82)+85370*(AA82+AB82)</f>
        <v>384465</v>
      </c>
      <c r="F82" s="104">
        <f t="shared" ref="F82:F95" si="46">135.8*(AC82+AD82)+430.2*AE82+1208.1*AF82</f>
        <v>102529.00000000001</v>
      </c>
      <c r="G82" s="165">
        <f t="shared" ref="G82:G95" si="47">149.8*AG82</f>
        <v>106657.60000000001</v>
      </c>
      <c r="H82" s="185">
        <f t="shared" ref="H82:H95" si="48">AG82/(SUM(Y82:AB82)*1000)</f>
        <v>7.4947368421052632E-3</v>
      </c>
      <c r="I82" s="68">
        <v>230439</v>
      </c>
      <c r="J82" s="175">
        <v>0</v>
      </c>
      <c r="K82" s="79">
        <v>0</v>
      </c>
      <c r="L82" s="166">
        <v>229573</v>
      </c>
      <c r="M82" s="124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5"/>
      <c r="Y82" s="124">
        <v>84</v>
      </c>
      <c r="Z82" s="66">
        <v>11</v>
      </c>
      <c r="AA82" s="66">
        <v>0</v>
      </c>
      <c r="AB82" s="125">
        <v>0</v>
      </c>
      <c r="AC82" s="124">
        <v>226</v>
      </c>
      <c r="AD82" s="66">
        <v>529</v>
      </c>
      <c r="AE82" s="66"/>
      <c r="AF82" s="117"/>
      <c r="AG82" s="103">
        <v>712</v>
      </c>
      <c r="AH82" s="116">
        <v>9</v>
      </c>
      <c r="AI82" s="67">
        <v>3</v>
      </c>
      <c r="AJ82" s="67">
        <v>4</v>
      </c>
      <c r="AK82" s="67">
        <v>1</v>
      </c>
      <c r="AL82" s="67">
        <v>1</v>
      </c>
      <c r="AM82" s="67">
        <v>1</v>
      </c>
      <c r="AN82" s="67">
        <v>1</v>
      </c>
      <c r="AO82" s="94">
        <v>1</v>
      </c>
      <c r="AP82" s="68">
        <v>121092</v>
      </c>
    </row>
    <row r="83" spans="1:42" x14ac:dyDescent="0.25">
      <c r="A83" s="330" t="s">
        <v>131</v>
      </c>
      <c r="B83" s="191">
        <f t="shared" si="42"/>
        <v>222379.08150244784</v>
      </c>
      <c r="C83" s="104">
        <f t="shared" si="43"/>
        <v>515155.10100000002</v>
      </c>
      <c r="D83" s="104">
        <f t="shared" si="44"/>
        <v>0</v>
      </c>
      <c r="E83" s="104">
        <f t="shared" si="45"/>
        <v>369491.1</v>
      </c>
      <c r="F83" s="104">
        <f t="shared" si="46"/>
        <v>368018.00000000006</v>
      </c>
      <c r="G83" s="165">
        <f t="shared" si="47"/>
        <v>405209.00000000006</v>
      </c>
      <c r="H83" s="185">
        <f t="shared" si="48"/>
        <v>2.9627601314348301E-2</v>
      </c>
      <c r="I83" s="72">
        <v>348444</v>
      </c>
      <c r="J83" s="177"/>
      <c r="K83" s="87">
        <v>319377</v>
      </c>
      <c r="L83" s="166"/>
      <c r="M83" s="124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5"/>
      <c r="Y83" s="130">
        <v>22.8</v>
      </c>
      <c r="Z83" s="59">
        <v>68.5</v>
      </c>
      <c r="AA83" s="59"/>
      <c r="AB83" s="131"/>
      <c r="AC83" s="130">
        <v>152</v>
      </c>
      <c r="AD83" s="87">
        <v>2558</v>
      </c>
      <c r="AE83" s="66"/>
      <c r="AF83" s="125"/>
      <c r="AG83" s="72">
        <v>2705</v>
      </c>
      <c r="AH83" s="8">
        <v>10</v>
      </c>
      <c r="AI83" s="9"/>
      <c r="AJ83" s="9">
        <v>3</v>
      </c>
      <c r="AK83" s="9">
        <v>1</v>
      </c>
      <c r="AL83" s="9">
        <v>1</v>
      </c>
      <c r="AM83" s="9">
        <v>1</v>
      </c>
      <c r="AN83" s="9">
        <v>2</v>
      </c>
      <c r="AO83" s="69">
        <v>2</v>
      </c>
      <c r="AP83" s="72">
        <v>182804</v>
      </c>
    </row>
    <row r="84" spans="1:42" x14ac:dyDescent="0.25">
      <c r="A84" s="330" t="s">
        <v>106</v>
      </c>
      <c r="B84" s="191">
        <f t="shared" si="42"/>
        <v>181869.63365314592</v>
      </c>
      <c r="C84" s="104">
        <f t="shared" si="43"/>
        <v>452972.33799999999</v>
      </c>
      <c r="D84" s="104">
        <f t="shared" si="44"/>
        <v>35453</v>
      </c>
      <c r="E84" s="104">
        <f t="shared" si="45"/>
        <v>129504</v>
      </c>
      <c r="F84" s="104">
        <f t="shared" si="46"/>
        <v>183737.40000000002</v>
      </c>
      <c r="G84" s="165">
        <f t="shared" si="47"/>
        <v>207622.80000000002</v>
      </c>
      <c r="H84" s="185">
        <f t="shared" si="48"/>
        <v>4.3312499999999997E-2</v>
      </c>
      <c r="I84" s="68">
        <v>280826</v>
      </c>
      <c r="J84" s="175">
        <v>0</v>
      </c>
      <c r="K84" s="79">
        <v>280826</v>
      </c>
      <c r="L84" s="166">
        <v>0</v>
      </c>
      <c r="M84" s="124">
        <v>1</v>
      </c>
      <c r="N84" s="66">
        <v>25</v>
      </c>
      <c r="O84" s="66"/>
      <c r="P84" s="66"/>
      <c r="Q84" s="66"/>
      <c r="R84" s="66"/>
      <c r="S84" s="66"/>
      <c r="T84" s="66"/>
      <c r="U84" s="66"/>
      <c r="V84" s="66"/>
      <c r="W84" s="66"/>
      <c r="X84" s="125"/>
      <c r="Y84" s="124">
        <v>0</v>
      </c>
      <c r="Z84" s="66">
        <v>32</v>
      </c>
      <c r="AA84" s="66">
        <v>0</v>
      </c>
      <c r="AB84" s="125">
        <v>0</v>
      </c>
      <c r="AC84" s="124"/>
      <c r="AD84" s="96">
        <v>1353</v>
      </c>
      <c r="AE84" s="66"/>
      <c r="AF84" s="117"/>
      <c r="AG84" s="68">
        <v>1386</v>
      </c>
      <c r="AH84" s="116">
        <v>6</v>
      </c>
      <c r="AI84" s="67">
        <v>0</v>
      </c>
      <c r="AJ84" s="67">
        <v>4</v>
      </c>
      <c r="AK84" s="67">
        <v>1</v>
      </c>
      <c r="AL84" s="67">
        <v>1</v>
      </c>
      <c r="AM84" s="67">
        <v>1</v>
      </c>
      <c r="AN84" s="67">
        <v>0</v>
      </c>
      <c r="AO84" s="94">
        <v>1</v>
      </c>
      <c r="AP84" s="68">
        <v>130651</v>
      </c>
    </row>
    <row r="85" spans="1:42" x14ac:dyDescent="0.25">
      <c r="A85" s="330" t="s">
        <v>108</v>
      </c>
      <c r="B85" s="191">
        <f t="shared" si="42"/>
        <v>280091.46618174901</v>
      </c>
      <c r="C85" s="104">
        <f t="shared" si="43"/>
        <v>708736.07</v>
      </c>
      <c r="D85" s="104">
        <f t="shared" si="44"/>
        <v>178851</v>
      </c>
      <c r="E85" s="104">
        <f t="shared" si="45"/>
        <v>319713</v>
      </c>
      <c r="F85" s="104">
        <f t="shared" si="46"/>
        <v>496349.00000000006</v>
      </c>
      <c r="G85" s="165">
        <f t="shared" si="47"/>
        <v>605042.20000000007</v>
      </c>
      <c r="H85" s="185">
        <f t="shared" si="48"/>
        <v>5.1126582278481013E-2</v>
      </c>
      <c r="I85" s="68">
        <v>446312</v>
      </c>
      <c r="J85" s="175">
        <v>0</v>
      </c>
      <c r="K85" s="79">
        <v>439390</v>
      </c>
      <c r="L85" s="166">
        <v>0</v>
      </c>
      <c r="M85" s="124"/>
      <c r="N85" s="66"/>
      <c r="O85" s="66"/>
      <c r="P85" s="66"/>
      <c r="Q85" s="66"/>
      <c r="R85" s="66"/>
      <c r="S85" s="66">
        <v>1</v>
      </c>
      <c r="T85" s="66">
        <v>120</v>
      </c>
      <c r="U85" s="66"/>
      <c r="V85" s="66"/>
      <c r="W85" s="66"/>
      <c r="X85" s="125"/>
      <c r="Y85" s="124">
        <v>9</v>
      </c>
      <c r="Z85" s="66">
        <v>70</v>
      </c>
      <c r="AA85" s="66">
        <v>0</v>
      </c>
      <c r="AB85" s="125">
        <v>0</v>
      </c>
      <c r="AC85" s="124">
        <v>60</v>
      </c>
      <c r="AD85" s="96">
        <v>3595</v>
      </c>
      <c r="AE85" s="66"/>
      <c r="AF85" s="117"/>
      <c r="AG85" s="68">
        <v>4039</v>
      </c>
      <c r="AH85" s="116">
        <v>9</v>
      </c>
      <c r="AI85" s="67">
        <v>15</v>
      </c>
      <c r="AJ85" s="67">
        <v>7</v>
      </c>
      <c r="AK85" s="67">
        <v>1</v>
      </c>
      <c r="AL85" s="67">
        <v>1</v>
      </c>
      <c r="AM85" s="67">
        <v>2</v>
      </c>
      <c r="AN85" s="67">
        <v>2</v>
      </c>
      <c r="AO85" s="94">
        <v>2</v>
      </c>
      <c r="AP85" s="68">
        <v>168941</v>
      </c>
    </row>
    <row r="86" spans="1:42" x14ac:dyDescent="0.25">
      <c r="A86" s="330" t="s">
        <v>134</v>
      </c>
      <c r="B86" s="191">
        <f t="shared" si="42"/>
        <v>529391.19809171022</v>
      </c>
      <c r="C86" s="104">
        <f t="shared" si="43"/>
        <v>1015012.51</v>
      </c>
      <c r="D86" s="104">
        <f t="shared" si="44"/>
        <v>183844</v>
      </c>
      <c r="E86" s="104">
        <f t="shared" si="45"/>
        <v>1282057.7</v>
      </c>
      <c r="F86" s="104">
        <f t="shared" si="46"/>
        <v>786966.40000000014</v>
      </c>
      <c r="G86" s="165">
        <f t="shared" si="47"/>
        <v>769372.8</v>
      </c>
      <c r="H86" s="185">
        <f t="shared" si="48"/>
        <v>2.4192180876118703E-2</v>
      </c>
      <c r="I86" s="72">
        <v>883600</v>
      </c>
      <c r="J86" s="177"/>
      <c r="K86" s="105">
        <v>629270</v>
      </c>
      <c r="L86" s="166"/>
      <c r="M86" s="130">
        <v>2</v>
      </c>
      <c r="N86" s="59">
        <v>37</v>
      </c>
      <c r="O86" s="59">
        <v>2</v>
      </c>
      <c r="P86" s="59">
        <v>120</v>
      </c>
      <c r="Q86" s="66"/>
      <c r="R86" s="66"/>
      <c r="S86" s="66"/>
      <c r="T86" s="66"/>
      <c r="U86" s="66"/>
      <c r="V86" s="66"/>
      <c r="W86" s="66"/>
      <c r="X86" s="125"/>
      <c r="Y86" s="124">
        <v>119.1</v>
      </c>
      <c r="Z86" s="66">
        <v>88</v>
      </c>
      <c r="AA86" s="66">
        <v>5.2</v>
      </c>
      <c r="AB86" s="125"/>
      <c r="AC86" s="151">
        <v>1720</v>
      </c>
      <c r="AD86" s="87">
        <v>3112</v>
      </c>
      <c r="AE86" s="59">
        <v>304</v>
      </c>
      <c r="AF86" s="125"/>
      <c r="AG86" s="72">
        <v>5136</v>
      </c>
      <c r="AH86" s="8">
        <v>17</v>
      </c>
      <c r="AI86" s="9">
        <v>3</v>
      </c>
      <c r="AJ86" s="9">
        <v>10</v>
      </c>
      <c r="AK86" s="9">
        <v>2</v>
      </c>
      <c r="AL86" s="9">
        <v>2</v>
      </c>
      <c r="AM86" s="9">
        <v>1</v>
      </c>
      <c r="AN86" s="9">
        <v>2</v>
      </c>
      <c r="AO86" s="69">
        <v>2</v>
      </c>
      <c r="AP86" s="72">
        <v>406672</v>
      </c>
    </row>
    <row r="87" spans="1:42" x14ac:dyDescent="0.25">
      <c r="A87" s="330" t="s">
        <v>109</v>
      </c>
      <c r="B87" s="191">
        <f t="shared" si="42"/>
        <v>201215.24817864806</v>
      </c>
      <c r="C87" s="104">
        <f t="shared" si="43"/>
        <v>539421.95400000003</v>
      </c>
      <c r="D87" s="104">
        <f t="shared" si="44"/>
        <v>0</v>
      </c>
      <c r="E87" s="104">
        <f t="shared" si="45"/>
        <v>287337</v>
      </c>
      <c r="F87" s="104">
        <f t="shared" si="46"/>
        <v>287081.2</v>
      </c>
      <c r="G87" s="165">
        <f t="shared" si="47"/>
        <v>328661.2</v>
      </c>
      <c r="H87" s="185">
        <f t="shared" si="48"/>
        <v>3.0901408450704226E-2</v>
      </c>
      <c r="I87" s="68">
        <v>312994</v>
      </c>
      <c r="J87" s="175">
        <v>0</v>
      </c>
      <c r="K87" s="79">
        <v>0</v>
      </c>
      <c r="L87" s="166">
        <v>304071</v>
      </c>
      <c r="M87" s="124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125">
        <v>0</v>
      </c>
      <c r="Y87" s="124">
        <v>15</v>
      </c>
      <c r="Z87" s="66">
        <v>56</v>
      </c>
      <c r="AA87" s="66">
        <v>0</v>
      </c>
      <c r="AB87" s="125">
        <v>0</v>
      </c>
      <c r="AC87" s="124">
        <v>110</v>
      </c>
      <c r="AD87" s="96">
        <v>2004</v>
      </c>
      <c r="AE87" s="66">
        <v>0</v>
      </c>
      <c r="AF87" s="117">
        <v>0</v>
      </c>
      <c r="AG87" s="68">
        <v>2194</v>
      </c>
      <c r="AH87" s="116">
        <v>9</v>
      </c>
      <c r="AI87" s="67">
        <v>1</v>
      </c>
      <c r="AJ87" s="67">
        <v>4</v>
      </c>
      <c r="AK87" s="67">
        <v>1</v>
      </c>
      <c r="AL87" s="67">
        <v>1</v>
      </c>
      <c r="AM87" s="67">
        <v>1</v>
      </c>
      <c r="AN87" s="67">
        <v>1</v>
      </c>
      <c r="AO87" s="94">
        <v>1</v>
      </c>
      <c r="AP87" s="68">
        <v>123600</v>
      </c>
    </row>
    <row r="88" spans="1:42" x14ac:dyDescent="0.25">
      <c r="A88" s="330" t="s">
        <v>110</v>
      </c>
      <c r="B88" s="191">
        <f t="shared" si="42"/>
        <v>231157.03425575705</v>
      </c>
      <c r="C88" s="104">
        <f t="shared" si="43"/>
        <v>586975.79799999995</v>
      </c>
      <c r="D88" s="104">
        <f t="shared" si="44"/>
        <v>0</v>
      </c>
      <c r="E88" s="104">
        <f t="shared" si="45"/>
        <v>485640</v>
      </c>
      <c r="F88" s="104">
        <f t="shared" si="46"/>
        <v>432523.00000000006</v>
      </c>
      <c r="G88" s="165">
        <f t="shared" si="47"/>
        <v>477113.00000000006</v>
      </c>
      <c r="H88" s="185">
        <f t="shared" si="48"/>
        <v>2.6541666666666668E-2</v>
      </c>
      <c r="I88" s="95">
        <v>363221</v>
      </c>
      <c r="J88" s="175">
        <v>0</v>
      </c>
      <c r="K88" s="79">
        <v>0</v>
      </c>
      <c r="L88" s="166">
        <v>330877</v>
      </c>
      <c r="M88" s="124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5"/>
      <c r="Y88" s="124">
        <v>120</v>
      </c>
      <c r="Z88" s="66">
        <v>0</v>
      </c>
      <c r="AA88" s="66">
        <v>0</v>
      </c>
      <c r="AB88" s="125">
        <v>0</v>
      </c>
      <c r="AC88" s="150">
        <v>3185</v>
      </c>
      <c r="AD88" s="66"/>
      <c r="AE88" s="66"/>
      <c r="AF88" s="117"/>
      <c r="AG88" s="68">
        <v>3185</v>
      </c>
      <c r="AH88" s="116">
        <v>8</v>
      </c>
      <c r="AI88" s="67">
        <v>5</v>
      </c>
      <c r="AJ88" s="67">
        <v>1</v>
      </c>
      <c r="AK88" s="67">
        <v>2</v>
      </c>
      <c r="AL88" s="67">
        <v>1</v>
      </c>
      <c r="AM88" s="67">
        <v>1</v>
      </c>
      <c r="AN88" s="67"/>
      <c r="AO88" s="94">
        <v>8</v>
      </c>
      <c r="AP88" s="68">
        <v>219881</v>
      </c>
    </row>
    <row r="89" spans="1:42" x14ac:dyDescent="0.25">
      <c r="A89" s="330" t="s">
        <v>111</v>
      </c>
      <c r="B89" s="191">
        <f t="shared" si="42"/>
        <v>360386.53053526999</v>
      </c>
      <c r="C89" s="104">
        <f t="shared" si="43"/>
        <v>933260.83100000001</v>
      </c>
      <c r="D89" s="104">
        <f t="shared" si="44"/>
        <v>0</v>
      </c>
      <c r="E89" s="104">
        <f t="shared" si="45"/>
        <v>809400</v>
      </c>
      <c r="F89" s="104">
        <f t="shared" si="46"/>
        <v>368697.00000000006</v>
      </c>
      <c r="G89" s="165">
        <f t="shared" si="47"/>
        <v>406707.00000000006</v>
      </c>
      <c r="H89" s="185">
        <f t="shared" si="48"/>
        <v>1.3575E-2</v>
      </c>
      <c r="I89" s="95">
        <v>584900</v>
      </c>
      <c r="J89" s="175">
        <v>0</v>
      </c>
      <c r="K89" s="79">
        <v>578587</v>
      </c>
      <c r="L89" s="166">
        <v>0</v>
      </c>
      <c r="M89" s="124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125">
        <v>0</v>
      </c>
      <c r="Y89" s="124">
        <v>155</v>
      </c>
      <c r="Z89" s="66">
        <v>45</v>
      </c>
      <c r="AA89" s="66">
        <v>0</v>
      </c>
      <c r="AB89" s="125">
        <v>0</v>
      </c>
      <c r="AC89" s="124">
        <v>629</v>
      </c>
      <c r="AD89" s="96">
        <v>2086</v>
      </c>
      <c r="AE89" s="66">
        <v>0</v>
      </c>
      <c r="AF89" s="117">
        <v>0</v>
      </c>
      <c r="AG89" s="68">
        <v>2715</v>
      </c>
      <c r="AH89" s="116">
        <v>10</v>
      </c>
      <c r="AI89" s="67">
        <v>0</v>
      </c>
      <c r="AJ89" s="67">
        <v>4</v>
      </c>
      <c r="AK89" s="67">
        <v>0</v>
      </c>
      <c r="AL89" s="67">
        <v>2</v>
      </c>
      <c r="AM89" s="67">
        <v>2</v>
      </c>
      <c r="AN89" s="67">
        <v>2</v>
      </c>
      <c r="AO89" s="94">
        <v>0</v>
      </c>
      <c r="AP89" s="68">
        <v>244224</v>
      </c>
    </row>
    <row r="90" spans="1:42" x14ac:dyDescent="0.25">
      <c r="A90" s="330" t="s">
        <v>113</v>
      </c>
      <c r="B90" s="191">
        <f t="shared" si="42"/>
        <v>3512.1717851650974</v>
      </c>
      <c r="C90" s="104">
        <f t="shared" si="43"/>
        <v>6477.808</v>
      </c>
      <c r="D90" s="104">
        <f t="shared" si="44"/>
        <v>0</v>
      </c>
      <c r="E90" s="104">
        <f t="shared" si="45"/>
        <v>12141</v>
      </c>
      <c r="F90" s="104">
        <f t="shared" si="46"/>
        <v>4074.0000000000005</v>
      </c>
      <c r="G90" s="165">
        <f t="shared" si="47"/>
        <v>4494</v>
      </c>
      <c r="H90" s="185">
        <f t="shared" si="48"/>
        <v>0.01</v>
      </c>
      <c r="I90" s="95">
        <v>4068</v>
      </c>
      <c r="J90" s="175">
        <v>0</v>
      </c>
      <c r="K90" s="79">
        <v>4016</v>
      </c>
      <c r="L90" s="166">
        <v>0</v>
      </c>
      <c r="M90" s="124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125">
        <v>0</v>
      </c>
      <c r="Y90" s="124">
        <v>3</v>
      </c>
      <c r="Z90" s="66">
        <v>0</v>
      </c>
      <c r="AA90" s="66">
        <v>0</v>
      </c>
      <c r="AB90" s="125">
        <v>0</v>
      </c>
      <c r="AC90" s="124">
        <v>30</v>
      </c>
      <c r="AD90" s="66">
        <v>0</v>
      </c>
      <c r="AE90" s="66">
        <v>0</v>
      </c>
      <c r="AF90" s="117">
        <v>0</v>
      </c>
      <c r="AG90" s="103">
        <v>30</v>
      </c>
      <c r="AH90" s="116">
        <v>2</v>
      </c>
      <c r="AI90" s="67">
        <v>1</v>
      </c>
      <c r="AJ90" s="67">
        <v>1</v>
      </c>
      <c r="AK90" s="67">
        <v>1</v>
      </c>
      <c r="AL90" s="67">
        <v>0</v>
      </c>
      <c r="AM90" s="67">
        <v>0</v>
      </c>
      <c r="AN90" s="67">
        <v>0</v>
      </c>
      <c r="AO90" s="94">
        <v>0</v>
      </c>
      <c r="AP90" s="68">
        <v>2975</v>
      </c>
    </row>
    <row r="91" spans="1:42" x14ac:dyDescent="0.25">
      <c r="A91" s="330" t="s">
        <v>114</v>
      </c>
      <c r="B91" s="191">
        <f t="shared" si="42"/>
        <v>2008605.1692349645</v>
      </c>
      <c r="C91" s="104">
        <f t="shared" si="43"/>
        <v>5989045.7439999999</v>
      </c>
      <c r="D91" s="104">
        <f t="shared" si="44"/>
        <v>813483</v>
      </c>
      <c r="E91" s="104">
        <f t="shared" si="45"/>
        <v>4609533</v>
      </c>
      <c r="F91" s="104">
        <f t="shared" si="46"/>
        <v>2592422</v>
      </c>
      <c r="G91" s="165">
        <f t="shared" si="47"/>
        <v>3279122.0000000005</v>
      </c>
      <c r="H91" s="185">
        <f t="shared" si="48"/>
        <v>1.9218612818261632E-2</v>
      </c>
      <c r="I91" s="95">
        <v>3694538</v>
      </c>
      <c r="J91" s="175">
        <v>0</v>
      </c>
      <c r="K91" s="79">
        <v>2011614</v>
      </c>
      <c r="L91" s="166">
        <v>1546963</v>
      </c>
      <c r="M91" s="124">
        <v>10</v>
      </c>
      <c r="N91" s="66">
        <v>280</v>
      </c>
      <c r="O91" s="66">
        <v>3</v>
      </c>
      <c r="P91" s="66">
        <v>230</v>
      </c>
      <c r="Q91" s="66">
        <v>2</v>
      </c>
      <c r="R91" s="66">
        <v>270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125">
        <v>0</v>
      </c>
      <c r="Y91" s="124">
        <v>918</v>
      </c>
      <c r="Z91" s="66">
        <v>221</v>
      </c>
      <c r="AA91" s="66">
        <v>0</v>
      </c>
      <c r="AB91" s="125">
        <v>0</v>
      </c>
      <c r="AC91" s="150">
        <v>10389</v>
      </c>
      <c r="AD91" s="96">
        <v>8701</v>
      </c>
      <c r="AE91" s="66">
        <v>0</v>
      </c>
      <c r="AF91" s="117">
        <v>0</v>
      </c>
      <c r="AG91" s="68">
        <v>21890</v>
      </c>
      <c r="AH91" s="116">
        <v>89</v>
      </c>
      <c r="AI91" s="67">
        <v>18</v>
      </c>
      <c r="AJ91" s="67">
        <v>49</v>
      </c>
      <c r="AK91" s="67">
        <v>7</v>
      </c>
      <c r="AL91" s="67">
        <v>7</v>
      </c>
      <c r="AM91" s="67">
        <v>7</v>
      </c>
      <c r="AN91" s="67">
        <v>11</v>
      </c>
      <c r="AO91" s="94">
        <v>8</v>
      </c>
      <c r="AP91" s="68">
        <v>1706564</v>
      </c>
    </row>
    <row r="92" spans="1:42" x14ac:dyDescent="0.25">
      <c r="A92" s="330" t="s">
        <v>117</v>
      </c>
      <c r="B92" s="191">
        <f t="shared" si="42"/>
        <v>175192.68144129872</v>
      </c>
      <c r="C92" s="104">
        <f t="shared" si="43"/>
        <v>417668.60700000002</v>
      </c>
      <c r="D92" s="104">
        <f t="shared" si="44"/>
        <v>112938</v>
      </c>
      <c r="E92" s="104">
        <f t="shared" si="45"/>
        <v>326511.96000000002</v>
      </c>
      <c r="F92" s="104">
        <f t="shared" si="46"/>
        <v>188897.80000000002</v>
      </c>
      <c r="G92" s="165">
        <f t="shared" si="47"/>
        <v>240279.2</v>
      </c>
      <c r="H92" s="185">
        <f t="shared" si="48"/>
        <v>1.9881011403073873E-2</v>
      </c>
      <c r="I92" s="68">
        <v>269780</v>
      </c>
      <c r="J92" s="175">
        <v>0</v>
      </c>
      <c r="K92" s="79">
        <v>258939</v>
      </c>
      <c r="L92" s="166">
        <v>0</v>
      </c>
      <c r="M92" s="124"/>
      <c r="N92" s="66"/>
      <c r="O92" s="66">
        <v>2</v>
      </c>
      <c r="P92" s="66">
        <v>100</v>
      </c>
      <c r="Q92" s="66"/>
      <c r="R92" s="66"/>
      <c r="S92" s="66"/>
      <c r="T92" s="66"/>
      <c r="U92" s="66"/>
      <c r="V92" s="66"/>
      <c r="W92" s="66"/>
      <c r="X92" s="125"/>
      <c r="Y92" s="124">
        <v>41.16</v>
      </c>
      <c r="Z92" s="66">
        <v>39.520000000000003</v>
      </c>
      <c r="AA92" s="66">
        <v>0</v>
      </c>
      <c r="AB92" s="125">
        <v>0</v>
      </c>
      <c r="AC92" s="124">
        <v>141</v>
      </c>
      <c r="AD92" s="96">
        <v>1250</v>
      </c>
      <c r="AE92" s="66"/>
      <c r="AF92" s="117"/>
      <c r="AG92" s="68">
        <v>1604</v>
      </c>
      <c r="AH92" s="116">
        <v>13</v>
      </c>
      <c r="AI92" s="67">
        <v>5</v>
      </c>
      <c r="AJ92" s="67">
        <v>4</v>
      </c>
      <c r="AK92" s="67">
        <v>2</v>
      </c>
      <c r="AL92" s="67">
        <v>2</v>
      </c>
      <c r="AM92" s="67">
        <v>1</v>
      </c>
      <c r="AN92" s="67">
        <v>2</v>
      </c>
      <c r="AO92" s="94"/>
      <c r="AP92" s="68">
        <v>160382</v>
      </c>
    </row>
    <row r="93" spans="1:42" x14ac:dyDescent="0.25">
      <c r="A93" s="330" t="s">
        <v>118</v>
      </c>
      <c r="B93" s="191">
        <f t="shared" si="42"/>
        <v>137421.79709501195</v>
      </c>
      <c r="C93" s="104">
        <f t="shared" si="43"/>
        <v>335352.37800000003</v>
      </c>
      <c r="D93" s="104">
        <f t="shared" si="44"/>
        <v>106359</v>
      </c>
      <c r="E93" s="104">
        <f t="shared" si="45"/>
        <v>331854</v>
      </c>
      <c r="F93" s="104">
        <f t="shared" si="46"/>
        <v>119504.00000000001</v>
      </c>
      <c r="G93" s="165">
        <f t="shared" si="47"/>
        <v>134820</v>
      </c>
      <c r="H93" s="185">
        <f t="shared" si="48"/>
        <v>1.097560975609756E-2</v>
      </c>
      <c r="I93" s="68">
        <v>207906</v>
      </c>
      <c r="J93" s="175">
        <v>0</v>
      </c>
      <c r="K93" s="73">
        <v>207906</v>
      </c>
      <c r="L93" s="169">
        <v>0</v>
      </c>
      <c r="M93" s="116">
        <v>3</v>
      </c>
      <c r="N93" s="67">
        <v>60</v>
      </c>
      <c r="O93" s="67"/>
      <c r="P93" s="67"/>
      <c r="Q93" s="67"/>
      <c r="R93" s="67"/>
      <c r="S93" s="67"/>
      <c r="T93" s="67"/>
      <c r="U93" s="67"/>
      <c r="V93" s="67"/>
      <c r="W93" s="67"/>
      <c r="X93" s="125"/>
      <c r="Y93" s="124">
        <v>56</v>
      </c>
      <c r="Z93" s="66">
        <v>26</v>
      </c>
      <c r="AA93" s="66">
        <v>0</v>
      </c>
      <c r="AB93" s="125">
        <v>0</v>
      </c>
      <c r="AC93" s="116">
        <v>143</v>
      </c>
      <c r="AD93" s="67">
        <v>737</v>
      </c>
      <c r="AE93" s="67"/>
      <c r="AF93" s="117"/>
      <c r="AG93" s="103">
        <v>900</v>
      </c>
      <c r="AH93" s="116">
        <v>10</v>
      </c>
      <c r="AI93" s="67">
        <v>3</v>
      </c>
      <c r="AJ93" s="67">
        <v>2</v>
      </c>
      <c r="AK93" s="67">
        <v>3</v>
      </c>
      <c r="AL93" s="67"/>
      <c r="AM93" s="67">
        <v>1</v>
      </c>
      <c r="AN93" s="67"/>
      <c r="AO93" s="94">
        <v>1</v>
      </c>
      <c r="AP93" s="68">
        <v>107966</v>
      </c>
    </row>
    <row r="94" spans="1:42" x14ac:dyDescent="0.25">
      <c r="A94" s="330" t="s">
        <v>119</v>
      </c>
      <c r="B94" s="191">
        <f t="shared" si="42"/>
        <v>243118.59951937801</v>
      </c>
      <c r="C94" s="104">
        <f t="shared" si="43"/>
        <v>599105.299</v>
      </c>
      <c r="D94" s="104">
        <f t="shared" si="44"/>
        <v>212718</v>
      </c>
      <c r="E94" s="104">
        <f t="shared" si="45"/>
        <v>474389.33999999997</v>
      </c>
      <c r="F94" s="104">
        <f t="shared" si="46"/>
        <v>285994.80000000005</v>
      </c>
      <c r="G94" s="165">
        <f t="shared" si="47"/>
        <v>340195.80000000005</v>
      </c>
      <c r="H94" s="185">
        <f t="shared" si="48"/>
        <v>1.937382699198089E-2</v>
      </c>
      <c r="I94" s="68">
        <v>383423</v>
      </c>
      <c r="J94" s="175">
        <v>0</v>
      </c>
      <c r="K94" s="73">
        <v>371423</v>
      </c>
      <c r="L94" s="169">
        <v>0</v>
      </c>
      <c r="M94" s="116">
        <v>6</v>
      </c>
      <c r="N94" s="67">
        <v>152</v>
      </c>
      <c r="O94" s="67"/>
      <c r="P94" s="67"/>
      <c r="Q94" s="67"/>
      <c r="R94" s="67"/>
      <c r="S94" s="67"/>
      <c r="T94" s="67"/>
      <c r="U94" s="67"/>
      <c r="V94" s="67"/>
      <c r="W94" s="67"/>
      <c r="X94" s="125"/>
      <c r="Y94" s="124">
        <v>73.043000000000006</v>
      </c>
      <c r="Z94" s="66">
        <v>44.177</v>
      </c>
      <c r="AA94" s="66">
        <v>0</v>
      </c>
      <c r="AB94" s="125">
        <v>0</v>
      </c>
      <c r="AC94" s="116">
        <v>465</v>
      </c>
      <c r="AD94" s="64">
        <v>1641</v>
      </c>
      <c r="AE94" s="67"/>
      <c r="AF94" s="117"/>
      <c r="AG94" s="68">
        <v>2271</v>
      </c>
      <c r="AH94" s="116">
        <v>9</v>
      </c>
      <c r="AI94" s="67">
        <v>3</v>
      </c>
      <c r="AJ94" s="67">
        <v>3</v>
      </c>
      <c r="AK94" s="67">
        <v>1</v>
      </c>
      <c r="AL94" s="67">
        <v>1</v>
      </c>
      <c r="AM94" s="67">
        <v>1</v>
      </c>
      <c r="AN94" s="67">
        <v>4</v>
      </c>
      <c r="AO94" s="94">
        <v>2</v>
      </c>
      <c r="AP94" s="68">
        <v>291829</v>
      </c>
    </row>
    <row r="95" spans="1:42" x14ac:dyDescent="0.25">
      <c r="A95" s="330" t="s">
        <v>146</v>
      </c>
      <c r="B95" s="191">
        <f t="shared" si="42"/>
        <v>675769.53672220022</v>
      </c>
      <c r="C95" s="104">
        <f t="shared" si="43"/>
        <v>1823655.9269999999</v>
      </c>
      <c r="D95" s="104">
        <f t="shared" si="44"/>
        <v>361109</v>
      </c>
      <c r="E95" s="104">
        <f t="shared" si="45"/>
        <v>2237004.2000000002</v>
      </c>
      <c r="F95" s="104">
        <f t="shared" si="46"/>
        <v>565353.60000000009</v>
      </c>
      <c r="G95" s="165">
        <f t="shared" si="47"/>
        <v>898350.60000000009</v>
      </c>
      <c r="H95" s="185">
        <f t="shared" si="48"/>
        <v>2.9820984584783689E-2</v>
      </c>
      <c r="I95" s="72">
        <v>1148156</v>
      </c>
      <c r="J95" s="177"/>
      <c r="K95" s="79">
        <v>1029119</v>
      </c>
      <c r="L95" s="163">
        <v>92270</v>
      </c>
      <c r="M95" s="8">
        <v>7</v>
      </c>
      <c r="N95" s="9">
        <v>129</v>
      </c>
      <c r="O95" s="9">
        <v>2</v>
      </c>
      <c r="P95" s="9">
        <v>170</v>
      </c>
      <c r="Q95" s="66"/>
      <c r="R95" s="66"/>
      <c r="S95" s="66"/>
      <c r="T95" s="66"/>
      <c r="U95" s="66"/>
      <c r="V95" s="66"/>
      <c r="W95" s="66"/>
      <c r="X95" s="125"/>
      <c r="Y95" s="124">
        <v>75.3</v>
      </c>
      <c r="Z95" s="66">
        <v>108.3</v>
      </c>
      <c r="AA95" s="66">
        <v>17.5</v>
      </c>
      <c r="AB95" s="125"/>
      <c r="AC95" s="8">
        <v>791</v>
      </c>
      <c r="AD95" s="88">
        <v>2596</v>
      </c>
      <c r="AE95" s="9">
        <v>245</v>
      </c>
      <c r="AF95" s="129"/>
      <c r="AG95" s="72">
        <v>5997</v>
      </c>
      <c r="AH95" s="8">
        <v>40</v>
      </c>
      <c r="AI95" s="9"/>
      <c r="AJ95" s="9">
        <v>20</v>
      </c>
      <c r="AK95" s="9">
        <v>5</v>
      </c>
      <c r="AL95" s="9">
        <v>5</v>
      </c>
      <c r="AM95" s="9">
        <v>5</v>
      </c>
      <c r="AN95" s="9">
        <v>5</v>
      </c>
      <c r="AO95" s="102"/>
      <c r="AP95" s="72">
        <v>605491</v>
      </c>
    </row>
    <row r="96" spans="1:42" x14ac:dyDescent="0.25">
      <c r="A96" s="331" t="s">
        <v>175</v>
      </c>
      <c r="B96" s="192"/>
      <c r="C96" s="193"/>
      <c r="D96" s="193"/>
      <c r="E96" s="193"/>
      <c r="F96" s="193"/>
      <c r="G96" s="194"/>
      <c r="H96" s="186"/>
      <c r="I96" s="93"/>
      <c r="J96" s="176"/>
      <c r="K96" s="107"/>
      <c r="L96" s="171"/>
      <c r="M96" s="132"/>
      <c r="N96" s="90"/>
      <c r="O96" s="98"/>
      <c r="P96" s="98"/>
      <c r="Q96" s="98"/>
      <c r="R96" s="98"/>
      <c r="S96" s="98"/>
      <c r="T96" s="98"/>
      <c r="U96" s="98"/>
      <c r="V96" s="98"/>
      <c r="W96" s="98"/>
      <c r="X96" s="123"/>
      <c r="Y96" s="122"/>
      <c r="Z96" s="98"/>
      <c r="AA96" s="98"/>
      <c r="AB96" s="123"/>
      <c r="AC96" s="152"/>
      <c r="AD96" s="91"/>
      <c r="AE96" s="90"/>
      <c r="AF96" s="133"/>
      <c r="AG96" s="93"/>
      <c r="AH96" s="132"/>
      <c r="AI96" s="90"/>
      <c r="AJ96" s="90"/>
      <c r="AK96" s="90"/>
      <c r="AL96" s="90"/>
      <c r="AM96" s="90"/>
      <c r="AN96" s="90"/>
      <c r="AO96" s="92"/>
      <c r="AP96" s="93"/>
    </row>
    <row r="97" spans="1:42" x14ac:dyDescent="0.25">
      <c r="A97" s="330" t="s">
        <v>120</v>
      </c>
      <c r="B97" s="191">
        <f t="shared" ref="B97:B108" si="49">1.518*I97^0.9321</f>
        <v>432295.98986444372</v>
      </c>
      <c r="C97" s="104">
        <f t="shared" ref="C97:C108" si="50">0.748*J97+1.613*K97+1.774*L97</f>
        <v>1083424.679</v>
      </c>
      <c r="D97" s="104">
        <f t="shared" ref="D97:D108" si="51">35453*M97+56469*O97+144773*Q97+178851*(S97+U97)+440*X97</f>
        <v>0</v>
      </c>
      <c r="E97" s="104">
        <f t="shared" ref="E97:E108" si="52">4047*(Y97+Z97)+85370*(AA97+AB97)</f>
        <v>214822.85399999996</v>
      </c>
      <c r="F97" s="104">
        <f t="shared" ref="F97:F108" si="53">135.8*(AC97+AD97)+430.2*AE97+1208.1*AF97</f>
        <v>218909.6</v>
      </c>
      <c r="G97" s="165">
        <f t="shared" ref="G97:G108" si="54">149.8*AG97</f>
        <v>243874.40000000002</v>
      </c>
      <c r="H97" s="185">
        <f t="shared" ref="H97:H108" si="55">AG97/(SUM(Y97:AB97)*1000)</f>
        <v>3.0669530160883165E-2</v>
      </c>
      <c r="I97" s="68">
        <v>710968</v>
      </c>
      <c r="J97" s="175">
        <v>0</v>
      </c>
      <c r="K97" s="79">
        <v>671683</v>
      </c>
      <c r="L97" s="166">
        <v>0</v>
      </c>
      <c r="M97" s="124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5"/>
      <c r="Y97" s="124">
        <v>22.620999999999999</v>
      </c>
      <c r="Z97" s="66">
        <v>30.460999999999999</v>
      </c>
      <c r="AA97" s="66">
        <v>0</v>
      </c>
      <c r="AB97" s="117">
        <v>0</v>
      </c>
      <c r="AC97" s="116">
        <v>118</v>
      </c>
      <c r="AD97" s="64">
        <v>1494</v>
      </c>
      <c r="AE97" s="67"/>
      <c r="AF97" s="117"/>
      <c r="AG97" s="68">
        <v>1628</v>
      </c>
      <c r="AH97" s="116">
        <v>10</v>
      </c>
      <c r="AI97" s="67">
        <v>11</v>
      </c>
      <c r="AJ97" s="67">
        <v>5</v>
      </c>
      <c r="AK97" s="67">
        <v>1</v>
      </c>
      <c r="AL97" s="67">
        <v>1</v>
      </c>
      <c r="AM97" s="67">
        <v>1</v>
      </c>
      <c r="AN97" s="67">
        <v>1</v>
      </c>
      <c r="AO97" s="94">
        <v>1</v>
      </c>
      <c r="AP97" s="68">
        <v>262218</v>
      </c>
    </row>
    <row r="98" spans="1:42" x14ac:dyDescent="0.25">
      <c r="A98" s="330" t="s">
        <v>121</v>
      </c>
      <c r="B98" s="191">
        <f t="shared" si="49"/>
        <v>183707.07461867237</v>
      </c>
      <c r="C98" s="104">
        <f t="shared" si="50"/>
        <v>447959.13400000002</v>
      </c>
      <c r="D98" s="104">
        <f t="shared" si="51"/>
        <v>56469</v>
      </c>
      <c r="E98" s="104">
        <f t="shared" si="52"/>
        <v>356136</v>
      </c>
      <c r="F98" s="104">
        <f t="shared" si="53"/>
        <v>240094.40000000002</v>
      </c>
      <c r="G98" s="165">
        <f t="shared" si="54"/>
        <v>269789.80000000005</v>
      </c>
      <c r="H98" s="185">
        <f t="shared" si="55"/>
        <v>2.046590909090909E-2</v>
      </c>
      <c r="I98" s="95">
        <v>283871</v>
      </c>
      <c r="J98" s="175">
        <v>0</v>
      </c>
      <c r="K98" s="79">
        <v>277718</v>
      </c>
      <c r="L98" s="166">
        <v>0</v>
      </c>
      <c r="M98" s="124"/>
      <c r="N98" s="66"/>
      <c r="O98" s="66">
        <v>1</v>
      </c>
      <c r="P98" s="66">
        <v>50</v>
      </c>
      <c r="Q98" s="66"/>
      <c r="R98" s="66"/>
      <c r="S98" s="66"/>
      <c r="T98" s="66"/>
      <c r="U98" s="66"/>
      <c r="V98" s="66"/>
      <c r="W98" s="66"/>
      <c r="X98" s="125"/>
      <c r="Y98" s="124">
        <v>46</v>
      </c>
      <c r="Z98" s="66">
        <v>42</v>
      </c>
      <c r="AA98" s="66">
        <v>0</v>
      </c>
      <c r="AB98" s="117">
        <v>0</v>
      </c>
      <c r="AC98" s="116">
        <v>174</v>
      </c>
      <c r="AD98" s="64">
        <v>1594</v>
      </c>
      <c r="AE98" s="67"/>
      <c r="AF98" s="117"/>
      <c r="AG98" s="68">
        <v>1801</v>
      </c>
      <c r="AH98" s="116">
        <v>8</v>
      </c>
      <c r="AI98" s="67"/>
      <c r="AJ98" s="67"/>
      <c r="AK98" s="67"/>
      <c r="AL98" s="67"/>
      <c r="AM98" s="67"/>
      <c r="AN98" s="67"/>
      <c r="AO98" s="94"/>
      <c r="AP98" s="68">
        <v>156144</v>
      </c>
    </row>
    <row r="99" spans="1:42" x14ac:dyDescent="0.25">
      <c r="A99" s="330" t="s">
        <v>147</v>
      </c>
      <c r="B99" s="191">
        <f t="shared" si="49"/>
        <v>450712.18546538375</v>
      </c>
      <c r="C99" s="104">
        <f t="shared" si="50"/>
        <v>1157061.355</v>
      </c>
      <c r="D99" s="104">
        <f t="shared" si="51"/>
        <v>70906</v>
      </c>
      <c r="E99" s="104">
        <f t="shared" si="52"/>
        <v>3146307.6999999993</v>
      </c>
      <c r="F99" s="104">
        <f t="shared" si="53"/>
        <v>698419.4</v>
      </c>
      <c r="G99" s="165">
        <f t="shared" si="54"/>
        <v>770421.4</v>
      </c>
      <c r="H99" s="185">
        <f t="shared" si="55"/>
        <v>4.6627379873073437E-2</v>
      </c>
      <c r="I99" s="72">
        <v>743512</v>
      </c>
      <c r="J99" s="177"/>
      <c r="K99" s="87">
        <v>717335</v>
      </c>
      <c r="L99" s="166"/>
      <c r="M99" s="130">
        <v>2</v>
      </c>
      <c r="N99" s="59">
        <v>50</v>
      </c>
      <c r="O99" s="66"/>
      <c r="P99" s="66"/>
      <c r="Q99" s="66"/>
      <c r="R99" s="66"/>
      <c r="S99" s="66"/>
      <c r="T99" s="66"/>
      <c r="U99" s="66"/>
      <c r="V99" s="66"/>
      <c r="W99" s="66"/>
      <c r="X99" s="125"/>
      <c r="Y99" s="124">
        <v>6.6</v>
      </c>
      <c r="Z99" s="66">
        <v>70.5</v>
      </c>
      <c r="AA99" s="66">
        <v>29.9</v>
      </c>
      <c r="AB99" s="125">
        <v>3.3</v>
      </c>
      <c r="AC99" s="8">
        <v>54</v>
      </c>
      <c r="AD99" s="88">
        <v>5089</v>
      </c>
      <c r="AE99" s="66"/>
      <c r="AF99" s="125"/>
      <c r="AG99" s="72">
        <v>5143</v>
      </c>
      <c r="AH99" s="8">
        <v>15</v>
      </c>
      <c r="AI99" s="9">
        <v>10</v>
      </c>
      <c r="AJ99" s="9">
        <v>8</v>
      </c>
      <c r="AK99" s="9">
        <v>6</v>
      </c>
      <c r="AL99" s="9">
        <v>5</v>
      </c>
      <c r="AM99" s="9">
        <v>3</v>
      </c>
      <c r="AN99" s="9">
        <v>4</v>
      </c>
      <c r="AO99" s="69" t="s">
        <v>214</v>
      </c>
      <c r="AP99" s="72">
        <v>180552</v>
      </c>
    </row>
    <row r="100" spans="1:42" x14ac:dyDescent="0.25">
      <c r="A100" s="330" t="s">
        <v>122</v>
      </c>
      <c r="B100" s="191">
        <f t="shared" si="49"/>
        <v>229183.44691434648</v>
      </c>
      <c r="C100" s="104">
        <f t="shared" si="50"/>
        <v>602486.652</v>
      </c>
      <c r="D100" s="104">
        <f t="shared" si="51"/>
        <v>0</v>
      </c>
      <c r="E100" s="104">
        <f t="shared" si="52"/>
        <v>0</v>
      </c>
      <c r="F100" s="104">
        <f t="shared" si="53"/>
        <v>0</v>
      </c>
      <c r="G100" s="165">
        <f t="shared" si="54"/>
        <v>0</v>
      </c>
      <c r="H100" s="185"/>
      <c r="I100" s="68">
        <v>359895</v>
      </c>
      <c r="J100" s="175">
        <v>0</v>
      </c>
      <c r="K100" s="79">
        <v>223398</v>
      </c>
      <c r="L100" s="166">
        <v>136497</v>
      </c>
      <c r="M100" s="124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5"/>
      <c r="Y100" s="124">
        <v>0</v>
      </c>
      <c r="Z100" s="66">
        <v>0</v>
      </c>
      <c r="AA100" s="66">
        <v>0</v>
      </c>
      <c r="AB100" s="117">
        <v>0</v>
      </c>
      <c r="AC100" s="116"/>
      <c r="AD100" s="67"/>
      <c r="AE100" s="67"/>
      <c r="AF100" s="117"/>
      <c r="AG100" s="103"/>
      <c r="AH100" s="116"/>
      <c r="AI100" s="67"/>
      <c r="AJ100" s="67"/>
      <c r="AK100" s="67"/>
      <c r="AL100" s="67"/>
      <c r="AM100" s="67"/>
      <c r="AN100" s="67"/>
      <c r="AO100" s="94"/>
      <c r="AP100" s="68">
        <v>185021</v>
      </c>
    </row>
    <row r="101" spans="1:42" x14ac:dyDescent="0.25">
      <c r="A101" s="330" t="s">
        <v>124</v>
      </c>
      <c r="B101" s="191">
        <f t="shared" si="49"/>
        <v>0</v>
      </c>
      <c r="C101" s="104">
        <f t="shared" si="50"/>
        <v>0</v>
      </c>
      <c r="D101" s="104">
        <f t="shared" si="51"/>
        <v>0</v>
      </c>
      <c r="E101" s="104">
        <f t="shared" si="52"/>
        <v>242820</v>
      </c>
      <c r="F101" s="104">
        <f t="shared" si="53"/>
        <v>315056</v>
      </c>
      <c r="G101" s="165">
        <f t="shared" si="54"/>
        <v>347536</v>
      </c>
      <c r="H101" s="185">
        <f t="shared" si="55"/>
        <v>3.8666666666666669E-2</v>
      </c>
      <c r="I101" s="68"/>
      <c r="J101" s="175">
        <v>0</v>
      </c>
      <c r="K101" s="79">
        <v>0</v>
      </c>
      <c r="L101" s="166">
        <v>0</v>
      </c>
      <c r="M101" s="124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5"/>
      <c r="Y101" s="124">
        <v>6</v>
      </c>
      <c r="Z101" s="66">
        <v>54</v>
      </c>
      <c r="AA101" s="66">
        <v>0</v>
      </c>
      <c r="AB101" s="117">
        <v>0</v>
      </c>
      <c r="AC101" s="116">
        <v>7</v>
      </c>
      <c r="AD101" s="64">
        <v>2313</v>
      </c>
      <c r="AE101" s="67"/>
      <c r="AF101" s="117"/>
      <c r="AG101" s="68">
        <v>2320</v>
      </c>
      <c r="AH101" s="116"/>
      <c r="AI101" s="67"/>
      <c r="AJ101" s="67"/>
      <c r="AK101" s="67"/>
      <c r="AL101" s="67"/>
      <c r="AM101" s="67"/>
      <c r="AN101" s="67"/>
      <c r="AO101" s="94"/>
      <c r="AP101" s="68">
        <v>13042</v>
      </c>
    </row>
    <row r="102" spans="1:42" x14ac:dyDescent="0.25">
      <c r="A102" s="330" t="s">
        <v>125</v>
      </c>
      <c r="B102" s="191">
        <f t="shared" si="49"/>
        <v>166235.49011065956</v>
      </c>
      <c r="C102" s="104">
        <f t="shared" si="50"/>
        <v>419804.21899999998</v>
      </c>
      <c r="D102" s="104">
        <f t="shared" si="51"/>
        <v>272148</v>
      </c>
      <c r="E102" s="104">
        <f t="shared" si="52"/>
        <v>137824.63199999998</v>
      </c>
      <c r="F102" s="104">
        <f t="shared" si="53"/>
        <v>220675.00000000003</v>
      </c>
      <c r="G102" s="165">
        <f t="shared" si="54"/>
        <v>241627.40000000002</v>
      </c>
      <c r="H102" s="185">
        <f t="shared" si="55"/>
        <v>4.7363166549213062E-2</v>
      </c>
      <c r="I102" s="68">
        <v>255010</v>
      </c>
      <c r="J102" s="175">
        <v>0</v>
      </c>
      <c r="K102" s="79">
        <v>260263</v>
      </c>
      <c r="L102" s="166">
        <v>0</v>
      </c>
      <c r="M102" s="124">
        <v>2</v>
      </c>
      <c r="N102" s="66">
        <v>48</v>
      </c>
      <c r="O102" s="66">
        <v>1</v>
      </c>
      <c r="P102" s="66">
        <v>60</v>
      </c>
      <c r="Q102" s="66">
        <v>1</v>
      </c>
      <c r="R102" s="66">
        <v>120</v>
      </c>
      <c r="S102" s="66"/>
      <c r="T102" s="66"/>
      <c r="U102" s="66"/>
      <c r="V102" s="66"/>
      <c r="W102" s="66"/>
      <c r="X102" s="125"/>
      <c r="Y102" s="124">
        <v>0</v>
      </c>
      <c r="Z102" s="66">
        <v>34.055999999999997</v>
      </c>
      <c r="AA102" s="66">
        <v>0</v>
      </c>
      <c r="AB102" s="117">
        <v>0</v>
      </c>
      <c r="AC102" s="116"/>
      <c r="AD102" s="64">
        <v>1625</v>
      </c>
      <c r="AE102" s="67"/>
      <c r="AF102" s="117"/>
      <c r="AG102" s="68">
        <v>1613</v>
      </c>
      <c r="AH102" s="116">
        <v>8</v>
      </c>
      <c r="AI102" s="67"/>
      <c r="AJ102" s="67">
        <v>4</v>
      </c>
      <c r="AK102" s="67">
        <v>1</v>
      </c>
      <c r="AL102" s="67">
        <v>1</v>
      </c>
      <c r="AM102" s="67">
        <v>1</v>
      </c>
      <c r="AN102" s="67">
        <v>1</v>
      </c>
      <c r="AO102" s="94"/>
      <c r="AP102" s="68">
        <v>174040</v>
      </c>
    </row>
    <row r="103" spans="1:42" s="60" customFormat="1" x14ac:dyDescent="0.25">
      <c r="A103" s="330" t="s">
        <v>148</v>
      </c>
      <c r="B103" s="191">
        <f t="shared" si="49"/>
        <v>1209097.0734957797</v>
      </c>
      <c r="C103" s="104">
        <f t="shared" si="50"/>
        <v>3487813.7220000001</v>
      </c>
      <c r="D103" s="104">
        <f t="shared" si="51"/>
        <v>254750</v>
      </c>
      <c r="E103" s="104">
        <f t="shared" si="52"/>
        <v>4748778</v>
      </c>
      <c r="F103" s="104">
        <f t="shared" si="53"/>
        <v>1916138.2000000002</v>
      </c>
      <c r="G103" s="165">
        <f t="shared" si="54"/>
        <v>2104090.8000000003</v>
      </c>
      <c r="H103" s="185">
        <f t="shared" si="55"/>
        <v>3.1213333333333333E-2</v>
      </c>
      <c r="I103" s="81">
        <v>2143231</v>
      </c>
      <c r="J103" s="177"/>
      <c r="K103" s="79">
        <v>2101814</v>
      </c>
      <c r="L103" s="162">
        <v>55010</v>
      </c>
      <c r="M103" s="130">
        <v>4</v>
      </c>
      <c r="N103" s="59">
        <v>55</v>
      </c>
      <c r="O103" s="59">
        <v>2</v>
      </c>
      <c r="P103" s="59">
        <v>122</v>
      </c>
      <c r="Q103" s="66"/>
      <c r="R103" s="66"/>
      <c r="S103" s="66"/>
      <c r="T103" s="66"/>
      <c r="U103" s="66"/>
      <c r="V103" s="66"/>
      <c r="W103" s="66"/>
      <c r="X103" s="125"/>
      <c r="Y103" s="158">
        <v>229</v>
      </c>
      <c r="Z103" s="66">
        <v>185</v>
      </c>
      <c r="AA103" s="66">
        <v>36</v>
      </c>
      <c r="AB103" s="125"/>
      <c r="AC103" s="151">
        <v>4944</v>
      </c>
      <c r="AD103" s="87">
        <v>6581</v>
      </c>
      <c r="AE103" s="59">
        <v>816</v>
      </c>
      <c r="AF103" s="131">
        <v>0</v>
      </c>
      <c r="AG103" s="81">
        <v>14046</v>
      </c>
      <c r="AH103" s="130">
        <v>53</v>
      </c>
      <c r="AI103" s="59">
        <v>19</v>
      </c>
      <c r="AJ103" s="59">
        <v>21</v>
      </c>
      <c r="AK103" s="59">
        <v>6</v>
      </c>
      <c r="AL103" s="59">
        <v>6</v>
      </c>
      <c r="AM103" s="59">
        <v>4</v>
      </c>
      <c r="AN103" s="59">
        <v>6</v>
      </c>
      <c r="AO103" s="89">
        <v>8</v>
      </c>
      <c r="AP103" s="95">
        <v>1095463</v>
      </c>
    </row>
    <row r="104" spans="1:42" x14ac:dyDescent="0.25">
      <c r="A104" s="330" t="s">
        <v>126</v>
      </c>
      <c r="B104" s="191">
        <f t="shared" si="49"/>
        <v>352646.14740020345</v>
      </c>
      <c r="C104" s="104">
        <f t="shared" si="50"/>
        <v>914811.33699999994</v>
      </c>
      <c r="D104" s="104">
        <f t="shared" si="51"/>
        <v>35453</v>
      </c>
      <c r="E104" s="104">
        <f t="shared" si="52"/>
        <v>278441.69399999996</v>
      </c>
      <c r="F104" s="104">
        <f t="shared" si="53"/>
        <v>206959.2</v>
      </c>
      <c r="G104" s="165">
        <f t="shared" si="54"/>
        <v>228145.40000000002</v>
      </c>
      <c r="H104" s="185">
        <f t="shared" si="55"/>
        <v>2.2135984419057592E-2</v>
      </c>
      <c r="I104" s="95">
        <v>571433</v>
      </c>
      <c r="J104" s="175">
        <v>0</v>
      </c>
      <c r="K104" s="79">
        <v>567149</v>
      </c>
      <c r="L104" s="166">
        <v>0</v>
      </c>
      <c r="M104" s="124">
        <v>1</v>
      </c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5"/>
      <c r="Y104" s="124">
        <v>28.97</v>
      </c>
      <c r="Z104" s="66">
        <v>39.832000000000001</v>
      </c>
      <c r="AA104" s="66">
        <v>0</v>
      </c>
      <c r="AB104" s="117">
        <v>0</v>
      </c>
      <c r="AC104" s="116">
        <v>251</v>
      </c>
      <c r="AD104" s="64">
        <v>1273</v>
      </c>
      <c r="AE104" s="67"/>
      <c r="AF104" s="117"/>
      <c r="AG104" s="68">
        <v>1523</v>
      </c>
      <c r="AH104" s="116">
        <v>13</v>
      </c>
      <c r="AI104" s="67">
        <v>0</v>
      </c>
      <c r="AJ104" s="67">
        <v>8</v>
      </c>
      <c r="AK104" s="67">
        <v>1</v>
      </c>
      <c r="AL104" s="67">
        <v>1</v>
      </c>
      <c r="AM104" s="67">
        <v>1</v>
      </c>
      <c r="AN104" s="67">
        <v>2</v>
      </c>
      <c r="AO104" s="94">
        <v>0</v>
      </c>
      <c r="AP104" s="68">
        <v>155556</v>
      </c>
    </row>
    <row r="105" spans="1:42" x14ac:dyDescent="0.25">
      <c r="A105" s="331" t="s">
        <v>128</v>
      </c>
      <c r="B105" s="192">
        <f t="shared" si="49"/>
        <v>159596.62341815894</v>
      </c>
      <c r="C105" s="193">
        <f t="shared" si="50"/>
        <v>0</v>
      </c>
      <c r="D105" s="193">
        <f t="shared" si="51"/>
        <v>0</v>
      </c>
      <c r="E105" s="193">
        <f t="shared" si="52"/>
        <v>0</v>
      </c>
      <c r="F105" s="193">
        <f t="shared" si="53"/>
        <v>0</v>
      </c>
      <c r="G105" s="194">
        <f t="shared" si="54"/>
        <v>208222.00000000003</v>
      </c>
      <c r="H105" s="186"/>
      <c r="I105" s="101">
        <v>244100</v>
      </c>
      <c r="J105" s="176">
        <v>0</v>
      </c>
      <c r="K105" s="170">
        <v>0</v>
      </c>
      <c r="L105" s="171">
        <v>0</v>
      </c>
      <c r="M105" s="122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123"/>
      <c r="Y105" s="122"/>
      <c r="Z105" s="98"/>
      <c r="AA105" s="98"/>
      <c r="AB105" s="123"/>
      <c r="AC105" s="122"/>
      <c r="AD105" s="98"/>
      <c r="AE105" s="98"/>
      <c r="AF105" s="123"/>
      <c r="AG105" s="101">
        <v>1390</v>
      </c>
      <c r="AH105" s="122">
        <v>8</v>
      </c>
      <c r="AI105" s="98">
        <v>0</v>
      </c>
      <c r="AJ105" s="98">
        <v>2</v>
      </c>
      <c r="AK105" s="98">
        <v>3</v>
      </c>
      <c r="AL105" s="98">
        <v>1</v>
      </c>
      <c r="AM105" s="98">
        <v>1</v>
      </c>
      <c r="AN105" s="98">
        <v>1</v>
      </c>
      <c r="AO105" s="100">
        <v>6</v>
      </c>
      <c r="AP105" s="108"/>
    </row>
    <row r="106" spans="1:42" x14ac:dyDescent="0.25">
      <c r="A106" s="330" t="s">
        <v>129</v>
      </c>
      <c r="B106" s="191">
        <f t="shared" si="49"/>
        <v>1886823.6634255899</v>
      </c>
      <c r="C106" s="104">
        <f t="shared" si="50"/>
        <v>3482683.321</v>
      </c>
      <c r="D106" s="104">
        <f t="shared" si="51"/>
        <v>460889</v>
      </c>
      <c r="E106" s="104">
        <f t="shared" si="52"/>
        <v>5111527</v>
      </c>
      <c r="F106" s="104">
        <f t="shared" si="53"/>
        <v>1849584.8</v>
      </c>
      <c r="G106" s="165">
        <f t="shared" si="54"/>
        <v>1844637.2000000002</v>
      </c>
      <c r="H106" s="185">
        <f t="shared" si="55"/>
        <v>1.1817658349328216E-2</v>
      </c>
      <c r="I106" s="68">
        <v>3454762</v>
      </c>
      <c r="J106" s="175">
        <v>2416009</v>
      </c>
      <c r="K106" s="79">
        <v>1038753</v>
      </c>
      <c r="L106" s="166">
        <v>0</v>
      </c>
      <c r="M106" s="116">
        <v>13</v>
      </c>
      <c r="N106" s="67">
        <v>278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117">
        <v>0</v>
      </c>
      <c r="Y106" s="116">
        <v>796</v>
      </c>
      <c r="Z106" s="67">
        <v>235</v>
      </c>
      <c r="AA106" s="67">
        <v>11</v>
      </c>
      <c r="AB106" s="117">
        <v>0</v>
      </c>
      <c r="AC106" s="145">
        <v>5008</v>
      </c>
      <c r="AD106" s="64">
        <v>7104</v>
      </c>
      <c r="AE106" s="67">
        <v>476</v>
      </c>
      <c r="AF106" s="117">
        <v>0</v>
      </c>
      <c r="AG106" s="68">
        <v>12314</v>
      </c>
      <c r="AH106" s="116">
        <v>115</v>
      </c>
      <c r="AI106" s="67">
        <v>7</v>
      </c>
      <c r="AJ106" s="67">
        <v>54</v>
      </c>
      <c r="AK106" s="67">
        <v>9</v>
      </c>
      <c r="AL106" s="67">
        <v>8</v>
      </c>
      <c r="AM106" s="67">
        <v>8</v>
      </c>
      <c r="AN106" s="67">
        <v>12</v>
      </c>
      <c r="AO106" s="94">
        <v>10</v>
      </c>
      <c r="AP106" s="68">
        <v>1408542</v>
      </c>
    </row>
    <row r="107" spans="1:42" x14ac:dyDescent="0.25">
      <c r="A107" s="330" t="s">
        <v>130</v>
      </c>
      <c r="B107" s="191">
        <f t="shared" si="49"/>
        <v>238933.30920239529</v>
      </c>
      <c r="C107" s="104">
        <f t="shared" si="50"/>
        <v>607046.098</v>
      </c>
      <c r="D107" s="104">
        <f t="shared" si="51"/>
        <v>0</v>
      </c>
      <c r="E107" s="104">
        <f t="shared" si="52"/>
        <v>412794</v>
      </c>
      <c r="F107" s="104">
        <f t="shared" si="53"/>
        <v>245933.80000000002</v>
      </c>
      <c r="G107" s="165">
        <f t="shared" si="54"/>
        <v>271287.80000000005</v>
      </c>
      <c r="H107" s="185">
        <f t="shared" si="55"/>
        <v>1.7754901960784313E-2</v>
      </c>
      <c r="I107" s="68">
        <v>376346</v>
      </c>
      <c r="J107" s="175">
        <v>0</v>
      </c>
      <c r="K107" s="79">
        <v>376346</v>
      </c>
      <c r="L107" s="166">
        <v>0</v>
      </c>
      <c r="M107" s="11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117"/>
      <c r="Y107" s="116">
        <v>64</v>
      </c>
      <c r="Z107" s="67">
        <v>38</v>
      </c>
      <c r="AA107" s="67">
        <v>0</v>
      </c>
      <c r="AB107" s="117">
        <v>0</v>
      </c>
      <c r="AC107" s="145">
        <v>1209</v>
      </c>
      <c r="AD107" s="67">
        <v>602</v>
      </c>
      <c r="AE107" s="67"/>
      <c r="AF107" s="117"/>
      <c r="AG107" s="68">
        <v>1811</v>
      </c>
      <c r="AH107" s="116">
        <v>11</v>
      </c>
      <c r="AI107" s="67"/>
      <c r="AJ107" s="67"/>
      <c r="AK107" s="67"/>
      <c r="AL107" s="67"/>
      <c r="AM107" s="67"/>
      <c r="AN107" s="67"/>
      <c r="AO107" s="94"/>
      <c r="AP107" s="68">
        <v>160878</v>
      </c>
    </row>
    <row r="108" spans="1:42" x14ac:dyDescent="0.25">
      <c r="A108" s="333" t="s">
        <v>170</v>
      </c>
      <c r="B108" s="191">
        <f t="shared" si="49"/>
        <v>148299.83709206106</v>
      </c>
      <c r="C108" s="104">
        <f t="shared" si="50"/>
        <v>344954.56699999998</v>
      </c>
      <c r="D108" s="104">
        <f t="shared" si="51"/>
        <v>0</v>
      </c>
      <c r="E108" s="104">
        <f t="shared" si="52"/>
        <v>121410</v>
      </c>
      <c r="F108" s="104">
        <f t="shared" si="53"/>
        <v>102664.8</v>
      </c>
      <c r="G108" s="165">
        <f t="shared" si="54"/>
        <v>113248.8</v>
      </c>
      <c r="H108" s="185">
        <f t="shared" si="55"/>
        <v>2.52E-2</v>
      </c>
      <c r="I108" s="183">
        <v>225612</v>
      </c>
      <c r="J108" s="179"/>
      <c r="K108" s="105">
        <v>213859</v>
      </c>
      <c r="L108" s="172"/>
      <c r="M108" s="158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135"/>
      <c r="Y108" s="159">
        <v>26</v>
      </c>
      <c r="Z108" s="65">
        <v>4</v>
      </c>
      <c r="AA108" s="65"/>
      <c r="AB108" s="154"/>
      <c r="AC108" s="153">
        <v>88</v>
      </c>
      <c r="AD108" s="105">
        <v>668</v>
      </c>
      <c r="AE108" s="65"/>
      <c r="AF108" s="154"/>
      <c r="AG108" s="110">
        <v>756</v>
      </c>
      <c r="AH108" s="134"/>
      <c r="AI108" s="97"/>
      <c r="AJ108" s="97"/>
      <c r="AK108" s="97"/>
      <c r="AL108" s="97"/>
      <c r="AM108" s="97"/>
      <c r="AN108" s="97">
        <v>1</v>
      </c>
      <c r="AO108" s="109">
        <v>1</v>
      </c>
      <c r="AP108" s="110">
        <v>103660</v>
      </c>
    </row>
    <row r="109" spans="1:42" x14ac:dyDescent="0.25">
      <c r="A109" s="334" t="s">
        <v>176</v>
      </c>
      <c r="B109" s="192"/>
      <c r="C109" s="193"/>
      <c r="D109" s="193"/>
      <c r="E109" s="193"/>
      <c r="F109" s="193"/>
      <c r="G109" s="194"/>
      <c r="H109" s="186"/>
      <c r="I109" s="114"/>
      <c r="J109" s="180"/>
      <c r="K109" s="107"/>
      <c r="L109" s="173"/>
      <c r="M109" s="136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37"/>
      <c r="Y109" s="160"/>
      <c r="Z109" s="112"/>
      <c r="AA109" s="112"/>
      <c r="AB109" s="156"/>
      <c r="AC109" s="155"/>
      <c r="AD109" s="107"/>
      <c r="AE109" s="112"/>
      <c r="AF109" s="156"/>
      <c r="AG109" s="114"/>
      <c r="AH109" s="136"/>
      <c r="AI109" s="111"/>
      <c r="AJ109" s="111"/>
      <c r="AK109" s="111"/>
      <c r="AL109" s="111"/>
      <c r="AM109" s="111"/>
      <c r="AN109" s="111"/>
      <c r="AO109" s="113"/>
      <c r="AP109" s="114"/>
    </row>
    <row r="110" spans="1:42" x14ac:dyDescent="0.25">
      <c r="A110" s="330" t="s">
        <v>171</v>
      </c>
      <c r="B110" s="191">
        <f t="shared" ref="B110:B124" si="56">1.518*I110^0.9321</f>
        <v>160145.03503045195</v>
      </c>
      <c r="C110" s="104">
        <f t="shared" ref="C110:C124" si="57">0.748*J110+1.613*K110+1.774*L110</f>
        <v>422212</v>
      </c>
      <c r="D110" s="104">
        <f t="shared" ref="D110:D124" si="58">35453*M110+56469*O110+144773*Q110+178851*(S110+U110)+440*X110</f>
        <v>0</v>
      </c>
      <c r="E110" s="104">
        <f t="shared" ref="E110:E124" si="59">4047*(Y110+Z110)+85370*(AA110+AB110)</f>
        <v>194256</v>
      </c>
      <c r="F110" s="104">
        <f t="shared" ref="F110:F124" si="60">135.8*(AC110+AD110)+430.2*AE110+1208.1*AF110</f>
        <v>236699.40000000002</v>
      </c>
      <c r="G110" s="165">
        <f t="shared" ref="G110:G124" si="61">149.8*AG110</f>
        <v>276081.40000000002</v>
      </c>
      <c r="H110" s="185">
        <f t="shared" ref="H110:H124" si="62">AG110/(SUM(Y110:AB110)*1000)</f>
        <v>3.839583333333333E-2</v>
      </c>
      <c r="I110" s="95">
        <v>245000</v>
      </c>
      <c r="J110" s="177"/>
      <c r="K110" s="79"/>
      <c r="L110" s="166">
        <v>238000</v>
      </c>
      <c r="M110" s="124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5"/>
      <c r="Y110" s="124">
        <v>22.2</v>
      </c>
      <c r="Z110" s="66">
        <v>25.8</v>
      </c>
      <c r="AA110" s="66"/>
      <c r="AB110" s="125"/>
      <c r="AC110" s="150">
        <v>50</v>
      </c>
      <c r="AD110" s="96">
        <v>1693</v>
      </c>
      <c r="AE110" s="96"/>
      <c r="AF110" s="125"/>
      <c r="AG110" s="95">
        <v>1843</v>
      </c>
      <c r="AH110" s="124">
        <v>6</v>
      </c>
      <c r="AI110" s="66">
        <v>10</v>
      </c>
      <c r="AJ110" s="66"/>
      <c r="AK110" s="66"/>
      <c r="AL110" s="66"/>
      <c r="AM110" s="66"/>
      <c r="AN110" s="66"/>
      <c r="AO110" s="102"/>
      <c r="AP110" s="95">
        <v>132591</v>
      </c>
    </row>
    <row r="111" spans="1:42" x14ac:dyDescent="0.25">
      <c r="A111" s="331" t="s">
        <v>149</v>
      </c>
      <c r="B111" s="192">
        <f t="shared" si="56"/>
        <v>0</v>
      </c>
      <c r="C111" s="193">
        <f t="shared" si="57"/>
        <v>0</v>
      </c>
      <c r="D111" s="193">
        <f t="shared" si="58"/>
        <v>0</v>
      </c>
      <c r="E111" s="193">
        <f t="shared" si="59"/>
        <v>0</v>
      </c>
      <c r="F111" s="193">
        <f t="shared" si="60"/>
        <v>0</v>
      </c>
      <c r="G111" s="194">
        <f t="shared" si="61"/>
        <v>0</v>
      </c>
      <c r="H111" s="186"/>
      <c r="I111" s="101"/>
      <c r="J111" s="176"/>
      <c r="K111" s="170"/>
      <c r="L111" s="171"/>
      <c r="M111" s="122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123"/>
      <c r="Y111" s="122"/>
      <c r="Z111" s="98"/>
      <c r="AA111" s="98"/>
      <c r="AB111" s="123"/>
      <c r="AC111" s="122"/>
      <c r="AD111" s="99"/>
      <c r="AE111" s="98"/>
      <c r="AF111" s="123"/>
      <c r="AG111" s="101"/>
      <c r="AH111" s="122"/>
      <c r="AI111" s="98"/>
      <c r="AJ111" s="98"/>
      <c r="AK111" s="98"/>
      <c r="AL111" s="98"/>
      <c r="AM111" s="98"/>
      <c r="AN111" s="98"/>
      <c r="AO111" s="100"/>
      <c r="AP111" s="101"/>
    </row>
    <row r="112" spans="1:42" x14ac:dyDescent="0.25">
      <c r="A112" s="330" t="s">
        <v>132</v>
      </c>
      <c r="B112" s="191">
        <f t="shared" si="56"/>
        <v>232113.12336571718</v>
      </c>
      <c r="C112" s="104">
        <f t="shared" si="57"/>
        <v>521563.55</v>
      </c>
      <c r="D112" s="104">
        <f t="shared" si="58"/>
        <v>0</v>
      </c>
      <c r="E112" s="104">
        <f t="shared" si="59"/>
        <v>639426</v>
      </c>
      <c r="F112" s="104">
        <f t="shared" si="60"/>
        <v>658222.60000000009</v>
      </c>
      <c r="G112" s="165">
        <f t="shared" si="61"/>
        <v>726080.60000000009</v>
      </c>
      <c r="H112" s="185">
        <f t="shared" si="62"/>
        <v>3.0677215189873416E-2</v>
      </c>
      <c r="I112" s="68">
        <v>364833</v>
      </c>
      <c r="J112" s="175">
        <v>0</v>
      </c>
      <c r="K112" s="73">
        <v>323350</v>
      </c>
      <c r="L112" s="169">
        <v>0</v>
      </c>
      <c r="M112" s="116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1</v>
      </c>
      <c r="U112" s="67">
        <v>0</v>
      </c>
      <c r="V112" s="67">
        <v>0</v>
      </c>
      <c r="W112" s="67">
        <v>0</v>
      </c>
      <c r="X112" s="117">
        <v>0</v>
      </c>
      <c r="Y112" s="116">
        <v>150</v>
      </c>
      <c r="Z112" s="67">
        <v>8</v>
      </c>
      <c r="AA112" s="67">
        <v>0</v>
      </c>
      <c r="AB112" s="117">
        <v>0</v>
      </c>
      <c r="AC112" s="145">
        <v>4358</v>
      </c>
      <c r="AD112" s="67">
        <v>489</v>
      </c>
      <c r="AE112" s="67">
        <v>0</v>
      </c>
      <c r="AF112" s="117">
        <v>0</v>
      </c>
      <c r="AG112" s="68">
        <v>4847</v>
      </c>
      <c r="AH112" s="116">
        <v>8</v>
      </c>
      <c r="AI112" s="67">
        <v>1</v>
      </c>
      <c r="AJ112" s="67">
        <v>7</v>
      </c>
      <c r="AK112" s="67">
        <v>1</v>
      </c>
      <c r="AL112" s="67">
        <v>1</v>
      </c>
      <c r="AM112" s="67">
        <v>0</v>
      </c>
      <c r="AN112" s="67">
        <v>0</v>
      </c>
      <c r="AO112" s="94">
        <v>0</v>
      </c>
      <c r="AP112" s="68">
        <v>235578</v>
      </c>
    </row>
    <row r="113" spans="1:42" s="60" customFormat="1" x14ac:dyDescent="0.25">
      <c r="A113" s="330" t="s">
        <v>133</v>
      </c>
      <c r="B113" s="191">
        <f t="shared" si="56"/>
        <v>224222.03461422806</v>
      </c>
      <c r="C113" s="104">
        <f t="shared" si="57"/>
        <v>538129.05999999994</v>
      </c>
      <c r="D113" s="104">
        <f t="shared" si="58"/>
        <v>56469</v>
      </c>
      <c r="E113" s="104">
        <f t="shared" si="59"/>
        <v>704178</v>
      </c>
      <c r="F113" s="104">
        <f t="shared" si="60"/>
        <v>478966.60000000003</v>
      </c>
      <c r="G113" s="165">
        <f t="shared" si="61"/>
        <v>524150.2</v>
      </c>
      <c r="H113" s="185">
        <f t="shared" si="62"/>
        <v>2.010919540229885E-2</v>
      </c>
      <c r="I113" s="95">
        <v>351543</v>
      </c>
      <c r="J113" s="177">
        <v>0</v>
      </c>
      <c r="K113" s="79">
        <v>333620</v>
      </c>
      <c r="L113" s="166">
        <v>0</v>
      </c>
      <c r="M113" s="124"/>
      <c r="N113" s="66"/>
      <c r="O113" s="66">
        <v>1</v>
      </c>
      <c r="P113" s="66">
        <v>60</v>
      </c>
      <c r="Q113" s="66"/>
      <c r="R113" s="66"/>
      <c r="S113" s="66"/>
      <c r="T113" s="66"/>
      <c r="U113" s="66"/>
      <c r="V113" s="66"/>
      <c r="W113" s="66"/>
      <c r="X113" s="125"/>
      <c r="Y113" s="124">
        <v>174</v>
      </c>
      <c r="Z113" s="66">
        <v>0</v>
      </c>
      <c r="AA113" s="66">
        <v>0</v>
      </c>
      <c r="AB113" s="125">
        <v>0</v>
      </c>
      <c r="AC113" s="150">
        <v>3527</v>
      </c>
      <c r="AD113" s="66"/>
      <c r="AE113" s="66"/>
      <c r="AF113" s="125"/>
      <c r="AG113" s="95">
        <v>3499</v>
      </c>
      <c r="AH113" s="124"/>
      <c r="AI113" s="66"/>
      <c r="AJ113" s="66">
        <v>2</v>
      </c>
      <c r="AK113" s="66">
        <v>4</v>
      </c>
      <c r="AL113" s="66">
        <v>2</v>
      </c>
      <c r="AM113" s="66"/>
      <c r="AN113" s="66">
        <v>2</v>
      </c>
      <c r="AO113" s="102"/>
      <c r="AP113" s="95">
        <v>176183</v>
      </c>
    </row>
    <row r="114" spans="1:42" x14ac:dyDescent="0.25">
      <c r="A114" s="330" t="s">
        <v>135</v>
      </c>
      <c r="B114" s="191">
        <f t="shared" si="56"/>
        <v>904627.60775644763</v>
      </c>
      <c r="C114" s="104">
        <f t="shared" si="57"/>
        <v>2532410</v>
      </c>
      <c r="D114" s="104">
        <f t="shared" si="58"/>
        <v>541335</v>
      </c>
      <c r="E114" s="104">
        <f t="shared" si="59"/>
        <v>1312377</v>
      </c>
      <c r="F114" s="104">
        <f t="shared" si="60"/>
        <v>717216.60000000009</v>
      </c>
      <c r="G114" s="165">
        <f t="shared" si="61"/>
        <v>1013397.0000000001</v>
      </c>
      <c r="H114" s="185">
        <f t="shared" si="62"/>
        <v>2.5624999999999998E-2</v>
      </c>
      <c r="I114" s="68">
        <v>1570000</v>
      </c>
      <c r="J114" s="175">
        <v>0</v>
      </c>
      <c r="K114" s="73">
        <v>1570000</v>
      </c>
      <c r="L114" s="169">
        <v>0</v>
      </c>
      <c r="M114" s="116">
        <v>8</v>
      </c>
      <c r="N114" s="66">
        <v>201</v>
      </c>
      <c r="O114" s="66">
        <v>2</v>
      </c>
      <c r="P114" s="66">
        <v>120</v>
      </c>
      <c r="Q114" s="66">
        <v>1</v>
      </c>
      <c r="R114" s="66">
        <v>122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125">
        <v>0</v>
      </c>
      <c r="Y114" s="124">
        <v>112</v>
      </c>
      <c r="Z114" s="66">
        <v>149</v>
      </c>
      <c r="AA114" s="66">
        <v>3</v>
      </c>
      <c r="AB114" s="125">
        <v>0</v>
      </c>
      <c r="AC114" s="124">
        <v>719</v>
      </c>
      <c r="AD114" s="96">
        <v>3913</v>
      </c>
      <c r="AE114" s="66">
        <v>205</v>
      </c>
      <c r="AF114" s="117">
        <v>0</v>
      </c>
      <c r="AG114" s="68">
        <v>6765</v>
      </c>
      <c r="AH114" s="116">
        <v>54</v>
      </c>
      <c r="AI114" s="67">
        <v>58</v>
      </c>
      <c r="AJ114" s="67">
        <v>23</v>
      </c>
      <c r="AK114" s="67">
        <v>3</v>
      </c>
      <c r="AL114" s="67">
        <v>4</v>
      </c>
      <c r="AM114" s="67">
        <v>3</v>
      </c>
      <c r="AN114" s="67">
        <v>7</v>
      </c>
      <c r="AO114" s="94">
        <v>14</v>
      </c>
      <c r="AP114" s="68">
        <v>570500</v>
      </c>
    </row>
    <row r="115" spans="1:42" x14ac:dyDescent="0.25">
      <c r="A115" s="330" t="s">
        <v>136</v>
      </c>
      <c r="B115" s="191">
        <f t="shared" si="56"/>
        <v>4959325.3468507165</v>
      </c>
      <c r="C115" s="104">
        <f t="shared" si="57"/>
        <v>14592672.282</v>
      </c>
      <c r="D115" s="104">
        <f t="shared" si="58"/>
        <v>2803358</v>
      </c>
      <c r="E115" s="104">
        <f t="shared" si="59"/>
        <v>17445060</v>
      </c>
      <c r="F115" s="104">
        <f t="shared" si="60"/>
        <v>6787546.3999999994</v>
      </c>
      <c r="G115" s="165">
        <f t="shared" si="61"/>
        <v>7359973.6000000006</v>
      </c>
      <c r="H115" s="185">
        <f t="shared" si="62"/>
        <v>4.9378894472361809E-2</v>
      </c>
      <c r="I115" s="68">
        <v>9742768</v>
      </c>
      <c r="J115" s="175">
        <v>0</v>
      </c>
      <c r="K115" s="73">
        <v>9046914</v>
      </c>
      <c r="L115" s="169">
        <v>0</v>
      </c>
      <c r="M115" s="116">
        <v>3</v>
      </c>
      <c r="N115" s="66">
        <v>72</v>
      </c>
      <c r="O115" s="66">
        <v>3</v>
      </c>
      <c r="P115" s="66">
        <v>181</v>
      </c>
      <c r="Q115" s="66">
        <v>3</v>
      </c>
      <c r="R115" s="66">
        <v>443</v>
      </c>
      <c r="S115" s="66">
        <v>3</v>
      </c>
      <c r="T115" s="96">
        <v>1000</v>
      </c>
      <c r="U115" s="66">
        <v>0</v>
      </c>
      <c r="V115" s="66">
        <v>0</v>
      </c>
      <c r="W115" s="66">
        <v>4</v>
      </c>
      <c r="X115" s="161">
        <v>3538</v>
      </c>
      <c r="Y115" s="124">
        <v>232</v>
      </c>
      <c r="Z115" s="66">
        <v>598</v>
      </c>
      <c r="AA115" s="66">
        <v>154</v>
      </c>
      <c r="AB115" s="125">
        <v>11</v>
      </c>
      <c r="AC115" s="150">
        <v>2589</v>
      </c>
      <c r="AD115" s="96">
        <v>24283</v>
      </c>
      <c r="AE115" s="96">
        <v>5846</v>
      </c>
      <c r="AF115" s="125">
        <v>516</v>
      </c>
      <c r="AG115" s="95">
        <v>49132</v>
      </c>
      <c r="AH115" s="124">
        <v>108</v>
      </c>
      <c r="AI115" s="67">
        <v>496</v>
      </c>
      <c r="AJ115" s="67">
        <v>115</v>
      </c>
      <c r="AK115" s="67">
        <v>0</v>
      </c>
      <c r="AL115" s="67">
        <v>30</v>
      </c>
      <c r="AM115" s="67">
        <v>13</v>
      </c>
      <c r="AN115" s="67">
        <v>30</v>
      </c>
      <c r="AO115" s="94">
        <v>14</v>
      </c>
      <c r="AP115" s="68">
        <v>3579000</v>
      </c>
    </row>
    <row r="116" spans="1:42" x14ac:dyDescent="0.25">
      <c r="A116" s="330" t="s">
        <v>137</v>
      </c>
      <c r="B116" s="191">
        <f t="shared" si="56"/>
        <v>186924.95892303367</v>
      </c>
      <c r="C116" s="104">
        <f t="shared" si="57"/>
        <v>466494.11699999997</v>
      </c>
      <c r="D116" s="104">
        <f t="shared" si="58"/>
        <v>0</v>
      </c>
      <c r="E116" s="104">
        <f t="shared" si="59"/>
        <v>44517</v>
      </c>
      <c r="F116" s="104">
        <f t="shared" si="60"/>
        <v>407.40000000000003</v>
      </c>
      <c r="G116" s="165">
        <f t="shared" si="61"/>
        <v>449.40000000000003</v>
      </c>
      <c r="H116" s="185">
        <f t="shared" si="62"/>
        <v>2.7272727272727274E-4</v>
      </c>
      <c r="I116" s="68">
        <v>289209</v>
      </c>
      <c r="J116" s="175">
        <v>0</v>
      </c>
      <c r="K116" s="73">
        <v>289209</v>
      </c>
      <c r="L116" s="169">
        <v>0</v>
      </c>
      <c r="M116" s="11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5"/>
      <c r="Y116" s="124">
        <v>11</v>
      </c>
      <c r="Z116" s="66">
        <v>0</v>
      </c>
      <c r="AA116" s="66">
        <v>0</v>
      </c>
      <c r="AB116" s="125">
        <v>0</v>
      </c>
      <c r="AC116" s="124"/>
      <c r="AD116" s="66">
        <v>3</v>
      </c>
      <c r="AE116" s="66"/>
      <c r="AF116" s="125"/>
      <c r="AG116" s="141">
        <v>3</v>
      </c>
      <c r="AH116" s="124">
        <v>25</v>
      </c>
      <c r="AI116" s="67"/>
      <c r="AJ116" s="67"/>
      <c r="AK116" s="67"/>
      <c r="AL116" s="67"/>
      <c r="AM116" s="67"/>
      <c r="AN116" s="67"/>
      <c r="AO116" s="94"/>
      <c r="AP116" s="68">
        <v>130357</v>
      </c>
    </row>
    <row r="117" spans="1:42" x14ac:dyDescent="0.25">
      <c r="A117" s="330" t="s">
        <v>138</v>
      </c>
      <c r="B117" s="191">
        <f t="shared" si="56"/>
        <v>138643.74454089592</v>
      </c>
      <c r="C117" s="104">
        <f t="shared" si="57"/>
        <v>483514.66000000003</v>
      </c>
      <c r="D117" s="104">
        <f t="shared" si="58"/>
        <v>70906</v>
      </c>
      <c r="E117" s="104">
        <f t="shared" si="59"/>
        <v>408747</v>
      </c>
      <c r="F117" s="104">
        <f t="shared" si="60"/>
        <v>220675.00000000003</v>
      </c>
      <c r="G117" s="165">
        <f t="shared" si="61"/>
        <v>243425.00000000003</v>
      </c>
      <c r="H117" s="185">
        <f t="shared" si="62"/>
        <v>1.608910891089109E-2</v>
      </c>
      <c r="I117" s="68">
        <v>209890</v>
      </c>
      <c r="J117" s="175">
        <v>198040</v>
      </c>
      <c r="K117" s="73">
        <v>99020</v>
      </c>
      <c r="L117" s="169">
        <v>99020</v>
      </c>
      <c r="M117" s="116">
        <v>2</v>
      </c>
      <c r="N117" s="66">
        <v>30</v>
      </c>
      <c r="O117" s="66"/>
      <c r="P117" s="66"/>
      <c r="Q117" s="66"/>
      <c r="R117" s="66"/>
      <c r="S117" s="66"/>
      <c r="T117" s="66"/>
      <c r="U117" s="66"/>
      <c r="V117" s="66"/>
      <c r="W117" s="66"/>
      <c r="X117" s="125"/>
      <c r="Y117" s="124">
        <v>57</v>
      </c>
      <c r="Z117" s="66">
        <v>44</v>
      </c>
      <c r="AA117" s="66">
        <v>0</v>
      </c>
      <c r="AB117" s="125">
        <v>0</v>
      </c>
      <c r="AC117" s="124">
        <v>218</v>
      </c>
      <c r="AD117" s="96">
        <v>1407</v>
      </c>
      <c r="AE117" s="66"/>
      <c r="AF117" s="125"/>
      <c r="AG117" s="95">
        <v>1625</v>
      </c>
      <c r="AH117" s="124">
        <v>10</v>
      </c>
      <c r="AI117" s="67">
        <v>50</v>
      </c>
      <c r="AJ117" s="67">
        <v>4</v>
      </c>
      <c r="AK117" s="67">
        <v>1</v>
      </c>
      <c r="AL117" s="67">
        <v>1</v>
      </c>
      <c r="AM117" s="67">
        <v>1</v>
      </c>
      <c r="AN117" s="67">
        <v>1</v>
      </c>
      <c r="AO117" s="94">
        <v>2</v>
      </c>
      <c r="AP117" s="68">
        <v>75492</v>
      </c>
    </row>
    <row r="118" spans="1:42" x14ac:dyDescent="0.25">
      <c r="A118" s="330" t="s">
        <v>139</v>
      </c>
      <c r="B118" s="191">
        <f t="shared" si="56"/>
        <v>0</v>
      </c>
      <c r="C118" s="104">
        <f t="shared" si="57"/>
        <v>0</v>
      </c>
      <c r="D118" s="104">
        <f t="shared" si="58"/>
        <v>382125</v>
      </c>
      <c r="E118" s="104">
        <f t="shared" si="59"/>
        <v>101175</v>
      </c>
      <c r="F118" s="104">
        <f t="shared" si="60"/>
        <v>0</v>
      </c>
      <c r="G118" s="165">
        <f t="shared" si="61"/>
        <v>149.80000000000001</v>
      </c>
      <c r="H118" s="185">
        <f t="shared" si="62"/>
        <v>4.0000000000000003E-5</v>
      </c>
      <c r="I118" s="68">
        <v>0</v>
      </c>
      <c r="J118" s="175">
        <v>0</v>
      </c>
      <c r="K118" s="73">
        <v>0</v>
      </c>
      <c r="L118" s="169">
        <v>0</v>
      </c>
      <c r="M118" s="116">
        <v>6</v>
      </c>
      <c r="N118" s="66">
        <v>100</v>
      </c>
      <c r="O118" s="66">
        <v>3</v>
      </c>
      <c r="P118" s="66">
        <v>200</v>
      </c>
      <c r="Q118" s="66"/>
      <c r="R118" s="66"/>
      <c r="S118" s="66"/>
      <c r="T118" s="66"/>
      <c r="U118" s="66"/>
      <c r="V118" s="66"/>
      <c r="W118" s="66"/>
      <c r="X118" s="125"/>
      <c r="Y118" s="124">
        <v>25</v>
      </c>
      <c r="Z118" s="66">
        <v>0</v>
      </c>
      <c r="AA118" s="66">
        <v>0</v>
      </c>
      <c r="AB118" s="125">
        <v>0</v>
      </c>
      <c r="AC118" s="124"/>
      <c r="AD118" s="66"/>
      <c r="AE118" s="66"/>
      <c r="AF118" s="125"/>
      <c r="AG118" s="141">
        <v>1</v>
      </c>
      <c r="AH118" s="124">
        <v>0</v>
      </c>
      <c r="AI118" s="67">
        <v>48</v>
      </c>
      <c r="AJ118" s="67">
        <v>20</v>
      </c>
      <c r="AK118" s="67">
        <v>10</v>
      </c>
      <c r="AL118" s="67">
        <v>10</v>
      </c>
      <c r="AM118" s="67">
        <v>0</v>
      </c>
      <c r="AN118" s="67">
        <v>8</v>
      </c>
      <c r="AO118" s="94">
        <v>0</v>
      </c>
      <c r="AP118" s="68">
        <v>9848</v>
      </c>
    </row>
    <row r="119" spans="1:42" x14ac:dyDescent="0.25">
      <c r="A119" s="330" t="s">
        <v>140</v>
      </c>
      <c r="B119" s="191">
        <f t="shared" si="56"/>
        <v>219586.06501480946</v>
      </c>
      <c r="C119" s="104">
        <f t="shared" si="57"/>
        <v>464071.391</v>
      </c>
      <c r="D119" s="104">
        <f t="shared" si="58"/>
        <v>0</v>
      </c>
      <c r="E119" s="104">
        <f t="shared" si="59"/>
        <v>198303</v>
      </c>
      <c r="F119" s="104">
        <f t="shared" si="60"/>
        <v>269698.80000000005</v>
      </c>
      <c r="G119" s="165">
        <f t="shared" si="61"/>
        <v>301247.80000000005</v>
      </c>
      <c r="H119" s="185">
        <f t="shared" si="62"/>
        <v>4.1040816326530609E-2</v>
      </c>
      <c r="I119" s="68">
        <v>343751</v>
      </c>
      <c r="J119" s="175">
        <v>0</v>
      </c>
      <c r="K119" s="73">
        <v>287707</v>
      </c>
      <c r="L119" s="169">
        <v>0</v>
      </c>
      <c r="M119" s="11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5"/>
      <c r="Y119" s="124">
        <v>2</v>
      </c>
      <c r="Z119" s="66">
        <v>47</v>
      </c>
      <c r="AA119" s="66">
        <v>0</v>
      </c>
      <c r="AB119" s="125">
        <v>0</v>
      </c>
      <c r="AC119" s="124"/>
      <c r="AD119" s="96">
        <v>1986</v>
      </c>
      <c r="AE119" s="66"/>
      <c r="AF119" s="125"/>
      <c r="AG119" s="95">
        <v>2011</v>
      </c>
      <c r="AH119" s="124">
        <v>10</v>
      </c>
      <c r="AI119" s="67"/>
      <c r="AJ119" s="67">
        <v>9</v>
      </c>
      <c r="AK119" s="67">
        <v>1</v>
      </c>
      <c r="AL119" s="67">
        <v>2</v>
      </c>
      <c r="AM119" s="67">
        <v>1</v>
      </c>
      <c r="AN119" s="67"/>
      <c r="AO119" s="94"/>
      <c r="AP119" s="68">
        <v>172721</v>
      </c>
    </row>
    <row r="120" spans="1:42" x14ac:dyDescent="0.25">
      <c r="A120" s="330" t="s">
        <v>141</v>
      </c>
      <c r="B120" s="191">
        <f t="shared" si="56"/>
        <v>921853.6000919264</v>
      </c>
      <c r="C120" s="104">
        <f t="shared" si="57"/>
        <v>2281759.4780000001</v>
      </c>
      <c r="D120" s="104">
        <f t="shared" si="58"/>
        <v>346672</v>
      </c>
      <c r="E120" s="104">
        <f t="shared" si="59"/>
        <v>2795877</v>
      </c>
      <c r="F120" s="104">
        <f t="shared" si="60"/>
        <v>1348277.6</v>
      </c>
      <c r="G120" s="165">
        <f t="shared" si="61"/>
        <v>1298166.8</v>
      </c>
      <c r="H120" s="185">
        <f t="shared" si="62"/>
        <v>1.6992156862745099E-2</v>
      </c>
      <c r="I120" s="68">
        <v>1602096</v>
      </c>
      <c r="J120" s="175">
        <v>0</v>
      </c>
      <c r="K120" s="73">
        <v>1414606</v>
      </c>
      <c r="L120" s="169">
        <v>0</v>
      </c>
      <c r="M120" s="116">
        <v>5</v>
      </c>
      <c r="N120" s="66">
        <v>192</v>
      </c>
      <c r="O120" s="66">
        <v>3</v>
      </c>
      <c r="P120" s="66">
        <v>192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125">
        <v>0</v>
      </c>
      <c r="Y120" s="124">
        <v>323</v>
      </c>
      <c r="Z120" s="66">
        <v>178</v>
      </c>
      <c r="AA120" s="66">
        <v>9</v>
      </c>
      <c r="AB120" s="125">
        <v>0</v>
      </c>
      <c r="AC120" s="150">
        <v>1291</v>
      </c>
      <c r="AD120" s="96">
        <v>7158</v>
      </c>
      <c r="AE120" s="66">
        <v>467</v>
      </c>
      <c r="AF120" s="125">
        <v>0</v>
      </c>
      <c r="AG120" s="95">
        <v>8666</v>
      </c>
      <c r="AH120" s="124">
        <v>29</v>
      </c>
      <c r="AI120" s="67">
        <v>3</v>
      </c>
      <c r="AJ120" s="67">
        <v>15</v>
      </c>
      <c r="AK120" s="67">
        <v>3</v>
      </c>
      <c r="AL120" s="67">
        <v>3</v>
      </c>
      <c r="AM120" s="67">
        <v>3</v>
      </c>
      <c r="AN120" s="67">
        <v>4</v>
      </c>
      <c r="AO120" s="94">
        <v>1</v>
      </c>
      <c r="AP120" s="68">
        <v>802568</v>
      </c>
    </row>
    <row r="121" spans="1:42" x14ac:dyDescent="0.25">
      <c r="A121" s="330" t="s">
        <v>150</v>
      </c>
      <c r="B121" s="191">
        <f t="shared" si="56"/>
        <v>1404360.8786731821</v>
      </c>
      <c r="C121" s="104">
        <f t="shared" si="57"/>
        <v>4027348.0779999997</v>
      </c>
      <c r="D121" s="104">
        <f t="shared" si="58"/>
        <v>1133463</v>
      </c>
      <c r="E121" s="104">
        <f t="shared" si="59"/>
        <v>4585733.6999999993</v>
      </c>
      <c r="F121" s="104">
        <f t="shared" si="60"/>
        <v>1998173.8</v>
      </c>
      <c r="G121" s="165">
        <f t="shared" si="61"/>
        <v>1632370.6</v>
      </c>
      <c r="H121" s="185">
        <f t="shared" si="62"/>
        <v>3.1732673267326726E-2</v>
      </c>
      <c r="I121" s="72">
        <v>2516650</v>
      </c>
      <c r="J121" s="177"/>
      <c r="K121" s="79">
        <v>2496806</v>
      </c>
      <c r="L121" s="166"/>
      <c r="M121" s="8">
        <v>3</v>
      </c>
      <c r="N121" s="9">
        <v>72</v>
      </c>
      <c r="O121" s="9">
        <v>1</v>
      </c>
      <c r="P121" s="9">
        <v>82</v>
      </c>
      <c r="Q121" s="9">
        <v>1</v>
      </c>
      <c r="R121" s="9">
        <v>120</v>
      </c>
      <c r="S121" s="9">
        <v>2</v>
      </c>
      <c r="T121" s="9">
        <v>720</v>
      </c>
      <c r="U121" s="9"/>
      <c r="V121" s="9"/>
      <c r="W121" s="9">
        <v>1</v>
      </c>
      <c r="X121" s="163">
        <v>1064</v>
      </c>
      <c r="Y121" s="124">
        <v>93.2</v>
      </c>
      <c r="Z121" s="66">
        <v>210.9</v>
      </c>
      <c r="AA121" s="66">
        <v>39.299999999999997</v>
      </c>
      <c r="AB121" s="125"/>
      <c r="AC121" s="8">
        <v>774</v>
      </c>
      <c r="AD121" s="88">
        <v>8108</v>
      </c>
      <c r="AE121" s="88">
        <v>1841</v>
      </c>
      <c r="AF121" s="125"/>
      <c r="AG121" s="72">
        <v>10897</v>
      </c>
      <c r="AH121" s="8">
        <v>56</v>
      </c>
      <c r="AI121" s="9">
        <v>38</v>
      </c>
      <c r="AJ121" s="9">
        <v>33</v>
      </c>
      <c r="AK121" s="9">
        <v>4</v>
      </c>
      <c r="AL121" s="9">
        <v>4</v>
      </c>
      <c r="AM121" s="9">
        <v>4</v>
      </c>
      <c r="AN121" s="9">
        <v>8</v>
      </c>
      <c r="AO121" s="69">
        <v>4</v>
      </c>
      <c r="AP121" s="72">
        <v>953398</v>
      </c>
    </row>
    <row r="122" spans="1:42" x14ac:dyDescent="0.25">
      <c r="A122" s="330" t="s">
        <v>142</v>
      </c>
      <c r="B122" s="191">
        <f t="shared" si="56"/>
        <v>2122717.998144282</v>
      </c>
      <c r="C122" s="104">
        <f t="shared" si="57"/>
        <v>6267563.1279999996</v>
      </c>
      <c r="D122" s="104">
        <f t="shared" si="58"/>
        <v>1631926</v>
      </c>
      <c r="E122" s="104">
        <f t="shared" si="59"/>
        <v>6887343</v>
      </c>
      <c r="F122" s="104">
        <f t="shared" si="60"/>
        <v>2600477</v>
      </c>
      <c r="G122" s="165">
        <f t="shared" si="61"/>
        <v>2542855</v>
      </c>
      <c r="H122" s="185">
        <f t="shared" si="62"/>
        <v>1.5445859872611465E-2</v>
      </c>
      <c r="I122" s="68">
        <v>3920180</v>
      </c>
      <c r="J122" s="175">
        <v>0</v>
      </c>
      <c r="K122" s="73">
        <v>3885656</v>
      </c>
      <c r="L122" s="169">
        <v>0</v>
      </c>
      <c r="M122" s="116">
        <v>16</v>
      </c>
      <c r="N122" s="67">
        <v>235</v>
      </c>
      <c r="O122" s="67">
        <v>5</v>
      </c>
      <c r="P122" s="67">
        <v>367</v>
      </c>
      <c r="Q122" s="67">
        <v>1</v>
      </c>
      <c r="R122" s="67">
        <v>144</v>
      </c>
      <c r="S122" s="67">
        <v>0</v>
      </c>
      <c r="T122" s="67">
        <v>0</v>
      </c>
      <c r="U122" s="67">
        <v>0</v>
      </c>
      <c r="V122" s="67">
        <v>0</v>
      </c>
      <c r="W122" s="67">
        <v>1</v>
      </c>
      <c r="X122" s="148">
        <v>1449</v>
      </c>
      <c r="Y122" s="116">
        <v>709</v>
      </c>
      <c r="Z122" s="67">
        <v>360</v>
      </c>
      <c r="AA122" s="67">
        <v>30</v>
      </c>
      <c r="AB122" s="117">
        <v>0</v>
      </c>
      <c r="AC122" s="145">
        <v>2428</v>
      </c>
      <c r="AD122" s="64">
        <v>14187</v>
      </c>
      <c r="AE122" s="67">
        <v>800</v>
      </c>
      <c r="AF122" s="117">
        <v>0</v>
      </c>
      <c r="AG122" s="68">
        <v>16975</v>
      </c>
      <c r="AH122" s="116">
        <v>86</v>
      </c>
      <c r="AI122" s="67">
        <v>54</v>
      </c>
      <c r="AJ122" s="67">
        <v>49</v>
      </c>
      <c r="AK122" s="67">
        <v>8</v>
      </c>
      <c r="AL122" s="67">
        <v>7</v>
      </c>
      <c r="AM122" s="67">
        <v>7</v>
      </c>
      <c r="AN122" s="67">
        <v>8</v>
      </c>
      <c r="AO122" s="94">
        <v>7</v>
      </c>
      <c r="AP122" s="68">
        <v>1629581</v>
      </c>
    </row>
    <row r="123" spans="1:42" x14ac:dyDescent="0.25">
      <c r="A123" s="330" t="s">
        <v>151</v>
      </c>
      <c r="B123" s="191">
        <f t="shared" si="56"/>
        <v>264668.60915064969</v>
      </c>
      <c r="C123" s="104">
        <f t="shared" si="57"/>
        <v>635399.41200000001</v>
      </c>
      <c r="D123" s="104">
        <f t="shared" si="58"/>
        <v>487827</v>
      </c>
      <c r="E123" s="104">
        <f t="shared" si="59"/>
        <v>627285</v>
      </c>
      <c r="F123" s="104">
        <f t="shared" si="60"/>
        <v>320488</v>
      </c>
      <c r="G123" s="165">
        <f t="shared" si="61"/>
        <v>354127.2</v>
      </c>
      <c r="H123" s="185">
        <f t="shared" si="62"/>
        <v>1.5251612903225806E-2</v>
      </c>
      <c r="I123" s="83">
        <v>420000</v>
      </c>
      <c r="J123" s="177"/>
      <c r="K123" s="79">
        <v>393924</v>
      </c>
      <c r="L123" s="166"/>
      <c r="M123" s="126">
        <v>4</v>
      </c>
      <c r="N123" s="63">
        <v>75</v>
      </c>
      <c r="O123" s="63">
        <v>1</v>
      </c>
      <c r="P123" s="63">
        <v>82</v>
      </c>
      <c r="Q123" s="63">
        <v>2</v>
      </c>
      <c r="R123" s="63">
        <v>240</v>
      </c>
      <c r="S123" s="66"/>
      <c r="T123" s="66"/>
      <c r="U123" s="66"/>
      <c r="V123" s="66"/>
      <c r="W123" s="66"/>
      <c r="X123" s="125"/>
      <c r="Y123" s="126">
        <v>97</v>
      </c>
      <c r="Z123" s="63">
        <v>58</v>
      </c>
      <c r="AA123" s="63"/>
      <c r="AB123" s="127"/>
      <c r="AC123" s="157">
        <v>312</v>
      </c>
      <c r="AD123" s="79">
        <v>2048</v>
      </c>
      <c r="AE123" s="66"/>
      <c r="AF123" s="125"/>
      <c r="AG123" s="83">
        <v>2364</v>
      </c>
      <c r="AH123" s="126">
        <v>13</v>
      </c>
      <c r="AI123" s="106"/>
      <c r="AJ123" s="66"/>
      <c r="AK123" s="66"/>
      <c r="AL123" s="66"/>
      <c r="AM123" s="66"/>
      <c r="AN123" s="66"/>
      <c r="AO123" s="102"/>
      <c r="AP123" s="83">
        <v>149961</v>
      </c>
    </row>
    <row r="124" spans="1:42" x14ac:dyDescent="0.25">
      <c r="A124" s="330" t="s">
        <v>143</v>
      </c>
      <c r="B124" s="191">
        <f t="shared" si="56"/>
        <v>179645.99941557963</v>
      </c>
      <c r="C124" s="104">
        <f t="shared" si="57"/>
        <v>447033.272</v>
      </c>
      <c r="D124" s="104">
        <f t="shared" si="58"/>
        <v>0</v>
      </c>
      <c r="E124" s="104">
        <f t="shared" si="59"/>
        <v>169974</v>
      </c>
      <c r="F124" s="104">
        <f t="shared" si="60"/>
        <v>160787.20000000001</v>
      </c>
      <c r="G124" s="165">
        <f t="shared" si="61"/>
        <v>178711.40000000002</v>
      </c>
      <c r="H124" s="185">
        <f t="shared" si="62"/>
        <v>2.8404761904761905E-2</v>
      </c>
      <c r="I124" s="68">
        <v>277144</v>
      </c>
      <c r="J124" s="175">
        <v>0</v>
      </c>
      <c r="K124" s="73">
        <v>277144</v>
      </c>
      <c r="L124" s="169">
        <v>0</v>
      </c>
      <c r="M124" s="11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117"/>
      <c r="Y124" s="116">
        <v>22</v>
      </c>
      <c r="Z124" s="67">
        <v>20</v>
      </c>
      <c r="AA124" s="67">
        <v>0</v>
      </c>
      <c r="AB124" s="117">
        <v>0</v>
      </c>
      <c r="AC124" s="116">
        <v>63</v>
      </c>
      <c r="AD124" s="64">
        <v>1121</v>
      </c>
      <c r="AE124" s="67"/>
      <c r="AF124" s="117"/>
      <c r="AG124" s="68">
        <v>1193</v>
      </c>
      <c r="AH124" s="116">
        <v>6</v>
      </c>
      <c r="AI124" s="67"/>
      <c r="AJ124" s="67"/>
      <c r="AK124" s="67"/>
      <c r="AL124" s="67"/>
      <c r="AM124" s="67"/>
      <c r="AN124" s="67"/>
      <c r="AO124" s="94"/>
      <c r="AP124" s="68">
        <v>131648</v>
      </c>
    </row>
    <row r="125" spans="1:42" x14ac:dyDescent="0.25">
      <c r="A125" s="331" t="s">
        <v>177</v>
      </c>
      <c r="B125" s="192"/>
      <c r="C125" s="193"/>
      <c r="D125" s="193"/>
      <c r="E125" s="193"/>
      <c r="F125" s="193"/>
      <c r="G125" s="194"/>
      <c r="H125" s="186"/>
      <c r="I125" s="101"/>
      <c r="J125" s="176"/>
      <c r="K125" s="170"/>
      <c r="L125" s="171"/>
      <c r="M125" s="122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123"/>
      <c r="Y125" s="122"/>
      <c r="Z125" s="98"/>
      <c r="AA125" s="98"/>
      <c r="AB125" s="123"/>
      <c r="AC125" s="122"/>
      <c r="AD125" s="99"/>
      <c r="AE125" s="98"/>
      <c r="AF125" s="123"/>
      <c r="AG125" s="101"/>
      <c r="AH125" s="122"/>
      <c r="AI125" s="98"/>
      <c r="AJ125" s="98"/>
      <c r="AK125" s="98"/>
      <c r="AL125" s="98"/>
      <c r="AM125" s="98"/>
      <c r="AN125" s="98"/>
      <c r="AO125" s="100"/>
      <c r="AP125" s="101"/>
    </row>
    <row r="126" spans="1:42" x14ac:dyDescent="0.25">
      <c r="A126" s="330" t="s">
        <v>144</v>
      </c>
      <c r="B126" s="191">
        <f t="shared" ref="B126:B127" si="63">1.518*I126^0.9321</f>
        <v>265954.73368239304</v>
      </c>
      <c r="C126" s="104">
        <f t="shared" ref="C126:C127" si="64">0.748*J126+1.613*K126+1.774*L126</f>
        <v>661333.22600000002</v>
      </c>
      <c r="D126" s="104">
        <f t="shared" ref="D126:D127" si="65">35453*M126+56469*O126+144773*Q126+178851*(S126+U126)+440*X126</f>
        <v>0</v>
      </c>
      <c r="E126" s="104">
        <f t="shared" ref="E126:E127" si="66">4047*(Y126+Z126)+85370*(AA126+AB126)</f>
        <v>522063</v>
      </c>
      <c r="F126" s="104">
        <f t="shared" ref="F126:F127" si="67">135.8*(AC126+AD126)+430.2*AE126+1208.1*AF126</f>
        <v>277303.60000000003</v>
      </c>
      <c r="G126" s="165">
        <f t="shared" ref="G126:G127" si="68">149.8*AG126</f>
        <v>303045.40000000002</v>
      </c>
      <c r="H126" s="185">
        <f t="shared" ref="H126" si="69">AG126/(SUM(Y126:AB126)*1000)</f>
        <v>1.5682170542635657E-2</v>
      </c>
      <c r="I126" s="68">
        <v>422190</v>
      </c>
      <c r="J126" s="175">
        <v>0</v>
      </c>
      <c r="K126" s="79">
        <v>410002</v>
      </c>
      <c r="L126" s="166">
        <v>0</v>
      </c>
      <c r="M126" s="124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5"/>
      <c r="Y126" s="124">
        <v>94</v>
      </c>
      <c r="Z126" s="66">
        <v>35</v>
      </c>
      <c r="AA126" s="67">
        <v>0</v>
      </c>
      <c r="AB126" s="117">
        <v>0</v>
      </c>
      <c r="AC126" s="116">
        <v>319</v>
      </c>
      <c r="AD126" s="64">
        <v>1723</v>
      </c>
      <c r="AE126" s="67"/>
      <c r="AF126" s="117"/>
      <c r="AG126" s="68">
        <v>2023</v>
      </c>
      <c r="AH126" s="116">
        <v>20</v>
      </c>
      <c r="AI126" s="67">
        <v>2</v>
      </c>
      <c r="AJ126" s="67">
        <v>7</v>
      </c>
      <c r="AK126" s="67">
        <v>1</v>
      </c>
      <c r="AL126" s="67">
        <v>1</v>
      </c>
      <c r="AM126" s="67">
        <v>1</v>
      </c>
      <c r="AN126" s="67">
        <v>2</v>
      </c>
      <c r="AO126" s="94">
        <v>4</v>
      </c>
      <c r="AP126" s="68">
        <v>175000</v>
      </c>
    </row>
    <row r="127" spans="1:42" ht="15.75" thickBot="1" x14ac:dyDescent="0.3">
      <c r="A127" s="335" t="s">
        <v>145</v>
      </c>
      <c r="B127" s="195">
        <f t="shared" si="63"/>
        <v>344275.68809968617</v>
      </c>
      <c r="C127" s="196">
        <f t="shared" si="64"/>
        <v>0</v>
      </c>
      <c r="D127" s="196">
        <f t="shared" si="65"/>
        <v>35453</v>
      </c>
      <c r="E127" s="196">
        <f t="shared" si="66"/>
        <v>0</v>
      </c>
      <c r="F127" s="196">
        <f t="shared" si="67"/>
        <v>0</v>
      </c>
      <c r="G127" s="197">
        <f t="shared" si="68"/>
        <v>1048.6000000000001</v>
      </c>
      <c r="H127" s="187"/>
      <c r="I127" s="115">
        <v>556894</v>
      </c>
      <c r="J127" s="181">
        <v>0</v>
      </c>
      <c r="K127" s="336">
        <v>0</v>
      </c>
      <c r="L127" s="337">
        <v>0</v>
      </c>
      <c r="M127" s="338">
        <v>1</v>
      </c>
      <c r="N127" s="339">
        <v>30</v>
      </c>
      <c r="O127" s="339"/>
      <c r="P127" s="339"/>
      <c r="Q127" s="339"/>
      <c r="R127" s="339"/>
      <c r="S127" s="339"/>
      <c r="T127" s="339"/>
      <c r="U127" s="339"/>
      <c r="V127" s="339"/>
      <c r="W127" s="339"/>
      <c r="X127" s="340"/>
      <c r="Y127" s="338"/>
      <c r="Z127" s="339"/>
      <c r="AA127" s="139"/>
      <c r="AB127" s="140"/>
      <c r="AC127" s="138"/>
      <c r="AD127" s="139"/>
      <c r="AE127" s="139"/>
      <c r="AF127" s="140"/>
      <c r="AG127" s="341">
        <v>7</v>
      </c>
      <c r="AH127" s="138">
        <v>5</v>
      </c>
      <c r="AI127" s="139"/>
      <c r="AJ127" s="139"/>
      <c r="AK127" s="139"/>
      <c r="AL127" s="139"/>
      <c r="AM127" s="139"/>
      <c r="AN127" s="139"/>
      <c r="AO127" s="198"/>
      <c r="AP127" s="115">
        <v>111108</v>
      </c>
    </row>
  </sheetData>
  <sortState ref="A3:AP213">
    <sortCondition ref="A3"/>
  </sortState>
  <customSheetViews>
    <customSheetView guid="{FBBE7246-40DD-42AB-86B1-0191774D1FB8}" scale="90">
      <pane xSplit="1" ySplit="2" topLeftCell="R134" activePane="bottomRight" state="frozen"/>
      <selection pane="bottomRight" activeCell="AF138" sqref="AF138"/>
      <pageMargins left="0.7" right="0.7" top="0.75" bottom="0.75" header="0.3" footer="0.3"/>
      <pageSetup paperSize="9" orientation="portrait" r:id="rId1"/>
    </customSheetView>
    <customSheetView guid="{63D1720F-4071-49FA-85F9-136B4284D4AA}" scale="90">
      <pane xSplit="1" ySplit="2" topLeftCell="B112" activePane="bottomRight" state="frozen"/>
      <selection pane="bottomRight" activeCell="F120" sqref="F120"/>
      <pageMargins left="0.7" right="0.7" top="0.75" bottom="0.75" header="0.3" footer="0.3"/>
      <pageSetup paperSize="9" orientation="portrait" r:id="rId2"/>
    </customSheetView>
    <customSheetView guid="{91CAE626-C22B-43EE-8559-3D995B6A9B34}" scale="90">
      <pane xSplit="1" ySplit="2" topLeftCell="B48" activePane="bottomRight" state="frozen"/>
      <selection pane="bottomRight" activeCell="B97" sqref="B97"/>
      <pageMargins left="0.7" right="0.7" top="0.75" bottom="0.75" header="0.3" footer="0.3"/>
      <pageSetup paperSize="9" orientation="portrait" r:id="rId3"/>
    </customSheetView>
    <customSheetView guid="{937D496E-72A5-40F1-952C-5E35A20ED697}" scale="90">
      <pane xSplit="1" ySplit="2" topLeftCell="B141" activePane="bottomRight" state="frozen"/>
      <selection pane="bottomRight" activeCell="K173" sqref="K173"/>
      <pageMargins left="0.7" right="0.7" top="0.75" bottom="0.75" header="0.3" footer="0.3"/>
      <pageSetup paperSize="9" orientation="portrait" r:id="rId4"/>
    </customSheetView>
    <customSheetView guid="{68BED3F3-B66D-4BDF-B289-CEB7B90BD70C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5"/>
    </customSheetView>
    <customSheetView guid="{66AAE60A-A1F0-42D3-9B00-B3E131221C26}" scale="90">
      <pane xSplit="1" ySplit="2" topLeftCell="AN194" activePane="bottomRight" state="frozen"/>
      <selection pane="bottomRight" activeCell="AZ216" sqref="AZ216"/>
      <pageMargins left="0.7" right="0.7" top="0.75" bottom="0.75" header="0.3" footer="0.3"/>
      <pageSetup paperSize="9" orientation="portrait" r:id="rId6"/>
    </customSheetView>
    <customSheetView guid="{4DF14E47-3879-4E88-BE38-529244598D27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7"/>
    </customSheetView>
    <customSheetView guid="{BB5CC8CF-3004-46A6-928F-22EA17328835}" scale="90">
      <pane xSplit="1" ySplit="2" topLeftCell="L84" activePane="bottomRight" state="frozen"/>
      <selection pane="bottomRight" activeCell="A85" sqref="A85"/>
      <pageMargins left="0.7" right="0.7" top="0.75" bottom="0.75" header="0.3" footer="0.3"/>
      <pageSetup paperSize="9" orientation="portrait" r:id="rId8"/>
    </customSheetView>
    <customSheetView guid="{FEEC711D-7441-45C2-BE37-0D81F72CC105}" scale="90">
      <pane xSplit="1" ySplit="2" topLeftCell="R134" activePane="bottomRight" state="frozen"/>
      <selection pane="bottomRight" activeCell="AF138" sqref="AF138"/>
      <pageMargins left="0.7" right="0.7" top="0.75" bottom="0.75" header="0.3" footer="0.3"/>
      <pageSetup paperSize="9" orientation="portrait" r:id="rId9"/>
    </customSheetView>
  </customSheetViews>
  <mergeCells count="7">
    <mergeCell ref="A1:A2"/>
    <mergeCell ref="AH1:AO1"/>
    <mergeCell ref="B1:G1"/>
    <mergeCell ref="J1:L1"/>
    <mergeCell ref="M1:X1"/>
    <mergeCell ref="Y1:AB1"/>
    <mergeCell ref="AC1:AF1"/>
  </mergeCell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Potentialer og krav</vt:lpstr>
      <vt:lpstr>Netvolumenmål</vt:lpstr>
      <vt:lpstr>Costdrivere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dcterms:created xsi:type="dcterms:W3CDTF">2006-09-16T00:00:00Z</dcterms:created>
  <dcterms:modified xsi:type="dcterms:W3CDTF">2014-08-22T12:53:34Z</dcterms:modified>
</cp:coreProperties>
</file>