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HØRSHOLM AS (V10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C16" i="19" l="1"/>
  <c r="E11" i="37" l="1"/>
  <c r="E32" i="27" l="1"/>
  <c r="C19" i="23"/>
  <c r="C19" i="22"/>
  <c r="C19" i="15"/>
  <c r="C31" i="2"/>
  <c r="G18" i="40" l="1"/>
  <c r="E25" i="32" l="1"/>
  <c r="E29" i="32" s="1"/>
  <c r="E31" i="32" s="1"/>
  <c r="C17" i="15" l="1"/>
  <c r="C29" i="2"/>
  <c r="E12" i="39" l="1"/>
  <c r="C12" i="39"/>
  <c r="E11" i="29"/>
  <c r="E12" i="29" s="1"/>
  <c r="C14" i="2" s="1"/>
  <c r="C11" i="29"/>
  <c r="J11" i="11"/>
  <c r="H11" i="11"/>
  <c r="C17"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<sst xmlns="http://schemas.openxmlformats.org/spreadsheetml/2006/main" count="513" uniqueCount="256">
  <si>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</si>
  <si>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</si>
  <si>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</si>
  <si>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</si>
  <si>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</si>
  <si>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</si>
  <si>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</si>
  <si>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</si>
  <si>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</si>
  <si>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</si>
  <si>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</si>
  <si>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</si>
  <si>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</si>
  <si>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</si>
  <si>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</si>
  <si>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</si>
  <si>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</si>
  <si>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</si>
  <si>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</si>
  <si>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</si>
  <si>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</si>
  <si>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</si>
  <si>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</si>
  <si>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</si>
  <si>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</si>
  <si>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</si>
  <si>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</si>
  <si>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</si>
  <si>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</si>
  <si>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</si>
  <si>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</si>
  <si>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</si>
  <si>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</si>
  <si>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</si>
  <si>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</si>
  <si>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</si>
  <si>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</si>
  <si>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</si>
  <si>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</si>
  <si>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</si>
  <si>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</si>
  <si>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</si>
  <si>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</si>
  <si>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</si>
  <si>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</si>
  <si>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</si>
  <si>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</si>
  <si>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</si>
  <si>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</si>
  <si>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</si>
  <si>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</si>
  <si>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</si>
  <si>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</si>
  <si>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</si>
  <si>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</si>
  <si>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</si>
  <si>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</si>
  <si>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</si>
  <si>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</si>
  <si>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</si>
  <si>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</si>
  <si>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</si>
  <si>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</si>
  <si>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</si>
  <si>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</si>
  <si>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</si>
  <si>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</si>
  <si>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</si>
  <si>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</si>
  <si>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</si>
  <si>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</si>
  <si>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</si>
  <si>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</si>
  <si>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</si>
  <si>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</si>
  <si>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</si>
  <si>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</si>
  <si>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</si>
  <si>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</si>
  <si>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</si>
  <si>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</si>
  <si>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</si>
  <si>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</si>
  <si>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</si>
  <si>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</si>
  <si>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</si>
  <si>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</si>
  <si>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</si>
  <si>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</si>
  <si>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</si>
  <si>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</si>
  <si>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</si>
  <si>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</si>
  <si>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</si>
  <si>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</si>
  <si>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</si>
  <si>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</si>
  <si>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</si>
  <si>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</si>
  <si>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</si>
  <si>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</si>
  <si>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</si>
  <si>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</si>
  <si>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</si>
  <si>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</si>
  <si>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</si>
  <si>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</si>
  <si>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</si>
  <si>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</si>
  <si>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</si>
  <si>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</si>
  <si>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</si>
  <si>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</si>
  <si>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</si>
  <si>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</si>
  <si>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</si>
  <si>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</si>
  <si>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</si>
  <si>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</si>
  <si>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</si>
  <si>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</si>
  <si>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</si>
  <si>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</si>
  <si>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</si>
  <si>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</si>
  <si>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</si>
  <si>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</si>
  <si>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</si>
  <si>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</si>
  <si>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</si>
  <si>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</si>
  <si>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</si>
  <si>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</si>
  <si>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</si>
  <si>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</si>
  <si>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</si>
  <si>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</si>
  <si>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</si>
  <si>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</si>
  <si>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</si>
  <si>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</si>
  <si>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</si>
  <si>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</si>
  <si>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</si>
  <si>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</si>
  <si>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</si>
  <si>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</si>
  <si>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</si>
  <si>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</si>
  <si>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</si>
  <si>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</si>
  <si>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</si>
  <si>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</si>
  <si>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</si>
  <si>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</si>
  <si>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</si>
  <si>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</si>
  <si>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</si>
  <si>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</si>
  <si>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</si>
  <si>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</si>
  <si>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</si>
  <si>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</si>
  <si>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</si>
  <si>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</si>
  <si>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</si>
  <si>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</si>
  <si>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</si>
  <si>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</si>
  <si>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</si>
  <si>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</si>
  <si>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</si>
  <si>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</si>
  <si>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</si>
  <si>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</si>
  <si>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</si>
  <si>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</si>
  <si>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</si>
  <si>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</si>
  <si>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</si>
  <si>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</si>
  <si>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</si>
  <si>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</si>
  <si>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</si>
  <si>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</si>
  <si>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</si>
  <si>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</si>
  <si>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</si>
  <si>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</si>
  <si>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</si>
  <si>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</si>
  <si>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</si>
  <si>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</si>
  <si>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</si>
  <si>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</si>
  <si>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</si>
  <si>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</si>
  <si>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</si>
  <si>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</si>
  <si>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</si>
  <si>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</si>
  <si>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</si>
  <si>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</si>
  <si>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</si>
  <si>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</si>
  <si>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</si>
  <si>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</si>
  <si>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</si>
  <si>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</si>
  <si>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</si>
  <si>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</si>
  <si>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</si>
  <si>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</si>
  <si>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</si>
  <si>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</si>
  <si>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</si>
  <si>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</si>
  <si>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</si>
  <si>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</si>
  <si>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</si>
  <si>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</si>
  <si>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</si>
  <si>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</si>
  <si>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</si>
  <si>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</si>
  <si>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</si>
  <si>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</si>
  <si>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</si>
  <si>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</si>
  <si>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</si>
  <si>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</si>
  <si>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</si>
  <si>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</si>
  <si>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</si>
  <si>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</si>
  <si>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Erstatninger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</si>
  <si>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</si>
  <si>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</si>
  <si>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</si>
  <si>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</si>
  <si>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</si>
  <si>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</si>
  <si>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</si>
  <si>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</si>
  <si>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</si>
  <si>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</si>
  <si>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</si>
  <si>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</si>
  <si>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</si>
  <si>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</si>
  <si>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</si>
  <si>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</si>
  <si>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</si>
  <si>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</si>
  <si>
    <t>Udvidelse af forsyningsområdet</t>
  </si>
  <si>
    <t>Afgift for ledningsført vand (Fusion med Isterød vandforsyning)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</si>
</sst>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C5">
            <v>1.0168999999999999</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6" t="s">
        <v>4</v>
      </c>
      <c r="E6" s="86"/>
      <c r="F6" s="86"/>
      <c r="G6" s="86"/>
      <c r="H6" s="3"/>
      <c r="I6" s="1"/>
    </row>
    <row r="7" spans="1:9" ht="15" customHeight="1" x14ac:dyDescent="0.25">
      <c r="A7" s="1"/>
      <c r="B7" s="1"/>
      <c r="C7" s="3"/>
      <c r="D7" s="86"/>
      <c r="E7" s="86"/>
      <c r="F7" s="86"/>
      <c r="G7" s="86"/>
      <c r="H7" s="3"/>
      <c r="I7" s="1"/>
    </row>
    <row r="8" spans="1:9" ht="15.75" x14ac:dyDescent="0.25">
      <c r="A8" s="1"/>
      <c r="B8" s="1"/>
      <c r="C8" s="4"/>
      <c r="D8" s="91" t="s">
        <v>194</v>
      </c>
      <c r="E8" s="91"/>
      <c r="F8" s="91"/>
      <c r="G8" s="91"/>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0" t="s">
        <v>5</v>
      </c>
      <c r="E11" s="90"/>
      <c r="F11" s="90"/>
      <c r="G11" s="90"/>
      <c r="H11" s="5"/>
      <c r="I11" s="1"/>
    </row>
    <row r="12" spans="1:9" x14ac:dyDescent="0.25">
      <c r="A12" s="1"/>
      <c r="B12" s="1"/>
      <c r="C12" s="1"/>
      <c r="D12" s="1"/>
      <c r="E12" s="1"/>
      <c r="F12" s="1"/>
      <c r="G12" s="1"/>
      <c r="H12" s="1"/>
      <c r="I12" s="1"/>
    </row>
    <row r="13" spans="1:9" x14ac:dyDescent="0.25">
      <c r="A13" s="1"/>
      <c r="B13" s="1"/>
      <c r="C13" s="6" t="s">
        <v>6</v>
      </c>
      <c r="D13" s="83" t="s">
        <v>161</v>
      </c>
      <c r="E13" s="84"/>
      <c r="F13" s="84"/>
      <c r="G13" s="85"/>
      <c r="H13" s="1"/>
      <c r="I13" s="1"/>
    </row>
    <row r="14" spans="1:9" x14ac:dyDescent="0.25">
      <c r="A14" s="1"/>
      <c r="B14" s="1"/>
      <c r="C14" s="6" t="s">
        <v>14</v>
      </c>
      <c r="D14" s="83" t="s">
        <v>204</v>
      </c>
      <c r="E14" s="84"/>
      <c r="F14" s="84"/>
      <c r="G14" s="85"/>
      <c r="H14" s="1"/>
      <c r="I14" s="1"/>
    </row>
    <row r="15" spans="1:9" x14ac:dyDescent="0.25">
      <c r="A15" s="1"/>
      <c r="B15" s="1"/>
      <c r="C15" s="6" t="s">
        <v>32</v>
      </c>
      <c r="D15" s="83" t="s">
        <v>137</v>
      </c>
      <c r="E15" s="84"/>
      <c r="F15" s="84"/>
      <c r="G15" s="85"/>
      <c r="H15" s="1"/>
      <c r="I15" s="1"/>
    </row>
    <row r="16" spans="1:9" x14ac:dyDescent="0.25">
      <c r="A16" s="1"/>
      <c r="B16" s="1"/>
      <c r="C16" s="6" t="s">
        <v>33</v>
      </c>
      <c r="D16" s="83" t="s">
        <v>162</v>
      </c>
      <c r="E16" s="84"/>
      <c r="F16" s="84"/>
      <c r="G16" s="85"/>
      <c r="H16" s="1"/>
      <c r="I16" s="1"/>
    </row>
    <row r="17" spans="1:9" x14ac:dyDescent="0.25">
      <c r="A17" s="1"/>
      <c r="B17" s="1"/>
      <c r="C17" s="6" t="s">
        <v>110</v>
      </c>
      <c r="D17" s="83" t="s">
        <v>163</v>
      </c>
      <c r="E17" s="84"/>
      <c r="F17" s="84"/>
      <c r="G17" s="85"/>
      <c r="H17" s="1"/>
      <c r="I17" s="1"/>
    </row>
    <row r="18" spans="1:9" x14ac:dyDescent="0.25">
      <c r="A18" s="1"/>
      <c r="B18" s="1"/>
      <c r="C18" s="6" t="s">
        <v>94</v>
      </c>
      <c r="D18" s="92" t="s">
        <v>86</v>
      </c>
      <c r="E18" s="93"/>
      <c r="F18" s="93"/>
      <c r="G18" s="94"/>
      <c r="H18" s="1"/>
      <c r="I18" s="1"/>
    </row>
    <row r="19" spans="1:9" x14ac:dyDescent="0.25">
      <c r="A19" s="1"/>
      <c r="B19" s="1"/>
      <c r="C19" s="6" t="s">
        <v>95</v>
      </c>
      <c r="D19" s="92" t="s">
        <v>87</v>
      </c>
      <c r="E19" s="93"/>
      <c r="F19" s="93"/>
      <c r="G19" s="94"/>
      <c r="H19" s="1"/>
      <c r="I19" s="1"/>
    </row>
    <row r="20" spans="1:9" x14ac:dyDescent="0.25">
      <c r="A20" s="1"/>
      <c r="B20" s="1"/>
      <c r="C20" s="6" t="s">
        <v>7</v>
      </c>
      <c r="D20" s="92" t="s">
        <v>9</v>
      </c>
      <c r="E20" s="93"/>
      <c r="F20" s="93"/>
      <c r="G20" s="94"/>
      <c r="H20" s="1"/>
      <c r="I20" s="1"/>
    </row>
    <row r="21" spans="1:9" x14ac:dyDescent="0.25">
      <c r="A21" s="1"/>
      <c r="B21" s="1"/>
      <c r="C21" s="6" t="s">
        <v>96</v>
      </c>
      <c r="D21" s="98" t="s">
        <v>11</v>
      </c>
      <c r="E21" s="99"/>
      <c r="F21" s="99"/>
      <c r="G21" s="100"/>
      <c r="H21" s="1"/>
      <c r="I21" s="1"/>
    </row>
    <row r="22" spans="1:9" x14ac:dyDescent="0.25">
      <c r="A22" s="1"/>
      <c r="B22" s="1"/>
      <c r="C22" s="6" t="s">
        <v>78</v>
      </c>
      <c r="D22" s="87" t="s">
        <v>164</v>
      </c>
      <c r="E22" s="88"/>
      <c r="F22" s="88"/>
      <c r="G22" s="89"/>
      <c r="H22" s="1"/>
      <c r="I22" s="1"/>
    </row>
    <row r="23" spans="1:9" x14ac:dyDescent="0.25">
      <c r="A23" s="1"/>
      <c r="B23" s="1"/>
      <c r="C23" s="6" t="s">
        <v>8</v>
      </c>
      <c r="D23" s="87" t="s">
        <v>219</v>
      </c>
      <c r="E23" s="88"/>
      <c r="F23" s="88"/>
      <c r="G23" s="89"/>
      <c r="H23" s="1"/>
      <c r="I23" s="1"/>
    </row>
    <row r="24" spans="1:9" x14ac:dyDescent="0.25">
      <c r="A24" s="1"/>
      <c r="B24" s="1"/>
      <c r="C24" s="6" t="s">
        <v>215</v>
      </c>
      <c r="D24" s="87" t="s">
        <v>205</v>
      </c>
      <c r="E24" s="88"/>
      <c r="F24" s="88"/>
      <c r="G24" s="89"/>
      <c r="H24" s="1"/>
      <c r="I24" s="1"/>
    </row>
    <row r="25" spans="1:9" x14ac:dyDescent="0.25">
      <c r="A25" s="1"/>
      <c r="B25" s="1"/>
      <c r="C25" s="6" t="s">
        <v>216</v>
      </c>
      <c r="D25" s="87" t="s">
        <v>79</v>
      </c>
      <c r="E25" s="88"/>
      <c r="F25" s="88"/>
      <c r="G25" s="89"/>
      <c r="H25" s="1"/>
      <c r="I25" s="1"/>
    </row>
    <row r="26" spans="1:9" x14ac:dyDescent="0.25">
      <c r="A26" s="1"/>
      <c r="B26" s="1"/>
      <c r="C26" s="6" t="s">
        <v>217</v>
      </c>
      <c r="D26" s="87" t="s">
        <v>80</v>
      </c>
      <c r="E26" s="88"/>
      <c r="F26" s="88"/>
      <c r="G26" s="89"/>
      <c r="H26" s="1"/>
      <c r="I26" s="1"/>
    </row>
    <row r="27" spans="1:9" x14ac:dyDescent="0.25">
      <c r="A27" s="1"/>
      <c r="B27" s="1"/>
      <c r="C27" s="6" t="s">
        <v>97</v>
      </c>
      <c r="D27" s="87" t="s">
        <v>111</v>
      </c>
      <c r="E27" s="88"/>
      <c r="F27" s="88"/>
      <c r="G27" s="89"/>
      <c r="H27" s="1"/>
      <c r="I27" s="1"/>
    </row>
    <row r="28" spans="1:9" x14ac:dyDescent="0.25">
      <c r="A28" s="1"/>
      <c r="B28" s="1"/>
      <c r="C28" s="6" t="s">
        <v>91</v>
      </c>
      <c r="D28" s="87" t="s">
        <v>34</v>
      </c>
      <c r="E28" s="88"/>
      <c r="F28" s="88"/>
      <c r="G28" s="89"/>
      <c r="H28" s="1"/>
      <c r="I28" s="1"/>
    </row>
    <row r="29" spans="1:9" x14ac:dyDescent="0.25">
      <c r="A29" s="1"/>
      <c r="B29" s="1"/>
      <c r="C29" s="6" t="s">
        <v>218</v>
      </c>
      <c r="D29" s="95" t="s">
        <v>92</v>
      </c>
      <c r="E29" s="96"/>
      <c r="F29" s="96"/>
      <c r="G29" s="97"/>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1" t="s">
        <v>100</v>
      </c>
      <c r="C3" s="101"/>
      <c r="D3" s="101"/>
      <c r="E3" s="1"/>
      <c r="F3" s="1"/>
    </row>
    <row r="4" spans="1:6" ht="15" customHeight="1" x14ac:dyDescent="0.25">
      <c r="A4" s="1"/>
      <c r="B4" s="101"/>
      <c r="C4" s="101"/>
      <c r="D4" s="10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0" t="s">
        <v>181</v>
      </c>
      <c r="C8" s="121"/>
      <c r="D8" s="122"/>
      <c r="E8" s="1"/>
      <c r="F8" s="1"/>
    </row>
    <row r="9" spans="1:6" ht="15" customHeight="1" x14ac:dyDescent="0.25">
      <c r="A9" s="1"/>
      <c r="B9" s="33" t="s">
        <v>30</v>
      </c>
      <c r="C9" s="11" t="s">
        <v>212</v>
      </c>
      <c r="D9" s="11"/>
      <c r="E9" s="1"/>
      <c r="F9" s="1"/>
    </row>
    <row r="10" spans="1:6" x14ac:dyDescent="0.25">
      <c r="A10" s="1"/>
      <c r="B10" s="79" t="s">
        <v>231</v>
      </c>
      <c r="C10" s="9">
        <v>9250116</v>
      </c>
      <c r="D10" s="14" t="s">
        <v>3</v>
      </c>
      <c r="E10" s="1"/>
      <c r="F10" s="1"/>
    </row>
    <row r="11" spans="1:6" x14ac:dyDescent="0.25">
      <c r="A11" s="1"/>
      <c r="B11" s="79" t="s">
        <v>232</v>
      </c>
      <c r="C11" s="9">
        <v>84593</v>
      </c>
      <c r="D11" s="14" t="s">
        <v>3</v>
      </c>
      <c r="E11" s="1"/>
      <c r="F11" s="1"/>
    </row>
    <row r="12" spans="1:6" x14ac:dyDescent="0.25">
      <c r="A12" s="1"/>
      <c r="B12" s="79" t="s">
        <v>233</v>
      </c>
      <c r="C12" s="9">
        <v>4554472</v>
      </c>
      <c r="D12" s="14" t="s">
        <v>3</v>
      </c>
      <c r="E12" s="1"/>
      <c r="F12" s="1"/>
    </row>
    <row r="13" spans="1:6" x14ac:dyDescent="0.25">
      <c r="A13" s="1"/>
      <c r="B13" s="79" t="s">
        <v>234</v>
      </c>
      <c r="C13" s="9">
        <v>84593</v>
      </c>
      <c r="D13" s="14" t="s">
        <v>3</v>
      </c>
      <c r="E13" s="1"/>
      <c r="F13" s="1"/>
    </row>
    <row r="14" spans="1:6" x14ac:dyDescent="0.25">
      <c r="A14" s="1"/>
      <c r="B14" s="79" t="s">
        <v>235</v>
      </c>
      <c r="C14" s="9">
        <v>25578</v>
      </c>
      <c r="D14" s="14" t="s">
        <v>3</v>
      </c>
      <c r="E14" s="1"/>
      <c r="F14" s="1"/>
    </row>
    <row r="15" spans="1:6" ht="29.25" customHeight="1" x14ac:dyDescent="0.25">
      <c r="A15" s="1"/>
      <c r="B15" s="82" t="s">
        <v>255</v>
      </c>
      <c r="C15" s="9">
        <v>42067</v>
      </c>
      <c r="D15" s="14" t="s">
        <v>3</v>
      </c>
      <c r="E15" s="1"/>
      <c r="F15" s="1"/>
    </row>
    <row r="16" spans="1:6" x14ac:dyDescent="0.25">
      <c r="A16" s="1"/>
      <c r="B16" s="71" t="s">
        <v>182</v>
      </c>
      <c r="C16" s="12">
        <f>SUM(C10:C15)</f>
        <v>14041419</v>
      </c>
      <c r="D16" s="13" t="s">
        <v>3</v>
      </c>
      <c r="E16" s="1"/>
      <c r="F16" s="1"/>
    </row>
    <row r="17" spans="1:6" x14ac:dyDescent="0.25">
      <c r="A17" s="1"/>
      <c r="B17" s="71" t="s">
        <v>183</v>
      </c>
      <c r="C17" s="12">
        <f>C16*(1+'Fane 13. Nøgletal'!C15)^2</f>
        <v>15058963.565583842</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3" t="s">
        <v>184</v>
      </c>
      <c r="C3" s="123"/>
      <c r="D3" s="123"/>
      <c r="E3" s="123"/>
      <c r="F3" s="123"/>
      <c r="G3" s="1"/>
    </row>
    <row r="4" spans="1:7" ht="15" customHeight="1" x14ac:dyDescent="0.25">
      <c r="A4" s="1"/>
      <c r="B4" s="123"/>
      <c r="C4" s="123"/>
      <c r="D4" s="123"/>
      <c r="E4" s="123"/>
      <c r="F4" s="123"/>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0" t="s">
        <v>155</v>
      </c>
      <c r="C8" s="121"/>
      <c r="D8" s="121"/>
      <c r="E8" s="121"/>
      <c r="F8" s="122"/>
      <c r="G8" s="1"/>
    </row>
    <row r="9" spans="1:7" x14ac:dyDescent="0.25">
      <c r="A9" s="1"/>
      <c r="B9" s="127" t="s">
        <v>156</v>
      </c>
      <c r="C9" s="128"/>
      <c r="D9" s="129"/>
      <c r="E9" s="9">
        <v>306409</v>
      </c>
      <c r="F9" s="14" t="s">
        <v>3</v>
      </c>
      <c r="G9" s="1"/>
    </row>
    <row r="10" spans="1:7" x14ac:dyDescent="0.25">
      <c r="A10" s="1"/>
      <c r="B10" s="142" t="s">
        <v>236</v>
      </c>
      <c r="C10" s="143"/>
      <c r="D10" s="144"/>
      <c r="E10" s="9">
        <v>306409</v>
      </c>
      <c r="F10" s="54" t="s">
        <v>3</v>
      </c>
      <c r="G10" s="1"/>
    </row>
    <row r="11" spans="1:7" x14ac:dyDescent="0.25">
      <c r="A11" s="1"/>
      <c r="B11" s="127" t="s">
        <v>185</v>
      </c>
      <c r="C11" s="128"/>
      <c r="D11" s="129"/>
      <c r="E11" s="9">
        <v>997683.11769077554</v>
      </c>
      <c r="F11" s="14" t="s">
        <v>3</v>
      </c>
      <c r="G11" s="1"/>
    </row>
    <row r="12" spans="1:7" x14ac:dyDescent="0.25">
      <c r="A12" s="1"/>
      <c r="B12" s="71"/>
      <c r="C12" s="72"/>
      <c r="D12" s="72"/>
      <c r="E12" s="72"/>
      <c r="F12" s="19"/>
      <c r="G12" s="1"/>
    </row>
    <row r="13" spans="1:7" ht="64.900000000000006" customHeight="1" x14ac:dyDescent="0.25">
      <c r="A13" s="1"/>
      <c r="B13" s="103" t="s">
        <v>251</v>
      </c>
      <c r="C13" s="104"/>
      <c r="D13" s="104"/>
      <c r="E13" s="104"/>
      <c r="F13" s="105"/>
      <c r="G13" s="1"/>
    </row>
    <row r="14" spans="1:7" ht="27" customHeight="1" x14ac:dyDescent="0.25">
      <c r="A14" s="1"/>
      <c r="B14" s="1"/>
      <c r="C14" s="1"/>
      <c r="D14" s="1"/>
      <c r="E14" s="1"/>
      <c r="F14" s="1"/>
      <c r="G14" s="1"/>
    </row>
    <row r="15" spans="1:7" ht="28.5" customHeight="1" x14ac:dyDescent="0.25">
      <c r="A15" s="1"/>
      <c r="B15" s="120" t="s">
        <v>157</v>
      </c>
      <c r="C15" s="121"/>
      <c r="D15" s="121"/>
      <c r="E15" s="121"/>
      <c r="F15" s="122"/>
      <c r="G15" s="1"/>
    </row>
    <row r="16" spans="1:7" x14ac:dyDescent="0.25">
      <c r="A16" s="1"/>
      <c r="B16" s="127" t="s">
        <v>237</v>
      </c>
      <c r="C16" s="128"/>
      <c r="D16" s="129"/>
      <c r="E16" s="9">
        <v>0</v>
      </c>
      <c r="F16" s="14" t="s">
        <v>3</v>
      </c>
      <c r="G16" s="1"/>
    </row>
    <row r="17" spans="1:7" x14ac:dyDescent="0.25">
      <c r="A17" s="1"/>
      <c r="B17" s="127" t="s">
        <v>238</v>
      </c>
      <c r="C17" s="128"/>
      <c r="D17" s="129"/>
      <c r="E17" s="9">
        <v>0</v>
      </c>
      <c r="F17" s="14" t="s">
        <v>3</v>
      </c>
      <c r="G17" s="1"/>
    </row>
    <row r="18" spans="1:7" x14ac:dyDescent="0.25">
      <c r="A18" s="1"/>
      <c r="B18" s="71"/>
      <c r="C18" s="72"/>
      <c r="D18" s="72"/>
      <c r="E18" s="72"/>
      <c r="F18" s="19"/>
      <c r="G18" s="1"/>
    </row>
    <row r="19" spans="1:7" ht="31.5" customHeight="1" x14ac:dyDescent="0.25">
      <c r="A19" s="1"/>
      <c r="B19" s="103" t="s">
        <v>158</v>
      </c>
      <c r="C19" s="104"/>
      <c r="D19" s="104"/>
      <c r="E19" s="104"/>
      <c r="F19" s="105"/>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239</v>
      </c>
      <c r="C22" s="77"/>
      <c r="D22" s="78"/>
      <c r="E22" s="9">
        <v>22940223.640597314</v>
      </c>
      <c r="F22" s="14" t="s">
        <v>3</v>
      </c>
      <c r="G22" s="1"/>
    </row>
    <row r="23" spans="1:7" x14ac:dyDescent="0.25">
      <c r="A23" s="1"/>
      <c r="B23" s="76" t="s">
        <v>187</v>
      </c>
      <c r="C23" s="77"/>
      <c r="D23" s="78"/>
      <c r="E23" s="9">
        <v>25372872</v>
      </c>
      <c r="F23" s="14" t="s">
        <v>3</v>
      </c>
      <c r="G23" s="1"/>
    </row>
    <row r="24" spans="1:7" x14ac:dyDescent="0.25">
      <c r="A24" s="1"/>
      <c r="B24" s="76" t="s">
        <v>31</v>
      </c>
      <c r="C24" s="77"/>
      <c r="D24" s="78"/>
      <c r="E24" s="9">
        <v>0</v>
      </c>
      <c r="F24" s="14" t="s">
        <v>3</v>
      </c>
      <c r="G24" s="1"/>
    </row>
    <row r="25" spans="1:7" x14ac:dyDescent="0.25">
      <c r="A25" s="1"/>
      <c r="B25" s="51" t="s">
        <v>252</v>
      </c>
      <c r="C25" s="52"/>
      <c r="D25" s="53"/>
      <c r="E25" s="57">
        <f>E22-(E23-E24)</f>
        <v>-2432648.3594026864</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0" t="s">
        <v>240</v>
      </c>
      <c r="C28" s="121"/>
      <c r="D28" s="121"/>
      <c r="E28" s="121"/>
      <c r="F28" s="122"/>
      <c r="G28" s="1"/>
    </row>
    <row r="29" spans="1:7" x14ac:dyDescent="0.25">
      <c r="A29" s="1"/>
      <c r="B29" s="145" t="s">
        <v>128</v>
      </c>
      <c r="C29" s="146"/>
      <c r="D29" s="147"/>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-1434965.2417119108</v>
      </c>
      <c r="F29" s="14" t="s">
        <v>3</v>
      </c>
      <c r="G29" s="1"/>
    </row>
    <row r="30" spans="1:7" x14ac:dyDescent="0.25">
      <c r="A30" s="1"/>
      <c r="B30" s="145" t="s">
        <v>93</v>
      </c>
      <c r="C30" s="146"/>
      <c r="D30" s="147"/>
      <c r="E30" s="9">
        <v>2</v>
      </c>
      <c r="F30" s="14" t="s">
        <v>18</v>
      </c>
      <c r="G30" s="1"/>
    </row>
    <row r="31" spans="1:7" x14ac:dyDescent="0.25">
      <c r="A31" s="1"/>
      <c r="B31" s="138" t="s">
        <v>127</v>
      </c>
      <c r="C31" s="138"/>
      <c r="D31" s="138"/>
      <c r="E31" s="10">
        <f>E29/E30</f>
        <v>-717482.62085595541</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8MIthhr9H9ppIZTeiXzugwUhrk1Tjf5mXJTHWzjgH3CCyEIroIYDPmgf6tyz3PCkwYuXXWQExXaOBfN8p9nI3Q==" saltValue="uKVhWpgEL+7JQFyLWHKXAQ=="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1" t="s">
        <v>226</v>
      </c>
      <c r="C3" s="101"/>
      <c r="D3" s="101"/>
      <c r="E3" s="101"/>
      <c r="F3" s="101"/>
      <c r="G3" s="101"/>
      <c r="H3" s="101"/>
      <c r="I3" s="1"/>
    </row>
    <row r="4" spans="1:9" ht="15" customHeight="1" x14ac:dyDescent="0.25">
      <c r="A4" s="1"/>
      <c r="B4" s="101"/>
      <c r="C4" s="101"/>
      <c r="D4" s="101"/>
      <c r="E4" s="101"/>
      <c r="F4" s="101"/>
      <c r="G4" s="101"/>
      <c r="H4" s="10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0" t="s">
        <v>227</v>
      </c>
      <c r="C8" s="121"/>
      <c r="D8" s="121"/>
      <c r="E8" s="121"/>
      <c r="F8" s="121"/>
      <c r="G8" s="121"/>
      <c r="H8" s="122"/>
      <c r="I8" s="1"/>
    </row>
    <row r="9" spans="1:9" ht="15" customHeight="1" x14ac:dyDescent="0.25">
      <c r="A9" s="1"/>
      <c r="B9" s="112" t="s">
        <v>228</v>
      </c>
      <c r="C9" s="113"/>
      <c r="D9" s="113"/>
      <c r="E9" s="113"/>
      <c r="F9" s="113"/>
      <c r="G9" s="113"/>
      <c r="H9" s="114"/>
      <c r="I9" s="1"/>
    </row>
    <row r="10" spans="1:9" x14ac:dyDescent="0.25">
      <c r="A10" s="1"/>
      <c r="B10" s="148" t="s">
        <v>243</v>
      </c>
      <c r="C10" s="149"/>
      <c r="D10" s="149"/>
      <c r="E10" s="149"/>
      <c r="F10" s="150"/>
      <c r="G10" s="56">
        <v>0</v>
      </c>
      <c r="H10" s="9" t="s">
        <v>3</v>
      </c>
      <c r="I10" s="1"/>
    </row>
    <row r="11" spans="1:9" x14ac:dyDescent="0.25">
      <c r="A11" s="1"/>
      <c r="B11" s="148" t="s">
        <v>244</v>
      </c>
      <c r="C11" s="149"/>
      <c r="D11" s="149"/>
      <c r="E11" s="149"/>
      <c r="F11" s="150"/>
      <c r="G11" s="56">
        <v>0</v>
      </c>
      <c r="H11" s="9" t="s">
        <v>3</v>
      </c>
      <c r="I11" s="1"/>
    </row>
    <row r="12" spans="1:9" x14ac:dyDescent="0.25">
      <c r="A12" s="1"/>
      <c r="B12" s="148" t="s">
        <v>245</v>
      </c>
      <c r="C12" s="149"/>
      <c r="D12" s="149"/>
      <c r="E12" s="149"/>
      <c r="F12" s="150"/>
      <c r="G12" s="9">
        <v>0</v>
      </c>
      <c r="H12" s="9" t="s">
        <v>3</v>
      </c>
      <c r="I12" s="1"/>
    </row>
    <row r="13" spans="1:9" x14ac:dyDescent="0.25">
      <c r="A13" s="1"/>
      <c r="B13" s="148" t="s">
        <v>246</v>
      </c>
      <c r="C13" s="149"/>
      <c r="D13" s="149"/>
      <c r="E13" s="149"/>
      <c r="F13" s="150"/>
      <c r="G13" s="9">
        <v>0</v>
      </c>
      <c r="H13" s="9" t="s">
        <v>3</v>
      </c>
      <c r="I13" s="1"/>
    </row>
    <row r="14" spans="1:9" x14ac:dyDescent="0.25">
      <c r="A14" s="1"/>
      <c r="B14" s="148" t="s">
        <v>247</v>
      </c>
      <c r="C14" s="149"/>
      <c r="D14" s="149"/>
      <c r="E14" s="149"/>
      <c r="F14" s="150"/>
      <c r="G14" s="9">
        <v>0</v>
      </c>
      <c r="H14" s="9" t="s">
        <v>3</v>
      </c>
      <c r="I14" s="1"/>
    </row>
    <row r="15" spans="1:9" x14ac:dyDescent="0.25">
      <c r="A15" s="1"/>
      <c r="B15" s="148" t="s">
        <v>248</v>
      </c>
      <c r="C15" s="149"/>
      <c r="D15" s="149"/>
      <c r="E15" s="149"/>
      <c r="F15" s="150"/>
      <c r="G15" s="9">
        <v>0</v>
      </c>
      <c r="H15" s="9" t="s">
        <v>3</v>
      </c>
      <c r="I15" s="1"/>
    </row>
    <row r="16" spans="1:9" x14ac:dyDescent="0.25">
      <c r="A16" s="1"/>
      <c r="B16" s="148" t="s">
        <v>249</v>
      </c>
      <c r="C16" s="149"/>
      <c r="D16" s="149"/>
      <c r="E16" s="149"/>
      <c r="F16" s="150"/>
      <c r="G16" s="9">
        <v>0</v>
      </c>
      <c r="H16" s="9" t="s">
        <v>3</v>
      </c>
      <c r="I16" s="1"/>
    </row>
    <row r="17" spans="1:9" x14ac:dyDescent="0.25">
      <c r="A17" s="1"/>
      <c r="B17" s="148" t="s">
        <v>250</v>
      </c>
      <c r="C17" s="149"/>
      <c r="D17" s="149"/>
      <c r="E17" s="149"/>
      <c r="F17" s="150"/>
      <c r="G17" s="9">
        <v>0</v>
      </c>
      <c r="H17" s="9" t="s">
        <v>3</v>
      </c>
      <c r="I17" s="1"/>
    </row>
    <row r="18" spans="1:9" x14ac:dyDescent="0.25">
      <c r="A18" s="1"/>
      <c r="B18" s="120" t="s">
        <v>229</v>
      </c>
      <c r="C18" s="121"/>
      <c r="D18" s="121"/>
      <c r="E18" s="121"/>
      <c r="F18" s="12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OnJaEus7eXHGsjrQXpBWIFP9RnBtT3otF+0EoDMAcwzQTjULuhM+NML8aZ+NHyRdgjgAvbrOS2du0C39VttAAw==" saltValue="JWlo+8Cc2mGmEXHgSdjxO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1" t="s">
        <v>220</v>
      </c>
      <c r="C3" s="101"/>
      <c r="D3" s="101"/>
      <c r="E3" s="101"/>
      <c r="F3" s="101"/>
      <c r="G3" s="101"/>
      <c r="H3" s="101"/>
      <c r="I3" s="101"/>
      <c r="J3" s="101"/>
      <c r="K3" s="101"/>
      <c r="L3" s="1"/>
    </row>
    <row r="4" spans="1:12" ht="15" customHeight="1" x14ac:dyDescent="0.25">
      <c r="A4" s="1"/>
      <c r="B4" s="101"/>
      <c r="C4" s="101"/>
      <c r="D4" s="101"/>
      <c r="E4" s="101"/>
      <c r="F4" s="101"/>
      <c r="G4" s="101"/>
      <c r="H4" s="101"/>
      <c r="I4" s="101"/>
      <c r="J4" s="101"/>
      <c r="K4" s="10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0" t="s">
        <v>192</v>
      </c>
      <c r="C8" s="121"/>
      <c r="D8" s="121"/>
      <c r="E8" s="121"/>
      <c r="F8" s="121"/>
      <c r="G8" s="121"/>
      <c r="H8" s="121"/>
      <c r="I8" s="121"/>
      <c r="J8" s="121"/>
      <c r="K8" s="122"/>
      <c r="L8" s="1"/>
    </row>
    <row r="9" spans="1:12" ht="39.75" customHeight="1" x14ac:dyDescent="0.25">
      <c r="A9" s="1"/>
      <c r="B9" s="18" t="s">
        <v>0</v>
      </c>
      <c r="C9" s="18" t="s">
        <v>1</v>
      </c>
      <c r="D9" s="151" t="s">
        <v>213</v>
      </c>
      <c r="E9" s="152"/>
      <c r="F9" s="151" t="s">
        <v>2</v>
      </c>
      <c r="G9" s="152"/>
      <c r="H9" s="151" t="s">
        <v>214</v>
      </c>
      <c r="I9" s="152"/>
      <c r="J9" s="151" t="s">
        <v>28</v>
      </c>
      <c r="K9" s="152"/>
      <c r="L9" s="1"/>
    </row>
    <row r="10" spans="1:12" x14ac:dyDescent="0.25">
      <c r="A10" s="1"/>
      <c r="B10" s="81" t="s">
        <v>230</v>
      </c>
      <c r="C10" s="29">
        <v>0</v>
      </c>
      <c r="D10" s="9">
        <v>0</v>
      </c>
      <c r="E10" s="14" t="s">
        <v>3</v>
      </c>
      <c r="F10" s="39">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221</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254</v>
      </c>
      <c r="C11" s="21">
        <v>0</v>
      </c>
      <c r="D11" s="14" t="s">
        <v>3</v>
      </c>
      <c r="E11" s="9">
        <f>43502+38928</f>
        <v>82430</v>
      </c>
      <c r="F11" s="14" t="s">
        <v>3</v>
      </c>
      <c r="G11" s="1"/>
    </row>
    <row r="12" spans="1:7" x14ac:dyDescent="0.25">
      <c r="A12" s="1"/>
      <c r="B12" s="71" t="s">
        <v>148</v>
      </c>
      <c r="C12" s="12">
        <f>SUM(C10:C11)</f>
        <v>0</v>
      </c>
      <c r="D12" s="13" t="s">
        <v>3</v>
      </c>
      <c r="E12" s="12">
        <f>SUM(E10:E11)</f>
        <v>82430</v>
      </c>
      <c r="F12" s="13" t="s">
        <v>3</v>
      </c>
      <c r="G12" s="1"/>
    </row>
    <row r="13" spans="1:7" x14ac:dyDescent="0.25">
      <c r="A13" s="1"/>
      <c r="B13" s="71" t="s">
        <v>188</v>
      </c>
      <c r="C13" s="12">
        <f>C12*(1+'Fane 13. Nøgletal'!C15)</f>
        <v>0</v>
      </c>
      <c r="D13" s="13" t="s">
        <v>3</v>
      </c>
      <c r="E13" s="12">
        <f>E12*(1+'Fane 13. Nøgletal'!C15)</f>
        <v>85364.508000000002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93Sw1MkFfstDZvnap7zXRiqFgQueoACIGymuFbTDQbwZjAN+0dylrrs6SCl06MiKIe/lv26k1/osnIdDCLCvwg==" saltValue="xX9mvwFfAEmQD1uYbUUSS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222</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0" t="s">
        <v>88</v>
      </c>
      <c r="C9" s="121"/>
      <c r="D9" s="121"/>
      <c r="E9" s="121"/>
      <c r="F9" s="122"/>
      <c r="G9" s="1"/>
    </row>
    <row r="10" spans="1:7" ht="26.25" x14ac:dyDescent="0.25">
      <c r="A10" s="1"/>
      <c r="B10" s="69" t="s">
        <v>15</v>
      </c>
      <c r="C10" s="69" t="s">
        <v>10</v>
      </c>
      <c r="D10" s="70"/>
      <c r="E10" s="69" t="s">
        <v>29</v>
      </c>
      <c r="F10" s="66"/>
      <c r="G10" s="1"/>
    </row>
    <row r="11" spans="1:7" x14ac:dyDescent="0.25">
      <c r="A11" s="1"/>
      <c r="B11" s="22" t="s">
        <v>253</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FCQFmu7v+usLoSu6CRlL7KvXfnLC5O+stcR2W3v10udRy5MZWfa5sBN9PA177/VIwcbsO7ZBHGTjFUxNODTxA==" saltValue="FhePBgwv5uSe3AmmUw/sM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223</v>
      </c>
      <c r="C3" s="123"/>
      <c r="D3" s="123"/>
      <c r="E3" s="123"/>
      <c r="F3" s="123"/>
      <c r="G3" s="1"/>
    </row>
    <row r="4" spans="1:7" ht="25.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0" t="s">
        <v>112</v>
      </c>
      <c r="C8" s="121"/>
      <c r="D8" s="121"/>
      <c r="E8" s="121"/>
      <c r="F8" s="122"/>
      <c r="G8" s="1"/>
    </row>
    <row r="9" spans="1:7" ht="15" customHeight="1" x14ac:dyDescent="0.25">
      <c r="A9" s="1"/>
      <c r="B9" s="65" t="s">
        <v>113</v>
      </c>
      <c r="C9" s="112" t="s">
        <v>10</v>
      </c>
      <c r="D9" s="114"/>
      <c r="E9" s="112" t="s">
        <v>29</v>
      </c>
      <c r="F9" s="114"/>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224</v>
      </c>
      <c r="C3" s="123"/>
      <c r="D3" s="123"/>
      <c r="E3" s="123"/>
      <c r="F3" s="123"/>
      <c r="G3" s="1"/>
    </row>
    <row r="4" spans="1:7" ht="25.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0" t="s">
        <v>85</v>
      </c>
      <c r="C10" s="121"/>
      <c r="D10" s="121"/>
      <c r="E10" s="121"/>
      <c r="F10" s="122"/>
      <c r="G10" s="1"/>
    </row>
    <row r="11" spans="1:7" ht="26.25" customHeight="1" x14ac:dyDescent="0.25">
      <c r="A11" s="1"/>
      <c r="B11" s="65" t="s">
        <v>16</v>
      </c>
      <c r="C11" s="65" t="s">
        <v>10</v>
      </c>
      <c r="D11" s="66"/>
      <c r="E11" s="112" t="s">
        <v>29</v>
      </c>
      <c r="F11" s="114"/>
      <c r="G11" s="1"/>
    </row>
    <row r="12" spans="1:7" x14ac:dyDescent="0.25">
      <c r="A12" s="1"/>
      <c r="B12" s="22" t="s">
        <v>242</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3">
    <mergeCell ref="B3:F4"/>
    <mergeCell ref="B10:F10"/>
    <mergeCell ref="E11:F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3" t="s">
        <v>225</v>
      </c>
      <c r="C3" s="123"/>
      <c r="D3" s="1"/>
    </row>
    <row r="4" spans="1:4" ht="25.5" customHeight="1" x14ac:dyDescent="0.25">
      <c r="A4" s="1"/>
      <c r="B4" s="123"/>
      <c r="C4" s="123"/>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0"/>
      <c r="C16" s="122"/>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165</v>
      </c>
      <c r="C3" s="101"/>
      <c r="D3" s="101"/>
      <c r="E3" s="1"/>
    </row>
    <row r="4" spans="1:5" ht="15" customHeight="1"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11171164.425851731</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85364.508000000002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400732.43004512158</v>
      </c>
      <c r="D15" s="8" t="s">
        <v>3</v>
      </c>
      <c r="E15" s="1"/>
    </row>
    <row r="16" spans="1:5" ht="17.25" customHeight="1" x14ac:dyDescent="0.25">
      <c r="A16" s="1"/>
      <c r="B16" s="23" t="s">
        <v>9</v>
      </c>
      <c r="C16" s="9">
        <f>-SUM(C8,C9:C15)*'Fane 5. Individuelt eff. krav'!G9</f>
        <v>-86903.88827157268</v>
      </c>
      <c r="D16" s="8" t="s">
        <v>3</v>
      </c>
      <c r="E16" s="1"/>
    </row>
    <row r="17" spans="1:5" ht="17.25" customHeight="1" x14ac:dyDescent="0.25">
      <c r="A17" s="1"/>
      <c r="B17" s="23" t="s">
        <v>23</v>
      </c>
      <c r="C17" s="9">
        <f>-'Fane 4.1. Gen. krav - drift'!G43</f>
        <v>-130433.12403764494</v>
      </c>
      <c r="D17" s="8" t="s">
        <v>3</v>
      </c>
      <c r="E17" s="1"/>
    </row>
    <row r="18" spans="1:5" ht="17.25" customHeight="1" x14ac:dyDescent="0.25">
      <c r="A18" s="1"/>
      <c r="B18" s="23" t="s">
        <v>24</v>
      </c>
      <c r="C18" s="9">
        <f>-'Fane 4.2. Gen. krav - anlæg'!G43</f>
        <v>0</v>
      </c>
      <c r="D18" s="8" t="s">
        <v>3</v>
      </c>
      <c r="E18" s="1"/>
    </row>
    <row r="19" spans="1:5" ht="17.25" customHeight="1" x14ac:dyDescent="0.25">
      <c r="A19" s="1"/>
      <c r="B19" s="51" t="s">
        <v>19</v>
      </c>
      <c r="C19" s="10">
        <f>SUM(C8,C9:C18)</f>
        <v>11439924.351587635</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omk.'!C17</f>
        <v>15058963.565583842</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-717482.62085595541</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25781405.296315521</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ms02OeOED18v2Z6e+AA1GZo63i5d/DfvtR76hW4QkGXJVo1fZG3aj8F3u8UJWb0377KyJHuUtj8HyhvJpq+A==" saltValue="G/zdYlndGk3N/O8YvTXaA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166</v>
      </c>
      <c r="C3" s="101"/>
      <c r="D3" s="101"/>
      <c r="E3" s="1"/>
    </row>
    <row r="4" spans="1:5" ht="15" customHeight="1" x14ac:dyDescent="0.25">
      <c r="A4" s="1"/>
      <c r="B4" s="101"/>
      <c r="C4" s="101"/>
      <c r="D4" s="101"/>
      <c r="E4" s="1"/>
    </row>
    <row r="5" spans="1:5" x14ac:dyDescent="0.25">
      <c r="A5" s="1"/>
      <c r="B5" s="102"/>
      <c r="C5" s="102"/>
      <c r="D5" s="102"/>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11439924.351587635</v>
      </c>
      <c r="D8" s="8" t="s">
        <v>3</v>
      </c>
      <c r="E8" s="1"/>
    </row>
    <row r="9" spans="1:5" ht="15" customHeight="1" x14ac:dyDescent="0.25">
      <c r="A9" s="1"/>
      <c r="B9" s="64" t="s">
        <v>17</v>
      </c>
      <c r="C9" s="9">
        <f>SUM(C8:C8)*'Fane 13. Nøgletal'!C15</f>
        <v>407261.30691651977</v>
      </c>
      <c r="D9" s="8" t="s">
        <v>3</v>
      </c>
      <c r="E9" s="1"/>
    </row>
    <row r="10" spans="1:5" ht="15" customHeight="1" x14ac:dyDescent="0.25">
      <c r="A10" s="1"/>
      <c r="B10" s="64" t="s">
        <v>9</v>
      </c>
      <c r="C10" s="9">
        <f>-SUM(C8:C9)*'Fane 5. Individuelt eff. krav'!G9</f>
        <v>-88319.757673774438</v>
      </c>
      <c r="D10" s="8" t="s">
        <v>3</v>
      </c>
      <c r="E10" s="1"/>
    </row>
    <row r="11" spans="1:5" ht="15" customHeight="1" x14ac:dyDescent="0.25">
      <c r="A11" s="1"/>
      <c r="B11" s="64" t="s">
        <v>23</v>
      </c>
      <c r="C11" s="9">
        <f>-'Fane 4.1. Gen. krav - drift'!G48</f>
        <v>-132375.01238831741</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11626490.888442064</v>
      </c>
      <c r="D13" s="11" t="s">
        <v>3</v>
      </c>
      <c r="E13" s="1"/>
    </row>
    <row r="14" spans="1:5" x14ac:dyDescent="0.25">
      <c r="A14" s="1"/>
      <c r="B14" s="71" t="s">
        <v>11</v>
      </c>
      <c r="C14" s="72"/>
      <c r="D14" s="19"/>
      <c r="E14" s="1"/>
    </row>
    <row r="15" spans="1:5" ht="15" customHeight="1" x14ac:dyDescent="0.25">
      <c r="A15" s="1"/>
      <c r="B15" s="65" t="s">
        <v>11</v>
      </c>
      <c r="C15" s="10">
        <f>'Fane 6. Ikke-påvirkelige omk.'!C17*(1+'Fane 13. Nøgletal'!C15)</f>
        <v>15595062.668518627</v>
      </c>
      <c r="D15" s="11" t="s">
        <v>3</v>
      </c>
      <c r="E15" s="1"/>
    </row>
    <row r="16" spans="1:5" x14ac:dyDescent="0.25">
      <c r="A16" s="1"/>
      <c r="B16" s="25" t="s">
        <v>128</v>
      </c>
      <c r="C16" s="72"/>
      <c r="D16" s="19"/>
      <c r="E16" s="1"/>
    </row>
    <row r="17" spans="1:5" ht="15" customHeight="1" x14ac:dyDescent="0.25">
      <c r="A17" s="1"/>
      <c r="B17" s="80" t="s">
        <v>129</v>
      </c>
      <c r="C17" s="10">
        <f>'Fane 7. Kontrol af ØR2021'!E31</f>
        <v>-717482.62085595541</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26504070.936104737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lf+xjIxeVbXEkBmBkoXjCVr9D25l2x669scZ9sIVIcbmNJsj4LdsAMstuY5j8/gBRd0KVlCKUfRBd4LoMKVdg==" saltValue="Mi9QhjrwYaSUzlQSxfz24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167</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11626490.888442064</v>
      </c>
      <c r="D8" s="8" t="s">
        <v>3</v>
      </c>
      <c r="E8" s="1"/>
    </row>
    <row r="9" spans="1:5" ht="15" customHeight="1" x14ac:dyDescent="0.25">
      <c r="A9" s="1"/>
      <c r="B9" s="64" t="s">
        <v>17</v>
      </c>
      <c r="C9" s="9">
        <f>SUM(C8:C8)*'Fane 13. Nøgletal'!C15</f>
        <v>413903.07562853745</v>
      </c>
      <c r="D9" s="8" t="s">
        <v>3</v>
      </c>
      <c r="E9" s="1"/>
    </row>
    <row r="10" spans="1:5" ht="15" customHeight="1" x14ac:dyDescent="0.25">
      <c r="A10" s="1"/>
      <c r="B10" s="64" t="s">
        <v>9</v>
      </c>
      <c r="C10" s="9">
        <f>-SUM(C8:C9)*'Fane 5. Individuelt eff. krav'!G9</f>
        <v>-89760.109097316134</v>
      </c>
      <c r="D10" s="8" t="s">
        <v>3</v>
      </c>
      <c r="E10" s="1"/>
    </row>
    <row r="11" spans="1:5" ht="15" customHeight="1" x14ac:dyDescent="0.25">
      <c r="A11" s="1"/>
      <c r="B11" s="64" t="s">
        <v>23</v>
      </c>
      <c r="C11" s="9">
        <f>-'Fane 4.1. Gen. krav - drift'!G53</f>
        <v>-134345.81157275467</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11816288.04340053</v>
      </c>
      <c r="D13" s="11" t="s">
        <v>3</v>
      </c>
      <c r="E13" s="1"/>
    </row>
    <row r="14" spans="1:5" x14ac:dyDescent="0.25">
      <c r="A14" s="1"/>
      <c r="B14" s="71" t="s">
        <v>11</v>
      </c>
      <c r="C14" s="72"/>
      <c r="D14" s="19"/>
      <c r="E14" s="1"/>
    </row>
    <row r="15" spans="1:5" ht="15" customHeight="1" x14ac:dyDescent="0.25">
      <c r="A15" s="1"/>
      <c r="B15" s="65" t="s">
        <v>11</v>
      </c>
      <c r="C15" s="10">
        <f>'Fane 6. Ikke-påvirkelige omk.'!C17*(1+'Fane 13. Nøgletal'!C15)^2</f>
        <v>16150246.899517892</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27966534.94291842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wDijW9kzdwjyBaQJJLBm5otdpJM06W7vu+VgMAODtgLmu4bWh0j2YyeTMijnZC01L8QRp7zLFQGF6zEKHFifQ==" saltValue="UtN0A4g3Kbp1iu94IGXk0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1" t="s">
        <v>168</v>
      </c>
      <c r="C3" s="101"/>
      <c r="D3" s="101"/>
      <c r="E3" s="1"/>
    </row>
    <row r="4" spans="1:5" ht="15" customHeight="1" x14ac:dyDescent="0.25">
      <c r="A4" s="1"/>
      <c r="B4" s="101"/>
      <c r="C4" s="101"/>
      <c r="D4" s="101"/>
      <c r="E4" s="1"/>
    </row>
    <row r="5" spans="1:5" x14ac:dyDescent="0.25">
      <c r="A5" s="1"/>
      <c r="B5" s="102" t="s">
        <v>20</v>
      </c>
      <c r="C5" s="102"/>
      <c r="D5" s="102"/>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11816288.04340053</v>
      </c>
      <c r="D8" s="8" t="s">
        <v>3</v>
      </c>
      <c r="E8" s="1"/>
    </row>
    <row r="9" spans="1:5" ht="15" customHeight="1" x14ac:dyDescent="0.25">
      <c r="A9" s="1"/>
      <c r="B9" s="64" t="s">
        <v>17</v>
      </c>
      <c r="C9" s="9">
        <f>SUM(C8:C8)*'Fane 13. Nøgletal'!C15</f>
        <v>420659.85434505885</v>
      </c>
      <c r="D9" s="8" t="s">
        <v>3</v>
      </c>
      <c r="E9" s="1"/>
    </row>
    <row r="10" spans="1:5" ht="15" customHeight="1" x14ac:dyDescent="0.25">
      <c r="A10" s="1"/>
      <c r="B10" s="64" t="s">
        <v>9</v>
      </c>
      <c r="C10" s="9">
        <f>-SUM(C8:C9)*'Fane 5. Individuelt eff. krav'!G9</f>
        <v>-91225.401892786162</v>
      </c>
      <c r="D10" s="8" t="s">
        <v>3</v>
      </c>
      <c r="E10" s="1"/>
    </row>
    <row r="11" spans="1:5" ht="15" customHeight="1" x14ac:dyDescent="0.25">
      <c r="A11" s="1"/>
      <c r="B11" s="64" t="s">
        <v>23</v>
      </c>
      <c r="C11" s="9">
        <f>-'Fane 4.1. Gen. krav - drift'!G58</f>
        <v>-136345.95201544985</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12009376.543837352</v>
      </c>
      <c r="D13" s="11" t="s">
        <v>3</v>
      </c>
      <c r="E13" s="1"/>
    </row>
    <row r="14" spans="1:5" x14ac:dyDescent="0.25">
      <c r="A14" s="1"/>
      <c r="B14" s="71" t="s">
        <v>11</v>
      </c>
      <c r="C14" s="72"/>
      <c r="D14" s="19"/>
      <c r="E14" s="1"/>
    </row>
    <row r="15" spans="1:5" ht="15" customHeight="1" x14ac:dyDescent="0.25">
      <c r="A15" s="1"/>
      <c r="B15" s="65" t="s">
        <v>11</v>
      </c>
      <c r="C15" s="10">
        <f>'Fane 6. Ikke-påvirkelige omk.'!C17*(1+'Fane 13. Nøgletal'!C15)^3</f>
        <v>16725195.68914073</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28734572.232978083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tdtnJxDTsKzTMnxT/NgI6KCSJDKZluNf1GmhQjArXkeEuSx0RaP3U1HoOeRSsoGuKdrVRSiHr4ZjSiS4xZazw==" saltValue="Uq5cxXFv492NjIJd+CEtZ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171</v>
      </c>
      <c r="C3" s="123"/>
      <c r="D3" s="123"/>
      <c r="E3" s="123"/>
      <c r="F3" s="123"/>
      <c r="G3" s="1"/>
    </row>
    <row r="4" spans="1:7" ht="29.2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24" t="s">
        <v>22</v>
      </c>
      <c r="C9" s="125"/>
      <c r="D9" s="126"/>
      <c r="E9" s="7">
        <v>9871049.9210010804</v>
      </c>
      <c r="F9" s="8" t="s">
        <v>3</v>
      </c>
      <c r="G9" s="1"/>
    </row>
    <row r="10" spans="1:7" ht="15" customHeight="1" x14ac:dyDescent="0.25">
      <c r="A10" s="1"/>
      <c r="B10" s="106" t="s">
        <v>35</v>
      </c>
      <c r="C10" s="107"/>
      <c r="D10" s="108"/>
      <c r="E10" s="9">
        <v>208474.70370000001</v>
      </c>
      <c r="F10" s="8" t="s">
        <v>3</v>
      </c>
      <c r="G10" s="1"/>
    </row>
    <row r="11" spans="1:7" ht="15" customHeight="1" x14ac:dyDescent="0.25">
      <c r="A11" s="1"/>
      <c r="B11" s="106" t="s">
        <v>36</v>
      </c>
      <c r="C11" s="107"/>
      <c r="D11" s="108"/>
      <c r="E11" s="9">
        <v>1350073.5889000001</v>
      </c>
      <c r="F11" s="8" t="s">
        <v>3</v>
      </c>
      <c r="G11" s="1"/>
    </row>
    <row r="12" spans="1:7" x14ac:dyDescent="0.25">
      <c r="A12" s="1"/>
      <c r="B12" s="106" t="s">
        <v>26</v>
      </c>
      <c r="C12" s="107"/>
      <c r="D12" s="108"/>
      <c r="E12" s="9">
        <v>0</v>
      </c>
      <c r="F12" s="8" t="s">
        <v>3</v>
      </c>
      <c r="G12" s="1"/>
    </row>
    <row r="13" spans="1:7" x14ac:dyDescent="0.25">
      <c r="A13" s="1"/>
      <c r="B13" s="106" t="s">
        <v>25</v>
      </c>
      <c r="C13" s="107"/>
      <c r="D13" s="108"/>
      <c r="E13" s="9">
        <v>0</v>
      </c>
      <c r="F13" s="8" t="s">
        <v>3</v>
      </c>
      <c r="G13" s="1"/>
    </row>
    <row r="14" spans="1:7" x14ac:dyDescent="0.25">
      <c r="A14" s="1"/>
      <c r="B14" s="106" t="s">
        <v>114</v>
      </c>
      <c r="C14" s="107"/>
      <c r="D14" s="108"/>
      <c r="E14" s="9">
        <v>0</v>
      </c>
      <c r="F14" s="8" t="s">
        <v>3</v>
      </c>
      <c r="G14" s="1"/>
    </row>
    <row r="15" spans="1:7" x14ac:dyDescent="0.25">
      <c r="A15" s="1"/>
      <c r="B15" s="106" t="s">
        <v>115</v>
      </c>
      <c r="C15" s="107"/>
      <c r="D15" s="108"/>
      <c r="E15" s="9">
        <v>0</v>
      </c>
      <c r="F15" s="8" t="s">
        <v>3</v>
      </c>
      <c r="G15" s="1"/>
    </row>
    <row r="16" spans="1:7" x14ac:dyDescent="0.25">
      <c r="A16" s="1"/>
      <c r="B16" s="106" t="s">
        <v>17</v>
      </c>
      <c r="C16" s="107"/>
      <c r="D16" s="108"/>
      <c r="E16" s="9">
        <v>125570.01840179315</v>
      </c>
      <c r="F16" s="8" t="s">
        <v>3</v>
      </c>
      <c r="G16" s="30"/>
    </row>
    <row r="17" spans="1:7" x14ac:dyDescent="0.25">
      <c r="A17" s="1"/>
      <c r="B17" s="106" t="s">
        <v>9</v>
      </c>
      <c r="C17" s="107"/>
      <c r="D17" s="108"/>
      <c r="E17" s="9">
        <v>-105879.06975520561</v>
      </c>
      <c r="F17" s="8" t="s">
        <v>3</v>
      </c>
      <c r="G17" s="1"/>
    </row>
    <row r="18" spans="1:7" x14ac:dyDescent="0.25">
      <c r="A18" s="1"/>
      <c r="B18" s="106" t="s">
        <v>23</v>
      </c>
      <c r="C18" s="107"/>
      <c r="D18" s="108"/>
      <c r="E18" s="9">
        <v>-128519.72241039891</v>
      </c>
      <c r="F18" s="8" t="s">
        <v>3</v>
      </c>
      <c r="G18" s="1"/>
    </row>
    <row r="19" spans="1:7" x14ac:dyDescent="0.25">
      <c r="A19" s="1"/>
      <c r="B19" s="106" t="s">
        <v>24</v>
      </c>
      <c r="C19" s="107"/>
      <c r="D19" s="108"/>
      <c r="E19" s="9">
        <v>-149605.01398553705</v>
      </c>
      <c r="F19" s="8" t="s">
        <v>3</v>
      </c>
      <c r="G19" s="1"/>
    </row>
    <row r="20" spans="1:7" x14ac:dyDescent="0.25">
      <c r="A20" s="1"/>
      <c r="B20" s="109" t="s">
        <v>19</v>
      </c>
      <c r="C20" s="110"/>
      <c r="D20" s="111"/>
      <c r="E20" s="31">
        <f>SUM(E9:E19)</f>
        <v>11171164.425851731</v>
      </c>
      <c r="F20" s="34" t="s">
        <v>3</v>
      </c>
      <c r="G20" s="1"/>
    </row>
    <row r="21" spans="1:7" x14ac:dyDescent="0.25">
      <c r="A21" s="1"/>
      <c r="B21" s="71" t="s">
        <v>11</v>
      </c>
      <c r="C21" s="72"/>
      <c r="D21" s="72"/>
      <c r="E21" s="72"/>
      <c r="F21" s="19"/>
      <c r="G21" s="1"/>
    </row>
    <row r="22" spans="1:7" x14ac:dyDescent="0.25">
      <c r="A22" s="1"/>
      <c r="B22" s="117" t="s">
        <v>11</v>
      </c>
      <c r="C22" s="118"/>
      <c r="D22" s="119"/>
      <c r="E22" s="10">
        <v>12271590.340157332</v>
      </c>
      <c r="F22" s="11" t="s">
        <v>3</v>
      </c>
      <c r="G22" s="1"/>
    </row>
    <row r="23" spans="1:7" ht="15" customHeight="1" x14ac:dyDescent="0.25">
      <c r="A23" s="1"/>
      <c r="B23" s="115" t="s">
        <v>80</v>
      </c>
      <c r="C23" s="116"/>
      <c r="D23" s="116"/>
      <c r="E23" s="72"/>
      <c r="F23" s="72"/>
      <c r="G23" s="1"/>
    </row>
    <row r="24" spans="1:7" ht="14.25" customHeight="1" x14ac:dyDescent="0.25">
      <c r="A24" s="1"/>
      <c r="B24" s="103" t="s">
        <v>76</v>
      </c>
      <c r="C24" s="104"/>
      <c r="D24" s="105"/>
      <c r="E24" s="9">
        <v>0</v>
      </c>
      <c r="F24" s="8" t="s">
        <v>3</v>
      </c>
      <c r="G24" s="1"/>
    </row>
    <row r="25" spans="1:7" ht="14.25" customHeight="1" x14ac:dyDescent="0.25">
      <c r="A25" s="1"/>
      <c r="B25" s="103" t="s">
        <v>77</v>
      </c>
      <c r="C25" s="104"/>
      <c r="D25" s="105"/>
      <c r="E25" s="9">
        <v>0</v>
      </c>
      <c r="F25" s="8" t="s">
        <v>3</v>
      </c>
      <c r="G25" s="1"/>
    </row>
    <row r="26" spans="1:7" x14ac:dyDescent="0.25">
      <c r="A26" s="1"/>
      <c r="B26" s="112" t="s">
        <v>81</v>
      </c>
      <c r="C26" s="113"/>
      <c r="D26" s="113"/>
      <c r="E26" s="10">
        <v>0</v>
      </c>
      <c r="F26" s="11" t="s">
        <v>3</v>
      </c>
      <c r="G26" s="1"/>
    </row>
    <row r="27" spans="1:7" x14ac:dyDescent="0.25">
      <c r="A27" s="1"/>
      <c r="B27" s="71" t="s">
        <v>128</v>
      </c>
      <c r="C27" s="72"/>
      <c r="D27" s="72"/>
      <c r="E27" s="72"/>
      <c r="F27" s="19"/>
      <c r="G27" s="1"/>
    </row>
    <row r="28" spans="1:7" ht="15" customHeight="1" x14ac:dyDescent="0.25">
      <c r="A28" s="1"/>
      <c r="B28" s="112" t="s">
        <v>129</v>
      </c>
      <c r="C28" s="113"/>
      <c r="D28" s="114"/>
      <c r="E28" s="10">
        <v>-43489</v>
      </c>
      <c r="F28" s="11" t="s">
        <v>3</v>
      </c>
      <c r="G28" s="1"/>
    </row>
    <row r="29" spans="1:7" x14ac:dyDescent="0.25">
      <c r="A29" s="1"/>
      <c r="B29" s="71" t="s">
        <v>159</v>
      </c>
      <c r="C29" s="72"/>
      <c r="D29" s="72"/>
      <c r="E29" s="72"/>
      <c r="F29" s="19"/>
      <c r="G29" s="1"/>
    </row>
    <row r="30" spans="1:7" ht="15.75" customHeight="1" x14ac:dyDescent="0.25">
      <c r="A30" s="1"/>
      <c r="B30" s="117" t="s">
        <v>160</v>
      </c>
      <c r="C30" s="118"/>
      <c r="D30" s="119"/>
      <c r="E30" s="10">
        <v>0</v>
      </c>
      <c r="F30" s="11" t="s">
        <v>3</v>
      </c>
      <c r="G30" s="1"/>
    </row>
    <row r="31" spans="1:7" ht="15.75" customHeight="1" x14ac:dyDescent="0.25">
      <c r="A31" s="1"/>
      <c r="B31" s="120" t="s">
        <v>153</v>
      </c>
      <c r="C31" s="121"/>
      <c r="D31" s="121"/>
      <c r="E31" s="121"/>
      <c r="F31" s="122"/>
      <c r="G31" s="1"/>
    </row>
    <row r="32" spans="1:7" ht="15.75"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23399265.766009063</v>
      </c>
      <c r="F33" s="37" t="s">
        <v>3</v>
      </c>
      <c r="G33" s="1"/>
    </row>
    <row r="34" spans="1:7" ht="27.75" customHeight="1" x14ac:dyDescent="0.25">
      <c r="A34" s="1"/>
      <c r="B34" s="103" t="s">
        <v>173</v>
      </c>
      <c r="C34" s="104"/>
      <c r="D34" s="104"/>
      <c r="E34" s="104"/>
      <c r="F34" s="10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23" t="s">
        <v>98</v>
      </c>
      <c r="C1" s="123"/>
      <c r="D1" s="123"/>
      <c r="E1" s="123"/>
      <c r="F1" s="123"/>
      <c r="G1" s="123"/>
      <c r="H1" s="123"/>
      <c r="I1" s="1"/>
    </row>
    <row r="2" spans="1:9" ht="15" customHeight="1" x14ac:dyDescent="0.25">
      <c r="A2" s="1"/>
      <c r="B2" s="123"/>
      <c r="C2" s="123"/>
      <c r="D2" s="123"/>
      <c r="E2" s="123"/>
      <c r="F2" s="123"/>
      <c r="G2" s="123"/>
      <c r="H2" s="123"/>
      <c r="I2" s="1"/>
    </row>
    <row r="3" spans="1:9" ht="15" customHeight="1" x14ac:dyDescent="0.25">
      <c r="A3" s="1"/>
      <c r="B3" s="123"/>
      <c r="C3" s="123"/>
      <c r="D3" s="123"/>
      <c r="E3" s="123"/>
      <c r="F3" s="123"/>
      <c r="G3" s="123"/>
      <c r="H3" s="123"/>
      <c r="I3" s="1"/>
    </row>
    <row r="4" spans="1:9" x14ac:dyDescent="0.25">
      <c r="A4" s="1"/>
      <c r="B4" s="120" t="s">
        <v>49</v>
      </c>
      <c r="C4" s="121"/>
      <c r="D4" s="121"/>
      <c r="E4" s="121"/>
      <c r="F4" s="121"/>
      <c r="G4" s="121"/>
      <c r="H4" s="122"/>
      <c r="I4" s="1"/>
    </row>
    <row r="5" spans="1:9" x14ac:dyDescent="0.25">
      <c r="A5" s="1"/>
      <c r="B5" s="127" t="s">
        <v>38</v>
      </c>
      <c r="C5" s="128"/>
      <c r="D5" s="128"/>
      <c r="E5" s="128"/>
      <c r="F5" s="129"/>
      <c r="G5" s="58">
        <v>6266874.0174501445</v>
      </c>
      <c r="H5" s="14" t="s">
        <v>3</v>
      </c>
      <c r="I5" s="1"/>
    </row>
    <row r="6" spans="1:9" x14ac:dyDescent="0.25">
      <c r="A6" s="1"/>
      <c r="B6" s="127" t="s">
        <v>39</v>
      </c>
      <c r="C6" s="128"/>
      <c r="D6" s="128"/>
      <c r="E6" s="128"/>
      <c r="F6" s="129"/>
      <c r="G6" s="58">
        <f>G5*'Fane 13. Nøgletal'!C31</f>
        <v>125337.48034900289</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0" t="s">
        <v>50</v>
      </c>
      <c r="C9" s="121"/>
      <c r="D9" s="121"/>
      <c r="E9" s="121"/>
      <c r="F9" s="121"/>
      <c r="G9" s="133"/>
      <c r="H9" s="122"/>
      <c r="I9" s="1"/>
    </row>
    <row r="10" spans="1:9" x14ac:dyDescent="0.25">
      <c r="A10" s="1"/>
      <c r="B10" s="127" t="s">
        <v>40</v>
      </c>
      <c r="C10" s="128"/>
      <c r="D10" s="128"/>
      <c r="E10" s="128"/>
      <c r="F10" s="129"/>
      <c r="G10" s="58">
        <f>(G5-G6)*(1+'Fane 13. Nøgletal'!C9)</f>
        <v>6219534.0511223255</v>
      </c>
      <c r="H10" s="14" t="s">
        <v>3</v>
      </c>
      <c r="I10" s="1"/>
    </row>
    <row r="11" spans="1:9" x14ac:dyDescent="0.25">
      <c r="A11" s="1"/>
      <c r="B11" s="130" t="s">
        <v>41</v>
      </c>
      <c r="C11" s="131"/>
      <c r="D11" s="131"/>
      <c r="E11" s="131"/>
      <c r="F11" s="132"/>
      <c r="G11" s="58">
        <v>0</v>
      </c>
      <c r="H11" s="14" t="s">
        <v>3</v>
      </c>
      <c r="I11" s="1"/>
    </row>
    <row r="12" spans="1:9" x14ac:dyDescent="0.25">
      <c r="A12" s="1"/>
      <c r="B12" s="127" t="s">
        <v>42</v>
      </c>
      <c r="C12" s="128"/>
      <c r="D12" s="128"/>
      <c r="E12" s="128"/>
      <c r="F12" s="129"/>
      <c r="G12" s="58">
        <f>(G10+G11)*'Fane 13. Nøgletal'!C31</f>
        <v>124390.68102244652</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0" t="s">
        <v>51</v>
      </c>
      <c r="C15" s="121"/>
      <c r="D15" s="121"/>
      <c r="E15" s="121"/>
      <c r="F15" s="121"/>
      <c r="G15" s="133"/>
      <c r="H15" s="122"/>
      <c r="I15" s="1"/>
    </row>
    <row r="16" spans="1:9" x14ac:dyDescent="0.25">
      <c r="A16" s="1"/>
      <c r="B16" s="127" t="s">
        <v>43</v>
      </c>
      <c r="C16" s="128"/>
      <c r="D16" s="128"/>
      <c r="E16" s="128"/>
      <c r="F16" s="129"/>
      <c r="G16" s="58">
        <f>(G10+G11-G12)*(1+'Fane 13. Nøgletal'!C11)</f>
        <v>6198151.2930545667</v>
      </c>
      <c r="H16" s="14" t="s">
        <v>3</v>
      </c>
      <c r="I16" s="1"/>
    </row>
    <row r="17" spans="1:9" x14ac:dyDescent="0.25">
      <c r="A17" s="1"/>
      <c r="B17" s="127" t="s">
        <v>108</v>
      </c>
      <c r="C17" s="128"/>
      <c r="D17" s="128"/>
      <c r="E17" s="128"/>
      <c r="F17" s="129"/>
      <c r="G17" s="58">
        <v>0</v>
      </c>
      <c r="H17" s="14" t="s">
        <v>3</v>
      </c>
      <c r="I17" s="1"/>
    </row>
    <row r="18" spans="1:9" x14ac:dyDescent="0.25">
      <c r="A18" s="1"/>
      <c r="B18" s="130" t="s">
        <v>44</v>
      </c>
      <c r="C18" s="131"/>
      <c r="D18" s="131"/>
      <c r="E18" s="131"/>
      <c r="F18" s="132"/>
      <c r="G18" s="58">
        <v>0</v>
      </c>
      <c r="H18" s="14" t="s">
        <v>3</v>
      </c>
      <c r="I18" s="1"/>
    </row>
    <row r="19" spans="1:9" x14ac:dyDescent="0.25">
      <c r="A19" s="1"/>
      <c r="B19" s="127" t="s">
        <v>45</v>
      </c>
      <c r="C19" s="128"/>
      <c r="D19" s="128"/>
      <c r="E19" s="128"/>
      <c r="F19" s="129"/>
      <c r="G19" s="58">
        <f>SUM(G16:G18)*'Fane 13. Nøgletal'!C31</f>
        <v>123963.02586109133</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0" t="s">
        <v>52</v>
      </c>
      <c r="C22" s="121"/>
      <c r="D22" s="121"/>
      <c r="E22" s="121"/>
      <c r="F22" s="121"/>
      <c r="G22" s="133"/>
      <c r="H22" s="122"/>
      <c r="I22" s="1"/>
    </row>
    <row r="23" spans="1:9" x14ac:dyDescent="0.25">
      <c r="A23" s="1"/>
      <c r="B23" s="127" t="s">
        <v>46</v>
      </c>
      <c r="C23" s="128"/>
      <c r="D23" s="128"/>
      <c r="E23" s="128"/>
      <c r="F23" s="129"/>
      <c r="G23" s="58">
        <f>(SUM(G16:G18)-G19)*(1+'Fane 13. Nøgletal'!C11)</f>
        <v>6176842.0489090448</v>
      </c>
      <c r="H23" s="14" t="s">
        <v>3</v>
      </c>
      <c r="I23" s="1"/>
    </row>
    <row r="24" spans="1:9" x14ac:dyDescent="0.25">
      <c r="A24" s="1"/>
      <c r="B24" s="130" t="s">
        <v>47</v>
      </c>
      <c r="C24" s="131"/>
      <c r="D24" s="131"/>
      <c r="E24" s="131"/>
      <c r="F24" s="132"/>
      <c r="G24" s="58">
        <v>45393.173616088301</v>
      </c>
      <c r="H24" s="14" t="s">
        <v>3</v>
      </c>
      <c r="I24" s="1"/>
    </row>
    <row r="25" spans="1:9" x14ac:dyDescent="0.25">
      <c r="A25" s="1"/>
      <c r="B25" s="127" t="s">
        <v>48</v>
      </c>
      <c r="C25" s="128"/>
      <c r="D25" s="128"/>
      <c r="E25" s="128"/>
      <c r="F25" s="129"/>
      <c r="G25" s="58">
        <f>(G23+G24)*'Fane 13. Nøgletal'!C31</f>
        <v>124444.70445050266</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0" t="s">
        <v>132</v>
      </c>
      <c r="C28" s="121"/>
      <c r="D28" s="121"/>
      <c r="E28" s="121"/>
      <c r="F28" s="121"/>
      <c r="G28" s="133"/>
      <c r="H28" s="122"/>
      <c r="I28" s="1"/>
    </row>
    <row r="29" spans="1:9" x14ac:dyDescent="0.25">
      <c r="A29" s="1"/>
      <c r="B29" s="127" t="s">
        <v>55</v>
      </c>
      <c r="C29" s="128"/>
      <c r="D29" s="128"/>
      <c r="E29" s="128"/>
      <c r="F29" s="129"/>
      <c r="G29" s="58">
        <f>(G23+G24-G25)*(1+'Fane 13. Nøgletal'!C13)</f>
        <v>6172183.5623951405</v>
      </c>
      <c r="H29" s="14" t="s">
        <v>3</v>
      </c>
      <c r="I29" s="1"/>
    </row>
    <row r="30" spans="1:9" x14ac:dyDescent="0.25">
      <c r="A30" s="1"/>
      <c r="B30" s="127" t="s">
        <v>121</v>
      </c>
      <c r="C30" s="128"/>
      <c r="D30" s="128"/>
      <c r="E30" s="128"/>
      <c r="F30" s="129"/>
      <c r="G30" s="58">
        <v>95053.543179839995</v>
      </c>
      <c r="H30" s="14" t="s">
        <v>3</v>
      </c>
      <c r="I30" s="1"/>
    </row>
    <row r="31" spans="1:9" x14ac:dyDescent="0.25">
      <c r="A31" s="1"/>
      <c r="B31" s="127" t="s">
        <v>126</v>
      </c>
      <c r="C31" s="128"/>
      <c r="D31" s="128"/>
      <c r="E31" s="128"/>
      <c r="F31" s="129"/>
      <c r="G31" s="58">
        <f>(G29+G30)*'Fane 13. Nøgletal'!C31</f>
        <v>125344.74211149961</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0" t="s">
        <v>133</v>
      </c>
      <c r="C34" s="121"/>
      <c r="D34" s="121"/>
      <c r="E34" s="121"/>
      <c r="F34" s="121"/>
      <c r="G34" s="133"/>
      <c r="H34" s="122"/>
      <c r="I34" s="1"/>
    </row>
    <row r="35" spans="1:9" x14ac:dyDescent="0.25">
      <c r="A35" s="1"/>
      <c r="B35" s="127" t="s">
        <v>74</v>
      </c>
      <c r="C35" s="128"/>
      <c r="D35" s="128"/>
      <c r="E35" s="128"/>
      <c r="F35" s="129"/>
      <c r="G35" s="58">
        <f>(G29+G30-G31)*(1+'Fane 13. Nøgletal'!C13)</f>
        <v>6216823.4502977356</v>
      </c>
      <c r="H35" s="14" t="s">
        <v>3</v>
      </c>
      <c r="I35" s="1"/>
    </row>
    <row r="36" spans="1:9" x14ac:dyDescent="0.25">
      <c r="A36" s="1"/>
      <c r="B36" s="127" t="s">
        <v>152</v>
      </c>
      <c r="C36" s="128"/>
      <c r="D36" s="128"/>
      <c r="E36" s="128"/>
      <c r="F36" s="129"/>
      <c r="G36" s="58">
        <f>('Fane 3. Omkostninger i ØR2022'!E10+'Fane 3. Omkostninger i ØR2022'!E12+'Fane 3. Omkostninger i ØR2022'!E14)*(1+'Fane 13. Nøgletal'!C14)</f>
        <v>209162.67022221003</v>
      </c>
      <c r="H36" s="14" t="s">
        <v>3</v>
      </c>
      <c r="I36" s="1"/>
    </row>
    <row r="37" spans="1:9" x14ac:dyDescent="0.25">
      <c r="A37" s="1"/>
      <c r="B37" s="127" t="s">
        <v>134</v>
      </c>
      <c r="C37" s="128"/>
      <c r="D37" s="128"/>
      <c r="E37" s="128"/>
      <c r="F37" s="129"/>
      <c r="G37" s="58">
        <f>(G35+G36)*'Fane 13. Nøgletal'!C31</f>
        <v>128519.72241039891</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0" t="s">
        <v>198</v>
      </c>
      <c r="C40" s="121"/>
      <c r="D40" s="121"/>
      <c r="E40" s="121"/>
      <c r="F40" s="121"/>
      <c r="G40" s="133"/>
      <c r="H40" s="122"/>
      <c r="I40" s="1"/>
    </row>
    <row r="41" spans="1:9" x14ac:dyDescent="0.25">
      <c r="A41" s="1"/>
      <c r="B41" s="127" t="s">
        <v>73</v>
      </c>
      <c r="C41" s="128"/>
      <c r="D41" s="128"/>
      <c r="E41" s="128"/>
      <c r="F41" s="129"/>
      <c r="G41" s="58">
        <f>(G35+G36-G37)*(1+'Fane 13. Nøgletal'!C15)</f>
        <v>6521656.2018822469</v>
      </c>
      <c r="H41" s="14" t="s">
        <v>3</v>
      </c>
      <c r="I41" s="1"/>
    </row>
    <row r="42" spans="1:9" x14ac:dyDescent="0.25">
      <c r="A42" s="1"/>
      <c r="B42" s="127" t="s">
        <v>197</v>
      </c>
      <c r="C42" s="128"/>
      <c r="D42" s="128"/>
      <c r="E42" s="128"/>
      <c r="F42" s="129"/>
      <c r="G42" s="58">
        <f>('Fane 2.1. Økonomisk ramme 2023'!C9+'Fane 2.1. Økonomisk ramme 2023'!C11+'Fane 2.1. Økonomisk ramme 2023'!C13)*(1+'Fane 13. Nøgletal'!C15)</f>
        <v>0</v>
      </c>
      <c r="H42" s="14" t="s">
        <v>3</v>
      </c>
      <c r="I42" s="1"/>
    </row>
    <row r="43" spans="1:9" x14ac:dyDescent="0.25">
      <c r="A43" s="1"/>
      <c r="B43" s="127" t="s">
        <v>208</v>
      </c>
      <c r="C43" s="128"/>
      <c r="D43" s="128"/>
      <c r="E43" s="128"/>
      <c r="F43" s="129"/>
      <c r="G43" s="58">
        <f>(G41+G42)*'Fane 13. Nøgletal'!C31</f>
        <v>130433.12403764494</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0" t="s">
        <v>199</v>
      </c>
      <c r="C46" s="121"/>
      <c r="D46" s="121"/>
      <c r="E46" s="121"/>
      <c r="F46" s="121"/>
      <c r="G46" s="133"/>
      <c r="H46" s="122"/>
      <c r="I46" s="1"/>
    </row>
    <row r="47" spans="1:9" x14ac:dyDescent="0.25">
      <c r="A47" s="1"/>
      <c r="B47" s="127" t="s">
        <v>122</v>
      </c>
      <c r="C47" s="128"/>
      <c r="D47" s="128"/>
      <c r="E47" s="128"/>
      <c r="F47" s="129"/>
      <c r="G47" s="58">
        <f>(G41+G42-G43)*(1+'Fane 13. Nøgletal'!C15)</f>
        <v>6618750.6194158699</v>
      </c>
      <c r="H47" s="14" t="s">
        <v>3</v>
      </c>
      <c r="I47" s="1"/>
    </row>
    <row r="48" spans="1:9" x14ac:dyDescent="0.25">
      <c r="A48" s="1"/>
      <c r="B48" s="127" t="s">
        <v>209</v>
      </c>
      <c r="C48" s="128"/>
      <c r="D48" s="128"/>
      <c r="E48" s="128"/>
      <c r="F48" s="129"/>
      <c r="G48" s="58">
        <f>(G47)*'Fane 13. Nøgletal'!C31</f>
        <v>132375.01238831741</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0" t="s">
        <v>145</v>
      </c>
      <c r="C51" s="121"/>
      <c r="D51" s="121"/>
      <c r="E51" s="121"/>
      <c r="F51" s="121"/>
      <c r="G51" s="133"/>
      <c r="H51" s="122"/>
      <c r="I51" s="1"/>
    </row>
    <row r="52" spans="1:9" x14ac:dyDescent="0.25">
      <c r="A52" s="1"/>
      <c r="B52" s="127" t="s">
        <v>146</v>
      </c>
      <c r="C52" s="128"/>
      <c r="D52" s="128"/>
      <c r="E52" s="128"/>
      <c r="F52" s="129"/>
      <c r="G52" s="58">
        <f>(G47-G48)*(1+'Fane 13. Nøgletal'!C15)</f>
        <v>6717290.5786377331</v>
      </c>
      <c r="H52" s="14" t="s">
        <v>3</v>
      </c>
      <c r="I52" s="1"/>
    </row>
    <row r="53" spans="1:9" x14ac:dyDescent="0.25">
      <c r="A53" s="1"/>
      <c r="B53" s="127" t="s">
        <v>147</v>
      </c>
      <c r="C53" s="128"/>
      <c r="D53" s="128"/>
      <c r="E53" s="128"/>
      <c r="F53" s="129"/>
      <c r="G53" s="58">
        <f>(G52)*'Fane 13. Nøgletal'!C31</f>
        <v>134345.81157275467</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0" t="s">
        <v>174</v>
      </c>
      <c r="C56" s="121"/>
      <c r="D56" s="121"/>
      <c r="E56" s="121"/>
      <c r="F56" s="121"/>
      <c r="G56" s="133"/>
      <c r="H56" s="122"/>
      <c r="I56" s="1"/>
    </row>
    <row r="57" spans="1:9" x14ac:dyDescent="0.25">
      <c r="A57" s="1"/>
      <c r="B57" s="127" t="s">
        <v>175</v>
      </c>
      <c r="C57" s="128"/>
      <c r="D57" s="128"/>
      <c r="E57" s="128"/>
      <c r="F57" s="129"/>
      <c r="G57" s="58">
        <f>(G52-G53)*(1+'Fane 13. Nøgletal'!C15)</f>
        <v>6817297.6007724917</v>
      </c>
      <c r="H57" s="14" t="s">
        <v>3</v>
      </c>
      <c r="I57" s="1"/>
    </row>
    <row r="58" spans="1:9" x14ac:dyDescent="0.25">
      <c r="A58" s="1"/>
      <c r="B58" s="127" t="s">
        <v>176</v>
      </c>
      <c r="C58" s="128"/>
      <c r="D58" s="128"/>
      <c r="E58" s="128"/>
      <c r="F58" s="129"/>
      <c r="G58" s="58">
        <f>(G57)*'Fane 13. Nøgletal'!C31</f>
        <v>136345.95201544985</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25.42578125" style="2" customWidth="1"/>
    <col min="7" max="7" width="10.28515625" style="2" customWidth="1"/>
    <col min="8" max="8" width="2.85546875" style="2" bestFit="1" customWidth="1"/>
    <col min="9" max="9" width="6" style="2" customWidth="1"/>
    <col min="10" max="16384" width="9" style="2"/>
  </cols>
  <sheetData>
    <row r="1" spans="1:9" x14ac:dyDescent="0.25">
      <c r="A1" s="1"/>
      <c r="B1" s="134" t="s">
        <v>99</v>
      </c>
      <c r="C1" s="135"/>
      <c r="D1" s="135"/>
      <c r="E1" s="135"/>
      <c r="F1" s="135"/>
      <c r="G1" s="135"/>
      <c r="H1" s="135"/>
      <c r="I1" s="1"/>
    </row>
    <row r="2" spans="1:9" ht="19.899999999999999" customHeight="1" x14ac:dyDescent="0.25">
      <c r="A2" s="1"/>
      <c r="B2" s="135"/>
      <c r="C2" s="135"/>
      <c r="D2" s="135"/>
      <c r="E2" s="135"/>
      <c r="F2" s="135"/>
      <c r="G2" s="135"/>
      <c r="H2" s="135"/>
      <c r="I2" s="1"/>
    </row>
    <row r="3" spans="1:9" ht="15" customHeight="1" x14ac:dyDescent="0.25">
      <c r="A3" s="1"/>
      <c r="B3" s="136"/>
      <c r="C3" s="136"/>
      <c r="D3" s="136"/>
      <c r="E3" s="136"/>
      <c r="F3" s="136"/>
      <c r="G3" s="136"/>
      <c r="H3" s="136"/>
      <c r="I3" s="1"/>
    </row>
    <row r="4" spans="1:9" x14ac:dyDescent="0.25">
      <c r="A4" s="1"/>
      <c r="B4" s="120" t="s">
        <v>53</v>
      </c>
      <c r="C4" s="121"/>
      <c r="D4" s="121"/>
      <c r="E4" s="121"/>
      <c r="F4" s="121"/>
      <c r="G4" s="121"/>
      <c r="H4" s="122"/>
      <c r="I4" s="1"/>
    </row>
    <row r="5" spans="1:9" x14ac:dyDescent="0.25">
      <c r="A5" s="1"/>
      <c r="B5" s="127" t="s">
        <v>56</v>
      </c>
      <c r="C5" s="128"/>
      <c r="D5" s="128"/>
      <c r="E5" s="128"/>
      <c r="F5" s="129"/>
      <c r="G5" s="58">
        <v>4604939.6396521218</v>
      </c>
      <c r="H5" s="14" t="s">
        <v>3</v>
      </c>
      <c r="I5" s="1"/>
    </row>
    <row r="6" spans="1:9" x14ac:dyDescent="0.25">
      <c r="A6" s="1"/>
      <c r="B6" s="127" t="s">
        <v>54</v>
      </c>
      <c r="C6" s="128"/>
      <c r="D6" s="128"/>
      <c r="E6" s="128"/>
      <c r="F6" s="129"/>
      <c r="G6" s="58">
        <f>G5*'Fane 13. Nøgletal'!C20</f>
        <v>41904.950720834313</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0" t="s">
        <v>57</v>
      </c>
      <c r="C9" s="121"/>
      <c r="D9" s="121"/>
      <c r="E9" s="121"/>
      <c r="F9" s="121"/>
      <c r="G9" s="133"/>
      <c r="H9" s="122"/>
      <c r="I9" s="1"/>
    </row>
    <row r="10" spans="1:9" x14ac:dyDescent="0.25">
      <c r="A10" s="1"/>
      <c r="B10" s="127" t="s">
        <v>58</v>
      </c>
      <c r="C10" s="128"/>
      <c r="D10" s="128"/>
      <c r="E10" s="128"/>
      <c r="F10" s="129"/>
      <c r="G10" s="58">
        <f>(G5-G6)*(1+'Fane 13. Nøgletal'!C9)</f>
        <v>4620985.2294807145</v>
      </c>
      <c r="H10" s="14" t="s">
        <v>3</v>
      </c>
      <c r="I10" s="1"/>
    </row>
    <row r="11" spans="1:9" x14ac:dyDescent="0.25">
      <c r="A11" s="1"/>
      <c r="B11" s="130" t="s">
        <v>59</v>
      </c>
      <c r="C11" s="131"/>
      <c r="D11" s="131"/>
      <c r="E11" s="131"/>
      <c r="F11" s="132"/>
      <c r="G11" s="63">
        <v>0</v>
      </c>
      <c r="H11" s="14" t="s">
        <v>3</v>
      </c>
      <c r="I11" s="1"/>
    </row>
    <row r="12" spans="1:9" x14ac:dyDescent="0.25">
      <c r="A12" s="1"/>
      <c r="B12" s="127" t="s">
        <v>60</v>
      </c>
      <c r="C12" s="128"/>
      <c r="D12" s="128"/>
      <c r="E12" s="128"/>
      <c r="F12" s="129"/>
      <c r="G12" s="58">
        <f>G10*'Fane 13. Nøgletal'!C20+G11*'Fane 13. Nøgletal'!C21</f>
        <v>42050.965588274506</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0" t="s">
        <v>61</v>
      </c>
      <c r="C15" s="121"/>
      <c r="D15" s="121"/>
      <c r="E15" s="121"/>
      <c r="F15" s="121"/>
      <c r="G15" s="133"/>
      <c r="H15" s="122"/>
      <c r="I15" s="1"/>
    </row>
    <row r="16" spans="1:9" x14ac:dyDescent="0.25">
      <c r="A16" s="1"/>
      <c r="B16" s="127" t="s">
        <v>62</v>
      </c>
      <c r="C16" s="128"/>
      <c r="D16" s="128"/>
      <c r="E16" s="128"/>
      <c r="F16" s="129"/>
      <c r="G16" s="58">
        <f>(G10+G11-G12)*(1+'Fane 13. Nøgletal'!C11)</f>
        <v>4656318.2529522218</v>
      </c>
      <c r="H16" s="14" t="s">
        <v>3</v>
      </c>
      <c r="I16" s="1"/>
    </row>
    <row r="17" spans="1:9" x14ac:dyDescent="0.25">
      <c r="A17" s="1"/>
      <c r="B17" s="127" t="s">
        <v>109</v>
      </c>
      <c r="C17" s="128"/>
      <c r="D17" s="128"/>
      <c r="E17" s="128"/>
      <c r="F17" s="129"/>
      <c r="G17" s="58">
        <v>30741.519619449693</v>
      </c>
      <c r="H17" s="14" t="s">
        <v>3</v>
      </c>
      <c r="I17" s="1"/>
    </row>
    <row r="18" spans="1:9" x14ac:dyDescent="0.25">
      <c r="A18" s="1"/>
      <c r="B18" s="130" t="s">
        <v>63</v>
      </c>
      <c r="C18" s="131"/>
      <c r="D18" s="131"/>
      <c r="E18" s="131"/>
      <c r="F18" s="132"/>
      <c r="G18" s="58">
        <v>0</v>
      </c>
      <c r="H18" s="14" t="s">
        <v>3</v>
      </c>
      <c r="I18" s="1"/>
    </row>
    <row r="19" spans="1:9" x14ac:dyDescent="0.25">
      <c r="A19" s="1"/>
      <c r="B19" s="127" t="s">
        <v>64</v>
      </c>
      <c r="C19" s="128"/>
      <c r="D19" s="128"/>
      <c r="E19" s="128"/>
      <c r="F19" s="129"/>
      <c r="G19" s="58">
        <f>(G16+G17+G18)*'Fane 13. Nøgletal'!C22</f>
        <v>40777.420021373538</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0" t="s">
        <v>65</v>
      </c>
      <c r="C22" s="121"/>
      <c r="D22" s="121"/>
      <c r="E22" s="121"/>
      <c r="F22" s="121"/>
      <c r="G22" s="133"/>
      <c r="H22" s="122"/>
      <c r="I22" s="1"/>
    </row>
    <row r="23" spans="1:9" x14ac:dyDescent="0.25">
      <c r="A23" s="1"/>
      <c r="B23" s="127" t="s">
        <v>66</v>
      </c>
      <c r="C23" s="128"/>
      <c r="D23" s="128"/>
      <c r="E23" s="128"/>
      <c r="F23" s="129"/>
      <c r="G23" s="58">
        <f>(SUM(G16:G18)-G19)*(1+'Fane 13. Nøgletal'!C11)</f>
        <v>4724804.5243083974</v>
      </c>
      <c r="H23" s="14" t="s">
        <v>3</v>
      </c>
      <c r="I23" s="1"/>
    </row>
    <row r="24" spans="1:9" x14ac:dyDescent="0.25">
      <c r="A24" s="1"/>
      <c r="B24" s="130" t="s">
        <v>67</v>
      </c>
      <c r="C24" s="131"/>
      <c r="D24" s="131"/>
      <c r="E24" s="131"/>
      <c r="F24" s="132"/>
      <c r="G24" s="58">
        <v>18034.227111613305</v>
      </c>
      <c r="H24" s="14" t="s">
        <v>3</v>
      </c>
      <c r="I24" s="1"/>
    </row>
    <row r="25" spans="1:9" x14ac:dyDescent="0.25">
      <c r="A25" s="1"/>
      <c r="B25" s="127" t="s">
        <v>68</v>
      </c>
      <c r="C25" s="128"/>
      <c r="D25" s="128"/>
      <c r="E25" s="128"/>
      <c r="F25" s="129"/>
      <c r="G25" s="58">
        <f>G23*'Fane 13. Nøgletal'!C22+G24*'Fane 13. Nøgletal'!C23</f>
        <v>41617.971411452876</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0" t="s">
        <v>130</v>
      </c>
      <c r="C28" s="121"/>
      <c r="D28" s="121"/>
      <c r="E28" s="121"/>
      <c r="F28" s="121"/>
      <c r="G28" s="133"/>
      <c r="H28" s="122"/>
      <c r="I28" s="1"/>
    </row>
    <row r="29" spans="1:9" x14ac:dyDescent="0.25">
      <c r="A29" s="1"/>
      <c r="B29" s="127" t="s">
        <v>69</v>
      </c>
      <c r="C29" s="128"/>
      <c r="D29" s="128"/>
      <c r="E29" s="128"/>
      <c r="F29" s="129"/>
      <c r="G29" s="58">
        <f>(G23+G24-G25)*(1+'Fane 13. Nøgletal'!C13)</f>
        <v>4758575.6735246629</v>
      </c>
      <c r="H29" s="14" t="s">
        <v>3</v>
      </c>
      <c r="I29" s="1"/>
    </row>
    <row r="30" spans="1:9" x14ac:dyDescent="0.25">
      <c r="A30" s="1"/>
      <c r="B30" s="127" t="s">
        <v>123</v>
      </c>
      <c r="C30" s="128"/>
      <c r="D30" s="128"/>
      <c r="E30" s="128"/>
      <c r="F30" s="129"/>
      <c r="G30" s="58">
        <v>27455.85981432</v>
      </c>
      <c r="H30" s="14" t="s">
        <v>3</v>
      </c>
      <c r="I30" s="1"/>
    </row>
    <row r="31" spans="1:9" x14ac:dyDescent="0.25">
      <c r="A31" s="1"/>
      <c r="B31" s="127" t="s">
        <v>131</v>
      </c>
      <c r="C31" s="128"/>
      <c r="D31" s="128"/>
      <c r="E31" s="128"/>
      <c r="F31" s="129"/>
      <c r="G31" s="58">
        <f>(G29+G30)*'Fane 13. Nøgletal'!C24</f>
        <v>131615.86716682202</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0" t="s">
        <v>135</v>
      </c>
      <c r="C34" s="121"/>
      <c r="D34" s="121"/>
      <c r="E34" s="121"/>
      <c r="F34" s="121"/>
      <c r="G34" s="133"/>
      <c r="H34" s="122"/>
      <c r="I34" s="1"/>
    </row>
    <row r="35" spans="1:9" x14ac:dyDescent="0.25">
      <c r="A35" s="1"/>
      <c r="B35" s="127" t="s">
        <v>72</v>
      </c>
      <c r="C35" s="128"/>
      <c r="D35" s="128"/>
      <c r="E35" s="128"/>
      <c r="F35" s="129"/>
      <c r="G35" s="58">
        <f>(G29+G30-G31)*(1+'Fane 13. Nøgletal'!C13)</f>
        <v>4711199.5372994607</v>
      </c>
      <c r="H35" s="14" t="s">
        <v>3</v>
      </c>
      <c r="I35" s="1"/>
    </row>
    <row r="36" spans="1:9" x14ac:dyDescent="0.25">
      <c r="A36" s="1"/>
      <c r="B36" s="127" t="s">
        <v>141</v>
      </c>
      <c r="C36" s="128"/>
      <c r="D36" s="128"/>
      <c r="E36" s="128"/>
      <c r="F36" s="129"/>
      <c r="G36" s="58">
        <f>SUM('Fane 3. Omkostninger i ØR2022'!E11)*(1+'Fane 13. Nøgletal'!C14)</f>
        <v>1354528.8317433703</v>
      </c>
      <c r="H36" s="14" t="s">
        <v>3</v>
      </c>
      <c r="I36" s="1"/>
    </row>
    <row r="37" spans="1:9" x14ac:dyDescent="0.25">
      <c r="A37" s="1"/>
      <c r="B37" s="127" t="s">
        <v>136</v>
      </c>
      <c r="C37" s="128"/>
      <c r="D37" s="128"/>
      <c r="E37" s="128"/>
      <c r="F37" s="129"/>
      <c r="G37" s="58">
        <f>G35*'Fane 13. Nøgletal'!C24+G36*'Fane 13. Nøgletal'!C25</f>
        <v>149605.01398553705</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0" t="s">
        <v>200</v>
      </c>
      <c r="C40" s="121"/>
      <c r="D40" s="121"/>
      <c r="E40" s="121"/>
      <c r="F40" s="121"/>
      <c r="G40" s="133"/>
      <c r="H40" s="122"/>
      <c r="I40" s="1"/>
    </row>
    <row r="41" spans="1:9" x14ac:dyDescent="0.25">
      <c r="A41" s="1"/>
      <c r="B41" s="127" t="s">
        <v>71</v>
      </c>
      <c r="C41" s="128"/>
      <c r="D41" s="128"/>
      <c r="E41" s="128"/>
      <c r="F41" s="129"/>
      <c r="G41" s="58">
        <f>(G35+G36-G37)*(1+'Fane 13. Nøgletal'!C15)</f>
        <v>6126737.3464973336</v>
      </c>
      <c r="H41" s="14" t="s">
        <v>3</v>
      </c>
      <c r="I41" s="1"/>
    </row>
    <row r="42" spans="1:9" x14ac:dyDescent="0.25">
      <c r="A42" s="1"/>
      <c r="B42" s="127" t="s">
        <v>211</v>
      </c>
      <c r="C42" s="128"/>
      <c r="D42" s="128"/>
      <c r="E42" s="128"/>
      <c r="F42" s="129"/>
      <c r="G42" s="63">
        <f>SUM('Fane 2.1. Økonomisk ramme 2023'!C10+'Fane 2.1. Økonomisk ramme 2023'!C12+'Fane 2.1. Økonomisk ramme 2023'!C14)*(1+'Fane 13. Nøgletal'!C15)</f>
        <v>88403.484484800007</v>
      </c>
      <c r="H42" s="14" t="s">
        <v>3</v>
      </c>
      <c r="I42" s="1"/>
    </row>
    <row r="43" spans="1:9" x14ac:dyDescent="0.25">
      <c r="A43" s="1"/>
      <c r="B43" s="127" t="s">
        <v>70</v>
      </c>
      <c r="C43" s="128"/>
      <c r="D43" s="128"/>
      <c r="E43" s="128"/>
      <c r="F43" s="129"/>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0" t="s">
        <v>201</v>
      </c>
      <c r="C46" s="121"/>
      <c r="D46" s="121"/>
      <c r="E46" s="121"/>
      <c r="F46" s="121"/>
      <c r="G46" s="133"/>
      <c r="H46" s="122"/>
      <c r="I46" s="1"/>
    </row>
    <row r="47" spans="1:9" x14ac:dyDescent="0.25">
      <c r="A47" s="1"/>
      <c r="B47" s="127" t="s">
        <v>124</v>
      </c>
      <c r="C47" s="128"/>
      <c r="D47" s="128"/>
      <c r="E47" s="128"/>
      <c r="F47" s="129"/>
      <c r="G47" s="58">
        <f>(G41+G42-G43)*(1+'Fane 13. Nøgletal'!C15)</f>
        <v>6436399.8445650982</v>
      </c>
      <c r="H47" s="14" t="s">
        <v>3</v>
      </c>
      <c r="I47" s="1"/>
    </row>
    <row r="48" spans="1:9" x14ac:dyDescent="0.25">
      <c r="A48" s="1"/>
      <c r="B48" s="127" t="s">
        <v>125</v>
      </c>
      <c r="C48" s="128"/>
      <c r="D48" s="128"/>
      <c r="E48" s="128"/>
      <c r="F48" s="129"/>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0" t="s">
        <v>142</v>
      </c>
      <c r="C51" s="121"/>
      <c r="D51" s="121"/>
      <c r="E51" s="121"/>
      <c r="F51" s="121"/>
      <c r="G51" s="133"/>
      <c r="H51" s="122"/>
      <c r="I51" s="1"/>
    </row>
    <row r="52" spans="1:9" x14ac:dyDescent="0.25">
      <c r="A52" s="1"/>
      <c r="B52" s="127" t="s">
        <v>143</v>
      </c>
      <c r="C52" s="128"/>
      <c r="D52" s="128"/>
      <c r="E52" s="128"/>
      <c r="F52" s="129"/>
      <c r="G52" s="58">
        <f>(G47-G48)*(1+'Fane 13. Nøgletal'!C15)</f>
        <v>6665535.6790316161</v>
      </c>
      <c r="H52" s="14" t="s">
        <v>3</v>
      </c>
      <c r="I52" s="1"/>
    </row>
    <row r="53" spans="1:9" x14ac:dyDescent="0.25">
      <c r="A53" s="1"/>
      <c r="B53" s="127" t="s">
        <v>144</v>
      </c>
      <c r="C53" s="128"/>
      <c r="D53" s="128"/>
      <c r="E53" s="128"/>
      <c r="F53" s="129"/>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0" t="s">
        <v>177</v>
      </c>
      <c r="C56" s="121"/>
      <c r="D56" s="121"/>
      <c r="E56" s="121"/>
      <c r="F56" s="121"/>
      <c r="G56" s="133"/>
      <c r="H56" s="122"/>
      <c r="I56" s="1"/>
    </row>
    <row r="57" spans="1:9" x14ac:dyDescent="0.25">
      <c r="A57" s="1"/>
      <c r="B57" s="127" t="s">
        <v>178</v>
      </c>
      <c r="C57" s="128"/>
      <c r="D57" s="128"/>
      <c r="E57" s="128"/>
      <c r="F57" s="129"/>
      <c r="G57" s="58">
        <f>(G52-G53)*(1+'Fane 13. Nøgletal'!C15)</f>
        <v>6902828.7492051423</v>
      </c>
      <c r="H57" s="14" t="s">
        <v>3</v>
      </c>
      <c r="I57" s="1"/>
    </row>
    <row r="58" spans="1:9" x14ac:dyDescent="0.25">
      <c r="A58" s="1"/>
      <c r="B58" s="127" t="s">
        <v>179</v>
      </c>
      <c r="C58" s="128"/>
      <c r="D58" s="128"/>
      <c r="E58" s="128"/>
      <c r="F58" s="129"/>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9"/>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1" t="s">
        <v>82</v>
      </c>
      <c r="C3" s="101"/>
      <c r="D3" s="101"/>
      <c r="E3" s="101"/>
      <c r="F3" s="101"/>
      <c r="G3" s="101"/>
      <c r="H3" s="1"/>
    </row>
    <row r="4" spans="1:8" ht="15" customHeight="1" x14ac:dyDescent="0.25">
      <c r="A4" s="1"/>
      <c r="B4" s="101"/>
      <c r="C4" s="101"/>
      <c r="D4" s="101"/>
      <c r="E4" s="101"/>
      <c r="F4" s="101"/>
      <c r="G4" s="10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0" t="s">
        <v>9</v>
      </c>
      <c r="C8" s="121"/>
      <c r="D8" s="121"/>
      <c r="E8" s="121"/>
      <c r="F8" s="121"/>
      <c r="G8" s="121"/>
      <c r="H8" s="1"/>
    </row>
    <row r="9" spans="1:8" x14ac:dyDescent="0.25">
      <c r="A9" s="1"/>
      <c r="B9" s="76" t="s">
        <v>180</v>
      </c>
      <c r="C9" s="77"/>
      <c r="D9" s="77"/>
      <c r="E9" s="77"/>
      <c r="F9" s="78"/>
      <c r="G9" s="28">
        <v>7.4549146286381268E-3</v>
      </c>
      <c r="H9" s="1"/>
    </row>
    <row r="10" spans="1:8" x14ac:dyDescent="0.25">
      <c r="A10" s="1"/>
      <c r="B10" s="71"/>
      <c r="C10" s="72"/>
      <c r="D10" s="72"/>
      <c r="E10" s="72"/>
      <c r="F10" s="72"/>
      <c r="G10" s="72"/>
      <c r="H10" s="1"/>
    </row>
    <row r="11" spans="1:8" x14ac:dyDescent="0.25">
      <c r="A11" s="1"/>
      <c r="B11" s="1"/>
      <c r="C11" s="1"/>
      <c r="D11" s="1"/>
      <c r="E11" s="1"/>
      <c r="F11" s="1"/>
      <c r="G11" s="1"/>
      <c r="H11" s="1"/>
    </row>
    <row r="12" spans="1:8" ht="31.5" customHeight="1" x14ac:dyDescent="0.25">
      <c r="A12" s="1"/>
      <c r="B12" s="137" t="s">
        <v>202</v>
      </c>
      <c r="C12" s="137"/>
      <c r="D12" s="137"/>
      <c r="E12" s="137"/>
      <c r="F12" s="137"/>
      <c r="G12" s="137"/>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hUqmwpPypMRovO1mALTfYbGcrGOQJZOg/UVgXos/VCW5UQnYbcgEpvYrDBbseNE1G/j5RTXuUhqw/YOQOefn6g==" saltValue="iE8kUySKn6FbCQkdbEA4h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2022-12-01T09:06:31Z</dcterms:modified>
</cp:coreProperties>
</file>