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JYLLINGE VANDVÆRK A.M.B.A (V11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25" i="8" l="1"/>
  <c r="E33" i="8" l="1"/>
  <c r="E35" i="8" s="1"/>
  <c r="E29" i="8"/>
  <c r="E25" i="2" s="1"/>
  <c r="E10" i="2"/>
  <c r="E14" i="6"/>
  <c r="E21" i="3" l="1"/>
  <c r="E20" i="5"/>
  <c r="E20" i="4"/>
  <c r="C11" i="12"/>
  <c r="C12" i="12" s="1"/>
  <c r="C12" i="7"/>
  <c r="C13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<sst xmlns="http://schemas.openxmlformats.org/spreadsheetml/2006/main" count="401" uniqueCount="151">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</sst>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2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2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2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TwSjur6P/y1wrXuFEIQbwmHqW0z7ysE5gKpRJPWlOBfPYB2AE5gSM1mouvYdyxtAL/1LePZvcuMlNV0MEsh5Q==" saltValue="TJQq+50J4/eB2a0orlMfv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rSkm/Yj7pfVWqGwWFsVgFRywghwcb+eYQieoI0/dfzrod4IbFlq7zfK1bDdtoee9Hwe1WXCXv/JJI8FHFLwgzg==" saltValue="4lmdAybb2zBxM4pGefhNe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51</v>
      </c>
      <c r="C8" s="89"/>
      <c r="D8" s="89"/>
      <c r="E8" s="89"/>
      <c r="F8" s="90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52</v>
      </c>
      <c r="C15" s="89"/>
      <c r="D15" s="89"/>
      <c r="E15" s="89"/>
      <c r="F15" s="90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2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77</v>
      </c>
      <c r="C22" s="89"/>
      <c r="D22" s="89"/>
      <c r="E22" s="89"/>
      <c r="F22" s="90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2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112</v>
      </c>
      <c r="C29" s="89"/>
      <c r="D29" s="89"/>
      <c r="E29" s="89"/>
      <c r="F29" s="90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2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a+euGVhm6JPFlG9/AJQYTXUkI2O3aGaSni9pxTrGQIuHBVB/r2oYDW8sAW1fYfTvEKWrJ56gbg591huTnVakg==" saltValue="BvIgfOG3kl2U68xg4YB19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7jCsqy7y9lElEuPD9juGep0l3NlyL8+5kWQJMK8vkL5aV+jiBxIuJGZrlLiHDd1vO4NNSLjr1yQ+RAtYys/2Og==" saltValue="UHZNjR8JZINfyRBGb/d7g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2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49</v>
      </c>
      <c r="C14" s="89"/>
      <c r="D14" s="89"/>
      <c r="E14" s="89"/>
      <c r="F14" s="90"/>
      <c r="G14" s="1"/>
    </row>
    <row r="15" spans="1:7" ht="26.25" x14ac:dyDescent="0.2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2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73</v>
      </c>
      <c r="C20" s="89"/>
      <c r="D20" s="89"/>
      <c r="E20" s="89"/>
      <c r="F20" s="90"/>
      <c r="G20" s="1"/>
    </row>
    <row r="21" spans="1:7" ht="26.25" x14ac:dyDescent="0.2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2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26.25" x14ac:dyDescent="0.2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2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6WTUX3XZGW2FGEpr3JPszntznBRrfnWUT6d1auNdN3nAfBMtzYi3+LCWig7CR/ly+9ctF4wpJLAw5UoUkhf/9w==" saltValue="n2WZZIpLFxM9s4+8ujlLO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5" t="s">
        <v>93</v>
      </c>
      <c r="C3" s="75"/>
      <c r="D3" s="1"/>
    </row>
    <row r="4" spans="1:4" ht="25.5" customHeight="1" x14ac:dyDescent="0.25">
      <c r="A4" s="1"/>
      <c r="B4" s="75"/>
      <c r="C4" s="7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57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6"/>
      <c r="C15" s="5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54</v>
      </c>
      <c r="C18" s="57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6"/>
      <c r="C20" s="107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SiFyAKVOKj69iiFiioDfsOc+LoQa2ICRjrdjRRDeg0DdFJXT0rZ6bJV0oacd6pjslYuuh6r1YjfTGTmP6zA8bw==" saltValue="zZ7TZ/dxNHHZyndPYMZNY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x14ac:dyDescent="0.25">
      <c r="A9" s="1"/>
      <c r="B9" s="39" t="s">
        <v>24</v>
      </c>
      <c r="C9" s="39"/>
      <c r="D9" s="39"/>
      <c r="E9" s="7">
        <f>'Fane 3. Omkostninger i ØR2021'!E16</f>
        <v>4083571.9094082895</v>
      </c>
      <c r="F9" s="39" t="s">
        <v>3</v>
      </c>
      <c r="G9" s="1"/>
    </row>
    <row r="10" spans="1:7" ht="17.100000000000001" customHeight="1" x14ac:dyDescent="0.2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2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9" t="s">
        <v>18</v>
      </c>
      <c r="C14" s="39"/>
      <c r="D14" s="39"/>
      <c r="E14" s="8">
        <f>E9*'Fane 10. Nøgletal'!C13+SUM(E11:E13)*'Fane 10. Nøgletal'!C14</f>
        <v>49819.577294781135</v>
      </c>
      <c r="F14" s="39" t="s">
        <v>3</v>
      </c>
      <c r="G14" s="1"/>
    </row>
    <row r="15" spans="1:7" ht="17.100000000000001" customHeight="1" x14ac:dyDescent="0.25">
      <c r="A15" s="1"/>
      <c r="B15" s="29" t="s">
        <v>54</v>
      </c>
      <c r="C15" s="39"/>
      <c r="D15" s="39"/>
      <c r="E15" s="8">
        <f>-SUM(E9,E11:E14)*'Fane 10. Nøgletal'!C19</f>
        <v>-70267.655273952216</v>
      </c>
      <c r="F15" s="39" t="s">
        <v>3</v>
      </c>
      <c r="G15" s="1"/>
    </row>
    <row r="16" spans="1:7" ht="15" customHeight="1" x14ac:dyDescent="0.25">
      <c r="A16" s="1"/>
      <c r="B16" s="53" t="s">
        <v>20</v>
      </c>
      <c r="C16" s="41"/>
      <c r="D16" s="41"/>
      <c r="E16" s="9">
        <f>SUM(E9,E11:E15)</f>
        <v>4063123.8314291188</v>
      </c>
      <c r="F16" s="43" t="s">
        <v>3</v>
      </c>
      <c r="G16" s="1"/>
    </row>
    <row r="17" spans="1:7" ht="15" customHeight="1" x14ac:dyDescent="0.2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25">
      <c r="A18" s="1"/>
      <c r="B18" s="43" t="s">
        <v>12</v>
      </c>
      <c r="C18" s="43"/>
      <c r="D18" s="43"/>
      <c r="E18" s="9">
        <f>'Fane 4. Ikke-påvirkelige omk.'!C13</f>
        <v>1464981.2248704003</v>
      </c>
      <c r="F18" s="43" t="s">
        <v>3</v>
      </c>
      <c r="G18" s="1"/>
    </row>
    <row r="19" spans="1:7" ht="15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2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53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3" t="s">
        <v>31</v>
      </c>
      <c r="C24" s="41"/>
      <c r="D24" s="41"/>
      <c r="E24" s="9">
        <v>3806.5335755559208</v>
      </c>
      <c r="F24" s="43" t="s">
        <v>3</v>
      </c>
      <c r="G24" s="1"/>
    </row>
    <row r="25" spans="1:7" x14ac:dyDescent="0.25">
      <c r="A25" s="1"/>
      <c r="B25" s="53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43" t="s">
        <v>148</v>
      </c>
      <c r="C27" s="43"/>
      <c r="D27" s="43"/>
      <c r="E27" s="9">
        <v>0</v>
      </c>
      <c r="F27" s="43" t="s">
        <v>3</v>
      </c>
      <c r="G27" s="1"/>
    </row>
    <row r="28" spans="1:7" x14ac:dyDescent="0.25">
      <c r="A28" s="1"/>
      <c r="B28" s="42" t="s">
        <v>26</v>
      </c>
      <c r="C28" s="42"/>
      <c r="D28" s="42"/>
      <c r="E28" s="10">
        <f>SUM(E16,E18,E22,E24,E25,E27)</f>
        <v>5531911.589875075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sheetProtection algorithmName="SHA-512" hashValue="JFofxtR5r/PqD86jb57jCovBKjQIiW04eByxCBjI0UcXlIn26SmpIpNWFZyVQJ2Q+jpo6e4gY5aH+P+1QFRyMw==" saltValue="PbwnhTQErXGDavduhq4TA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101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25">
      <c r="A9" s="1"/>
      <c r="B9" s="39" t="s">
        <v>66</v>
      </c>
      <c r="C9" s="39"/>
      <c r="D9" s="39"/>
      <c r="E9" s="7">
        <f>'Fane 2.1. Økonomisk ramme 2022'!E16</f>
        <v>4063123.8314291188</v>
      </c>
      <c r="F9" s="39" t="s">
        <v>3</v>
      </c>
      <c r="G9" s="1"/>
    </row>
    <row r="10" spans="1:7" ht="15" customHeight="1" x14ac:dyDescent="0.2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40" t="s">
        <v>18</v>
      </c>
      <c r="C11" s="39"/>
      <c r="D11" s="39"/>
      <c r="E11" s="8">
        <f>SUM(E9:E10)*'Fane 10. Nøgletal'!C14</f>
        <v>13408.308643716091</v>
      </c>
      <c r="F11" s="39" t="s">
        <v>3</v>
      </c>
      <c r="G11" s="1"/>
    </row>
    <row r="12" spans="1:7" ht="15" customHeight="1" x14ac:dyDescent="0.25">
      <c r="A12" s="1"/>
      <c r="B12" s="40" t="s">
        <v>54</v>
      </c>
      <c r="C12" s="39"/>
      <c r="D12" s="39"/>
      <c r="E12" s="8">
        <f>-SUM(E9:E11)*'Fane 10. Nøgletal'!C19</f>
        <v>-69301.046381238193</v>
      </c>
      <c r="F12" s="39" t="s">
        <v>3</v>
      </c>
      <c r="G12" s="1"/>
    </row>
    <row r="13" spans="1:7" ht="15" customHeight="1" x14ac:dyDescent="0.25">
      <c r="A13" s="1"/>
      <c r="B13" s="41" t="s">
        <v>20</v>
      </c>
      <c r="C13" s="41"/>
      <c r="D13" s="41"/>
      <c r="E13" s="9">
        <f>SUM(E9:E12)</f>
        <v>4007231.0936915963</v>
      </c>
      <c r="F13" s="43" t="s">
        <v>3</v>
      </c>
      <c r="G13" s="1"/>
    </row>
    <row r="14" spans="1:7" x14ac:dyDescent="0.2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25">
      <c r="A15" s="1"/>
      <c r="B15" s="43" t="s">
        <v>12</v>
      </c>
      <c r="C15" s="43"/>
      <c r="D15" s="43"/>
      <c r="E15" s="9">
        <f>'Fane 4. Ikke-påvirkelige omk.'!C13*(1+'Fane 10. Nøgletal'!C14)</f>
        <v>1469815.6629124726</v>
      </c>
      <c r="F15" s="43" t="s">
        <v>3</v>
      </c>
      <c r="G15" s="1"/>
    </row>
    <row r="16" spans="1:7" ht="15" customHeight="1" x14ac:dyDescent="0.2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2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53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25">
      <c r="A20" s="1"/>
      <c r="B20" s="42" t="s">
        <v>85</v>
      </c>
      <c r="C20" s="42"/>
      <c r="D20" s="42"/>
      <c r="E20" s="42"/>
      <c r="F20" s="42"/>
      <c r="G20" s="1"/>
    </row>
    <row r="21" spans="1:7" x14ac:dyDescent="0.25">
      <c r="A21" s="1"/>
      <c r="B21" s="43" t="s">
        <v>86</v>
      </c>
      <c r="C21" s="43"/>
      <c r="D21" s="43"/>
      <c r="E21" s="9">
        <f>'Fane 5. Kontrol af ØR2020'!E35</f>
        <v>0</v>
      </c>
      <c r="F21" s="43" t="s">
        <v>3</v>
      </c>
      <c r="G21" s="1"/>
    </row>
    <row r="22" spans="1:7" x14ac:dyDescent="0.25">
      <c r="A22" s="1"/>
      <c r="B22" s="42" t="s">
        <v>47</v>
      </c>
      <c r="C22" s="42"/>
      <c r="D22" s="42"/>
      <c r="E22" s="10">
        <f>SUM(E13,E15,E19,E21)</f>
        <v>5477046.7566040689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algorithmName="SHA-512" hashValue="c/Lzj3R5ntY/hvpo+vrnkGsYfv1OmcorKOVme+23LwhWHAxnuTNDg7zfeE46LMVpfUhBY+9Pr50IzkJ6f1Ck1Q==" saltValue="3JfBH1GvZv3G+GiH4xBf3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67</v>
      </c>
      <c r="C8" s="39"/>
      <c r="D8" s="39"/>
      <c r="E8" s="7">
        <f>'Fane 2.2. Økonomisk ramme 2023'!E13</f>
        <v>4007231.0936915963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13223.862609182268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-68347.734257113247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3952107.2220436656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Nøgletal'!C14)^2</f>
        <v>1474666.054600084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68</v>
      </c>
      <c r="C21" s="42"/>
      <c r="D21" s="42"/>
      <c r="E21" s="10">
        <f>SUM(E12,E14,E18,E20)</f>
        <v>5426773.2766437493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pvengUsEhd+GgjfFPmDKdHyPVsbBsnoeO/x5J1AlTxLmmG5IgZ5v9zZpupmmZyZN9aHykFUvZwNsFQc7yfw8vA==" saltValue="571aV9loDoNopTQhU5net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103</v>
      </c>
      <c r="C8" s="39"/>
      <c r="D8" s="39"/>
      <c r="E8" s="7">
        <f>'Fane 2.3. Økonomisk ramme 2024'!E12</f>
        <v>3952107.2220436656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13041.953832744097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-67407.53598989897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3897741.6398865106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Nøgletal'!C14)^3</f>
        <v>1479532.4525802643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104</v>
      </c>
      <c r="C21" s="42"/>
      <c r="D21" s="42"/>
      <c r="E21" s="10">
        <f>SUM(E12,E14,E18,E20)</f>
        <v>5377274.0924667753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HUaE8Nw5htoMOeFnBOBxSNRKQrADMbElfsrbYQXVykj0v7uUwaRbAc8am2dHzWnDG4dZZGVoSeSYsX3dJU8uFg==" saltValue="ymLKM23Yg6l2NRBveykb2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126</v>
      </c>
      <c r="C8" s="42"/>
      <c r="D8" s="42"/>
      <c r="E8" s="42"/>
      <c r="F8" s="42"/>
      <c r="G8" s="1"/>
    </row>
    <row r="9" spans="1:7" x14ac:dyDescent="0.25">
      <c r="A9" s="1"/>
      <c r="B9" s="76" t="s">
        <v>23</v>
      </c>
      <c r="C9" s="76"/>
      <c r="D9" s="76"/>
      <c r="E9" s="7">
        <v>3957287.3583333832</v>
      </c>
      <c r="F9" s="39" t="s">
        <v>3</v>
      </c>
      <c r="G9" s="1"/>
    </row>
    <row r="10" spans="1:7" x14ac:dyDescent="0.25">
      <c r="A10" s="1"/>
      <c r="B10" s="77" t="s">
        <v>128</v>
      </c>
      <c r="C10" s="77"/>
      <c r="D10" s="77"/>
      <c r="E10" s="7">
        <v>142610.61325627344</v>
      </c>
      <c r="F10" s="39" t="s">
        <v>3</v>
      </c>
      <c r="G10" s="1"/>
    </row>
    <row r="11" spans="1:7" x14ac:dyDescent="0.25">
      <c r="A11" s="1"/>
      <c r="B11" s="77" t="s">
        <v>60</v>
      </c>
      <c r="C11" s="77"/>
      <c r="D11" s="77"/>
      <c r="E11" s="7">
        <v>4224.9228000000003</v>
      </c>
      <c r="F11" s="39" t="s">
        <v>3</v>
      </c>
      <c r="G11" s="1"/>
    </row>
    <row r="12" spans="1:7" x14ac:dyDescent="0.25">
      <c r="A12" s="1"/>
      <c r="B12" s="77" t="s">
        <v>65</v>
      </c>
      <c r="C12" s="77"/>
      <c r="D12" s="77"/>
      <c r="E12" s="7">
        <v>0</v>
      </c>
      <c r="F12" s="39" t="s">
        <v>3</v>
      </c>
      <c r="G12" s="1"/>
    </row>
    <row r="13" spans="1:7" x14ac:dyDescent="0.25">
      <c r="A13" s="1"/>
      <c r="B13" s="77" t="s">
        <v>61</v>
      </c>
      <c r="C13" s="77"/>
      <c r="D13" s="77"/>
      <c r="E13" s="8">
        <v>0</v>
      </c>
      <c r="F13" s="39" t="s">
        <v>3</v>
      </c>
      <c r="G13" s="1"/>
    </row>
    <row r="14" spans="1:7" x14ac:dyDescent="0.25">
      <c r="A14" s="1"/>
      <c r="B14" s="77" t="s">
        <v>18</v>
      </c>
      <c r="C14" s="77"/>
      <c r="D14" s="77"/>
      <c r="E14" s="8">
        <f>SUM(E9:E13)*'Fane 10. Nøgletal'!C13</f>
        <v>50070.299311553812</v>
      </c>
      <c r="F14" s="39" t="s">
        <v>3</v>
      </c>
      <c r="G14" s="1"/>
    </row>
    <row r="15" spans="1:7" x14ac:dyDescent="0.25">
      <c r="A15" s="1"/>
      <c r="B15" s="77" t="s">
        <v>54</v>
      </c>
      <c r="C15" s="77"/>
      <c r="D15" s="77"/>
      <c r="E15" s="8">
        <f>-SUM(E9:E14)*'Fane 10. Nøgletal'!C19</f>
        <v>-70621.28429292058</v>
      </c>
      <c r="F15" s="39" t="s">
        <v>3</v>
      </c>
      <c r="G15" s="1"/>
    </row>
    <row r="16" spans="1:7" x14ac:dyDescent="0.25">
      <c r="A16" s="1"/>
      <c r="B16" s="79" t="s">
        <v>20</v>
      </c>
      <c r="C16" s="79"/>
      <c r="D16" s="79"/>
      <c r="E16" s="9">
        <f>SUM(E9:E15)</f>
        <v>4083571.9094082895</v>
      </c>
      <c r="F16" s="43" t="s">
        <v>3</v>
      </c>
      <c r="G16" s="1"/>
    </row>
    <row r="17" spans="1:7" x14ac:dyDescent="0.25">
      <c r="A17" s="1"/>
      <c r="B17" s="80" t="s">
        <v>12</v>
      </c>
      <c r="C17" s="80"/>
      <c r="D17" s="80"/>
      <c r="E17" s="42"/>
      <c r="F17" s="42"/>
      <c r="G17" s="1"/>
    </row>
    <row r="18" spans="1:7" x14ac:dyDescent="0.25">
      <c r="A18" s="1"/>
      <c r="B18" s="81" t="s">
        <v>12</v>
      </c>
      <c r="C18" s="81"/>
      <c r="D18" s="81"/>
      <c r="E18" s="9">
        <v>1426759.0517653201</v>
      </c>
      <c r="F18" s="43" t="s">
        <v>3</v>
      </c>
      <c r="G18" s="1"/>
    </row>
    <row r="19" spans="1:7" ht="15.4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25">
      <c r="A20" s="1"/>
      <c r="B20" s="82" t="s">
        <v>39</v>
      </c>
      <c r="C20" s="83"/>
      <c r="D20" s="84"/>
      <c r="E20" s="37">
        <v>0</v>
      </c>
      <c r="F20" s="32" t="s">
        <v>3</v>
      </c>
      <c r="G20" s="1"/>
    </row>
    <row r="21" spans="1:7" x14ac:dyDescent="0.25">
      <c r="A21" s="1"/>
      <c r="B21" s="82" t="s">
        <v>40</v>
      </c>
      <c r="C21" s="83"/>
      <c r="D21" s="84"/>
      <c r="E21" s="37">
        <v>0</v>
      </c>
      <c r="F21" s="32" t="s">
        <v>3</v>
      </c>
      <c r="G21" s="1"/>
    </row>
    <row r="22" spans="1:7" x14ac:dyDescent="0.2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3" t="s">
        <v>31</v>
      </c>
      <c r="C24" s="41"/>
      <c r="D24" s="41"/>
      <c r="E24" s="9">
        <v>3806.5335755559208</v>
      </c>
      <c r="F24" s="43" t="s">
        <v>3</v>
      </c>
      <c r="G24" s="1"/>
    </row>
    <row r="25" spans="1:7" x14ac:dyDescent="0.25">
      <c r="A25" s="1"/>
      <c r="B25" s="53" t="s">
        <v>86</v>
      </c>
      <c r="C25" s="41"/>
      <c r="D25" s="41"/>
      <c r="E25" s="9">
        <v>0</v>
      </c>
      <c r="F25" s="43" t="s">
        <v>3</v>
      </c>
      <c r="G25" s="1"/>
    </row>
    <row r="26" spans="1:7" ht="15" customHeight="1" x14ac:dyDescent="0.25">
      <c r="A26" s="1"/>
      <c r="B26" s="42" t="s">
        <v>25</v>
      </c>
      <c r="C26" s="42"/>
      <c r="D26" s="42"/>
      <c r="E26" s="10">
        <f>E16+E18+E22+E24+E25</f>
        <v>5514137.4947491661</v>
      </c>
      <c r="F26" s="11" t="s">
        <v>3</v>
      </c>
      <c r="G26" s="1"/>
    </row>
    <row r="27" spans="1:7" ht="27" customHeight="1" x14ac:dyDescent="0.25">
      <c r="A27" s="1"/>
      <c r="B27" s="78" t="s">
        <v>120</v>
      </c>
      <c r="C27" s="78"/>
      <c r="D27" s="78"/>
      <c r="E27" s="78"/>
      <c r="F27" s="78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p/b7+lf3dv4diJpMtz8giMtqC3yxmGykPb0LfEvBuLk1Y5k83Px9dKIOfgOYbz7d2pwbXSdyYmsYDjGszPyjKA==" saltValue="Mabogj7G3BdCckIOtGltv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53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107</v>
      </c>
      <c r="C8" s="89"/>
      <c r="D8" s="90"/>
      <c r="E8" s="1"/>
      <c r="F8" s="1"/>
    </row>
    <row r="9" spans="1:6" ht="15" customHeight="1" x14ac:dyDescent="0.25">
      <c r="A9" s="1"/>
      <c r="B9" s="17" t="s">
        <v>29</v>
      </c>
      <c r="C9" s="43" t="s">
        <v>106</v>
      </c>
      <c r="D9" s="43"/>
      <c r="E9" s="1"/>
      <c r="F9" s="1"/>
    </row>
    <row r="10" spans="1:6" x14ac:dyDescent="0.25">
      <c r="A10" s="1"/>
      <c r="B10" s="28" t="s">
        <v>131</v>
      </c>
      <c r="C10" s="8">
        <v>1450659</v>
      </c>
      <c r="D10" s="12" t="s">
        <v>3</v>
      </c>
      <c r="E10" s="1"/>
      <c r="F10" s="1"/>
    </row>
    <row r="11" spans="1:6" x14ac:dyDescent="0.25">
      <c r="A11" s="1"/>
      <c r="B11" s="28" t="s">
        <v>132</v>
      </c>
      <c r="C11" s="8">
        <v>4701</v>
      </c>
      <c r="D11" s="12" t="s">
        <v>3</v>
      </c>
      <c r="E11" s="1"/>
      <c r="F11" s="1"/>
    </row>
    <row r="12" spans="1:6" x14ac:dyDescent="0.25">
      <c r="A12" s="1"/>
      <c r="B12" s="56" t="s">
        <v>108</v>
      </c>
      <c r="C12" s="10">
        <f>SUM(C10:C11)</f>
        <v>1455360</v>
      </c>
      <c r="D12" s="11" t="s">
        <v>3</v>
      </c>
      <c r="E12" s="1"/>
      <c r="F12" s="1"/>
    </row>
    <row r="13" spans="1:6" x14ac:dyDescent="0.25">
      <c r="A13" s="1"/>
      <c r="B13" s="56" t="s">
        <v>109</v>
      </c>
      <c r="C13" s="10">
        <f>C12*(1+'Fane 10. Nøgletal'!C14)^2</f>
        <v>1464981.2248704003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rfJkHXm9lK0CDv/9kyjAPhXMfRdgJTwna+Npz27Nt2lbiWF6yG+DSZDa4+mg4KV+uNxC20c+z1luuw9nMfADtg==" saltValue="112x2jaM9frN1BqRKdILZ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5" t="s">
        <v>150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38"/>
      <c r="C6" s="38"/>
      <c r="D6" s="38"/>
      <c r="E6" s="38"/>
      <c r="F6" s="3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134</v>
      </c>
      <c r="C8" s="89"/>
      <c r="D8" s="89"/>
      <c r="E8" s="89"/>
      <c r="F8" s="90"/>
      <c r="G8" s="1"/>
    </row>
    <row r="9" spans="1:7" x14ac:dyDescent="0.25">
      <c r="A9" s="1"/>
      <c r="B9" s="91" t="s">
        <v>135</v>
      </c>
      <c r="C9" s="92"/>
      <c r="D9" s="93"/>
      <c r="E9" s="8">
        <v>348352.38625486568</v>
      </c>
      <c r="F9" s="12" t="s">
        <v>3</v>
      </c>
      <c r="G9" s="1"/>
    </row>
    <row r="10" spans="1:7" x14ac:dyDescent="0.25">
      <c r="A10" s="1"/>
      <c r="B10" s="91" t="s">
        <v>136</v>
      </c>
      <c r="C10" s="92"/>
      <c r="D10" s="93"/>
      <c r="E10" s="8">
        <v>-245841.76616426185</v>
      </c>
      <c r="F10" s="12" t="s">
        <v>3</v>
      </c>
      <c r="G10" s="1"/>
    </row>
    <row r="11" spans="1:7" x14ac:dyDescent="0.25">
      <c r="A11" s="1"/>
      <c r="B11" s="91" t="s">
        <v>137</v>
      </c>
      <c r="C11" s="92"/>
      <c r="D11" s="93"/>
      <c r="E11" s="8">
        <v>12065.848094245419</v>
      </c>
      <c r="F11" s="12" t="s">
        <v>3</v>
      </c>
      <c r="G11" s="1"/>
    </row>
    <row r="12" spans="1:7" x14ac:dyDescent="0.25">
      <c r="A12" s="1"/>
      <c r="B12" s="56"/>
      <c r="C12" s="22"/>
      <c r="D12" s="22"/>
      <c r="E12" s="22"/>
      <c r="F12" s="57"/>
      <c r="G12" s="1"/>
    </row>
    <row r="13" spans="1:7" ht="51.75" customHeight="1" x14ac:dyDescent="0.25">
      <c r="A13" s="1"/>
      <c r="B13" s="94" t="s">
        <v>138</v>
      </c>
      <c r="C13" s="95"/>
      <c r="D13" s="95"/>
      <c r="E13" s="95"/>
      <c r="F13" s="96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139</v>
      </c>
      <c r="C15" s="89"/>
      <c r="D15" s="89"/>
      <c r="E15" s="89"/>
      <c r="F15" s="90"/>
      <c r="G15" s="1"/>
    </row>
    <row r="16" spans="1:7" x14ac:dyDescent="0.25">
      <c r="A16" s="1"/>
      <c r="B16" s="91" t="s">
        <v>140</v>
      </c>
      <c r="C16" s="92"/>
      <c r="D16" s="93"/>
      <c r="E16" s="8">
        <v>0</v>
      </c>
      <c r="F16" s="12" t="s">
        <v>3</v>
      </c>
      <c r="G16" s="1"/>
    </row>
    <row r="17" spans="1:7" x14ac:dyDescent="0.25">
      <c r="A17" s="1"/>
      <c r="B17" s="91" t="s">
        <v>141</v>
      </c>
      <c r="C17" s="92"/>
      <c r="D17" s="93"/>
      <c r="E17" s="8">
        <v>0</v>
      </c>
      <c r="F17" s="12" t="s">
        <v>3</v>
      </c>
      <c r="G17" s="1"/>
    </row>
    <row r="18" spans="1:7" x14ac:dyDescent="0.25">
      <c r="A18" s="1"/>
      <c r="B18" s="56"/>
      <c r="C18" s="22"/>
      <c r="D18" s="22"/>
      <c r="E18" s="22"/>
      <c r="F18" s="57"/>
      <c r="G18" s="1"/>
    </row>
    <row r="19" spans="1:7" ht="29.25" customHeight="1" x14ac:dyDescent="0.25">
      <c r="A19" s="1"/>
      <c r="B19" s="94" t="s">
        <v>142</v>
      </c>
      <c r="C19" s="95"/>
      <c r="D19" s="95"/>
      <c r="E19" s="95"/>
      <c r="F19" s="96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7" t="s">
        <v>122</v>
      </c>
      <c r="C21" s="48"/>
      <c r="D21" s="48"/>
      <c r="E21" s="48"/>
      <c r="F21" s="49"/>
      <c r="G21" s="1"/>
    </row>
    <row r="22" spans="1:7" x14ac:dyDescent="0.25">
      <c r="A22" s="1"/>
      <c r="B22" s="50" t="s">
        <v>123</v>
      </c>
      <c r="C22" s="51"/>
      <c r="D22" s="52"/>
      <c r="E22" s="8">
        <v>5159187.382926017</v>
      </c>
      <c r="F22" s="12" t="s">
        <v>3</v>
      </c>
      <c r="G22" s="1"/>
    </row>
    <row r="23" spans="1:7" x14ac:dyDescent="0.25">
      <c r="A23" s="1"/>
      <c r="B23" s="50" t="s">
        <v>124</v>
      </c>
      <c r="C23" s="51"/>
      <c r="D23" s="52"/>
      <c r="E23" s="8">
        <v>5145640</v>
      </c>
      <c r="F23" s="12" t="s">
        <v>3</v>
      </c>
      <c r="G23" s="1"/>
    </row>
    <row r="24" spans="1:7" x14ac:dyDescent="0.25">
      <c r="A24" s="1"/>
      <c r="B24" s="50" t="s">
        <v>30</v>
      </c>
      <c r="C24" s="51"/>
      <c r="D24" s="52"/>
      <c r="E24" s="8">
        <v>0</v>
      </c>
      <c r="F24" s="12" t="s">
        <v>3</v>
      </c>
      <c r="G24" s="1"/>
    </row>
    <row r="25" spans="1:7" x14ac:dyDescent="0.25">
      <c r="A25" s="1"/>
      <c r="B25" s="44" t="s">
        <v>125</v>
      </c>
      <c r="C25" s="45"/>
      <c r="D25" s="46"/>
      <c r="E25" s="34">
        <f>E22-(E23-E24)</f>
        <v>13547.382926017046</v>
      </c>
      <c r="F25" s="15" t="s">
        <v>3</v>
      </c>
      <c r="G25" s="1"/>
    </row>
    <row r="26" spans="1:7" x14ac:dyDescent="0.25">
      <c r="A26" s="1"/>
      <c r="B26" s="56"/>
      <c r="C26" s="22"/>
      <c r="D26" s="22"/>
      <c r="E26" s="22"/>
      <c r="F26" s="57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8" t="s">
        <v>143</v>
      </c>
      <c r="C28" s="89"/>
      <c r="D28" s="89"/>
      <c r="E28" s="89"/>
      <c r="F28" s="90"/>
      <c r="G28" s="1"/>
    </row>
    <row r="29" spans="1:7" x14ac:dyDescent="0.25">
      <c r="A29" s="1"/>
      <c r="B29" s="85" t="s">
        <v>144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88"/>
      <c r="C30" s="89"/>
      <c r="D30" s="89"/>
      <c r="E30" s="89"/>
      <c r="F30" s="9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145</v>
      </c>
      <c r="C32" s="89"/>
      <c r="D32" s="89"/>
      <c r="E32" s="89"/>
      <c r="F32" s="90"/>
      <c r="G32" s="1"/>
    </row>
    <row r="33" spans="1:7" x14ac:dyDescent="0.2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25">
      <c r="A35" s="1"/>
      <c r="B35" s="100" t="s">
        <v>146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25">
      <c r="A36" s="1"/>
      <c r="B36" s="97"/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2XR7uhrwEuyXFEFyW4oEaGj4dAfY8qSZOC/t877h94VfJIyBoCLnv/flljvNtWz5PyjRlWd/3mns6dYDSjOkBA==" saltValue="5mqLrjZZLPXuClZOUTmB3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25">
      <c r="A10" s="1"/>
      <c r="B10" s="35" t="s">
        <v>149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cGx72Fdn22PE6MvM4RyWhzAyVz2iy3A1L2IqOi/MgV+AR1XKMst4rDac8B3UtxhH26RTvoazpT3GJjOiMGrrw==" saltValue="brRCUgSV3bxXwBNpNcgFD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2021-09-08T11:47:34Z</dcterms:modified>
</cp:coreProperties>
</file>