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Hvidovre AS (V09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2" i="11" l="1"/>
  <c r="C15" i="19" l="1"/>
  <c r="E31" i="32" l="1"/>
  <c r="E16" i="27" l="1"/>
  <c r="E11" i="11" l="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2" i="11"/>
  <c r="C10" i="37" s="1"/>
  <c r="C11" i="37" s="1"/>
  <c r="G12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<sst xmlns="http://schemas.openxmlformats.org/spreadsheetml/2006/main" count="592" uniqueCount="249">
  <si>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</si>
  <si>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</si>
  <si>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</si>
  <si>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</si>
  <si>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</si>
  <si>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</si>
  <si>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</si>
  <si>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</si>
  <si>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</si>
  <si>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</si>
  <si>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</si>
  <si>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</si>
  <si>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</si>
  <si>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</si>
  <si>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</si>
  <si>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</si>
  <si>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</si>
  <si>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</si>
  <si>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</si>
  <si>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</si>
  <si>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</si>
  <si>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</si>
  <si>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</si>
  <si>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</si>
  <si>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</si>
  <si>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</si>
  <si>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</si>
  <si>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</si>
  <si>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</si>
  <si>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</si>
  <si>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</si>
  <si>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</si>
  <si>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</si>
  <si>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</si>
  <si>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</si>
  <si>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</si>
  <si>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</si>
  <si>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</si>
  <si>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</si>
  <si>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</si>
  <si>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</si>
  <si>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</si>
  <si>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</si>
  <si>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</si>
  <si>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</si>
  <si>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</si>
  <si>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</si>
  <si>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</si>
  <si>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</si>
  <si>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</si>
  <si>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</si>
  <si>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</si>
  <si>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</si>
  <si>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</si>
  <si>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</si>
  <si>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</si>
  <si>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</si>
  <si>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</si>
  <si>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</si>
  <si>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</si>
  <si>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</si>
  <si>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</si>
  <si>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</si>
  <si>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</si>
  <si>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</si>
  <si>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</si>
  <si>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</si>
  <si>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</si>
  <si>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</si>
  <si>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</si>
  <si>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</si>
  <si>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</si>
  <si>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</si>
  <si>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</si>
  <si>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</si>
  <si>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</si>
  <si>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</si>
  <si>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</si>
  <si>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</si>
  <si>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</si>
  <si>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</si>
  <si>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</si>
  <si>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</si>
  <si>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</si>
  <si>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</si>
  <si>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</si>
  <si>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</si>
  <si>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</si>
  <si>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</si>
  <si>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</si>
  <si>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</si>
  <si>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</si>
  <si>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</si>
  <si>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</si>
  <si>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</si>
  <si>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</si>
  <si>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</si>
  <si>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</si>
  <si>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</si>
  <si>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</si>
  <si>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</si>
  <si>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</si>
  <si>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</si>
  <si>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</si>
  <si>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</si>
  <si>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</si>
  <si>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</si>
  <si>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</si>
  <si>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</si>
  <si>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</si>
  <si>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</si>
  <si>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</si>
  <si>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</si>
  <si>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</si>
  <si>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</si>
  <si>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</si>
  <si>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</si>
  <si>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</si>
  <si>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</si>
  <si>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</si>
  <si>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</si>
  <si>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</si>
  <si>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</si>
  <si>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</si>
  <si>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</si>
  <si>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</si>
  <si>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</si>
  <si>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</si>
  <si>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</si>
  <si>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</si>
  <si>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</si>
  <si>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</si>
  <si>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</si>
  <si>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</si>
  <si>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</si>
  <si>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</si>
  <si>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</si>
  <si>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</si>
  <si>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</si>
  <si>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</si>
  <si>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</si>
  <si>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</si>
  <si>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</si>
  <si>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</si>
  <si>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</si>
  <si>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</si>
  <si>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</si>
  <si>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</si>
  <si>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</si>
  <si>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</si>
  <si>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</si>
  <si>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</si>
  <si>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</si>
  <si>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</si>
  <si>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</si>
  <si>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</si>
  <si>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</si>
  <si>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</si>
  <si>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</si>
  <si>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</si>
  <si>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</si>
  <si>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</si>
  <si>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</si>
  <si>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</si>
  <si>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</si>
  <si>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</si>
  <si>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</si>
  <si>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</si>
  <si>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</si>
  <si>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</si>
  <si>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</si>
  <si>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</si>
  <si>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</si>
  <si>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</si>
  <si>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</si>
  <si>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</si>
  <si>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</si>
  <si>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</si>
  <si>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</si>
  <si>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</si>
  <si>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</si>
  <si>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</si>
  <si>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</si>
  <si>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</si>
  <si>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</si>
  <si>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</si>
  <si>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</si>
  <si>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</si>
  <si>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</si>
  <si>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</si>
  <si>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</si>
  <si>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</si>
  <si>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</si>
  <si>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</si>
  <si>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</si>
  <si>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</si>
  <si>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</si>
  <si>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</si>
  <si>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</si>
  <si>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</si>
  <si>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</si>
  <si>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</si>
  <si>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</si>
  <si>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</si>
  <si>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</si>
  <si>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</si>
  <si>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</si>
  <si>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</si>
  <si>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</si>
  <si>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</si>
  <si>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</si>
  <si>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</si>
  <si>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</si>
  <si>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</si>
  <si>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</si>
  <si>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</si>
  <si>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</si>
  <si>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</si>
  <si>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</si>
  <si>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</si>
  <si>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</si>
  <si>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</si>
  <si>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</si>
  <si>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</si>
  <si>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</si>
  <si>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</si>
  <si>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</si>
  <si>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</si>
  <si>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</si>
  <si>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</si>
  <si>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</si>
  <si>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</si>
  <si>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</si>
  <si>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</si>
  <si>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</si>
  <si>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</si>
  <si>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</si>
  <si>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</si>
  <si>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</si>
  <si>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</si>
  <si>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</si>
  <si>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Ingen engangstillæg</t>
  </si>
  <si>
    <t>Økonomisk ramme for 2024</t>
  </si>
  <si>
    <t>SRO anlæg</t>
  </si>
  <si>
    <t>10</t>
  </si>
  <si>
    <t>Software</t>
  </si>
  <si>
    <t>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</si>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</sst>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6" t="s">
        <v>4</v>
      </c>
      <c r="E6" s="56"/>
      <c r="F6" s="56"/>
      <c r="G6" s="56"/>
      <c r="H6" s="3"/>
      <c r="I6" s="1"/>
    </row>
    <row r="7" spans="1:9" ht="15" customHeight="1" x14ac:dyDescent="0.25">
      <c r="A7" s="1"/>
      <c r="B7" s="1"/>
      <c r="C7" s="3"/>
      <c r="D7" s="56"/>
      <c r="E7" s="56"/>
      <c r="F7" s="56"/>
      <c r="G7" s="56"/>
      <c r="H7" s="3"/>
      <c r="I7" s="1"/>
    </row>
    <row r="8" spans="1:9" ht="15.75" x14ac:dyDescent="0.25">
      <c r="A8" s="1"/>
      <c r="B8" s="1"/>
      <c r="C8" s="4"/>
      <c r="D8" s="61" t="s">
        <v>206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3" t="s">
        <v>151</v>
      </c>
      <c r="E13" s="54"/>
      <c r="F13" s="54"/>
      <c r="G13" s="55"/>
      <c r="H13" s="1"/>
      <c r="I13" s="1"/>
    </row>
    <row r="14" spans="1:9" x14ac:dyDescent="0.25">
      <c r="A14" s="1"/>
      <c r="B14" s="1"/>
      <c r="C14" s="6" t="s">
        <v>15</v>
      </c>
      <c r="D14" s="53" t="s">
        <v>207</v>
      </c>
      <c r="E14" s="54"/>
      <c r="F14" s="54"/>
      <c r="G14" s="55"/>
      <c r="H14" s="1"/>
      <c r="I14" s="1"/>
    </row>
    <row r="15" spans="1:9" x14ac:dyDescent="0.25">
      <c r="A15" s="1"/>
      <c r="B15" s="1"/>
      <c r="C15" s="6" t="s">
        <v>40</v>
      </c>
      <c r="D15" s="53" t="s">
        <v>93</v>
      </c>
      <c r="E15" s="54"/>
      <c r="F15" s="54"/>
      <c r="G15" s="55"/>
      <c r="H15" s="1"/>
      <c r="I15" s="1"/>
    </row>
    <row r="16" spans="1:9" x14ac:dyDescent="0.25">
      <c r="A16" s="1"/>
      <c r="B16" s="1"/>
      <c r="C16" s="6" t="s">
        <v>41</v>
      </c>
      <c r="D16" s="53" t="s">
        <v>152</v>
      </c>
      <c r="E16" s="54"/>
      <c r="F16" s="54"/>
      <c r="G16" s="55"/>
      <c r="H16" s="1"/>
      <c r="I16" s="1"/>
    </row>
    <row r="17" spans="1:9" x14ac:dyDescent="0.25">
      <c r="A17" s="1"/>
      <c r="B17" s="1"/>
      <c r="C17" s="6" t="s">
        <v>150</v>
      </c>
      <c r="D17" s="53" t="s">
        <v>153</v>
      </c>
      <c r="E17" s="54"/>
      <c r="F17" s="54"/>
      <c r="G17" s="55"/>
      <c r="H17" s="1"/>
      <c r="I17" s="1"/>
    </row>
    <row r="18" spans="1:9" x14ac:dyDescent="0.25">
      <c r="A18" s="1"/>
      <c r="B18" s="1"/>
      <c r="C18" s="33" t="s">
        <v>134</v>
      </c>
      <c r="D18" s="62" t="s">
        <v>114</v>
      </c>
      <c r="E18" s="63"/>
      <c r="F18" s="63"/>
      <c r="G18" s="64"/>
      <c r="H18" s="1"/>
      <c r="I18" s="1"/>
    </row>
    <row r="19" spans="1:9" x14ac:dyDescent="0.25">
      <c r="A19" s="1"/>
      <c r="B19" s="1"/>
      <c r="C19" s="33" t="s">
        <v>135</v>
      </c>
      <c r="D19" s="62" t="s">
        <v>115</v>
      </c>
      <c r="E19" s="63"/>
      <c r="F19" s="63"/>
      <c r="G19" s="64"/>
      <c r="H19" s="1"/>
      <c r="I19" s="1"/>
    </row>
    <row r="20" spans="1:9" x14ac:dyDescent="0.25">
      <c r="A20" s="1"/>
      <c r="B20" s="1"/>
      <c r="C20" s="33" t="s">
        <v>7</v>
      </c>
      <c r="D20" s="62" t="s">
        <v>9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136</v>
      </c>
      <c r="D21" s="68" t="s">
        <v>12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97</v>
      </c>
      <c r="D22" s="57" t="s">
        <v>154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42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217</v>
      </c>
      <c r="D24" s="57" t="s">
        <v>98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218</v>
      </c>
      <c r="D25" s="57" t="s">
        <v>99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219</v>
      </c>
      <c r="D26" s="57" t="s">
        <v>155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137</v>
      </c>
      <c r="D27" s="57" t="s">
        <v>43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128</v>
      </c>
      <c r="D28" s="65" t="s">
        <v>129</v>
      </c>
      <c r="E28" s="66"/>
      <c r="F28" s="66"/>
      <c r="G28" s="6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140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168</v>
      </c>
      <c r="C8" s="95"/>
      <c r="D8" s="96"/>
      <c r="E8" s="1"/>
      <c r="F8" s="1"/>
    </row>
    <row r="9" spans="1:6" ht="15" customHeight="1" x14ac:dyDescent="0.25">
      <c r="A9" s="1"/>
      <c r="B9" s="45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8" t="s">
        <v>234</v>
      </c>
      <c r="C10" s="9">
        <v>19802954</v>
      </c>
      <c r="D10" s="14" t="s">
        <v>3</v>
      </c>
      <c r="E10" s="1"/>
      <c r="F10" s="1"/>
    </row>
    <row r="11" spans="1:6" ht="15" customHeight="1" x14ac:dyDescent="0.25">
      <c r="A11" s="1"/>
      <c r="B11" s="48" t="s">
        <v>235</v>
      </c>
      <c r="C11" s="9">
        <v>159859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12438892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147238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425739</v>
      </c>
      <c r="D14" s="14" t="s">
        <v>3</v>
      </c>
      <c r="E14" s="1"/>
      <c r="F14" s="1"/>
    </row>
    <row r="15" spans="1:6" x14ac:dyDescent="0.25">
      <c r="A15" s="1"/>
      <c r="B15" s="40" t="s">
        <v>169</v>
      </c>
      <c r="C15" s="12">
        <f>SUM(C10:C14)</f>
        <v>32974682</v>
      </c>
      <c r="D15" s="13" t="s">
        <v>3</v>
      </c>
      <c r="E15" s="1"/>
      <c r="F15" s="1"/>
    </row>
    <row r="16" spans="1:6" x14ac:dyDescent="0.25">
      <c r="A16" s="1"/>
      <c r="B16" s="40" t="s">
        <v>170</v>
      </c>
      <c r="C16" s="12">
        <f>C15*(1+'Fane 12. Nøgletal'!C13)^2</f>
        <v>33784172.192468882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90" t="s">
        <v>172</v>
      </c>
      <c r="C2" s="90"/>
      <c r="D2" s="90"/>
      <c r="E2" s="90"/>
      <c r="F2" s="90"/>
      <c r="G2" s="1"/>
    </row>
    <row r="3" spans="1:7" ht="15" customHeight="1" x14ac:dyDescent="0.25">
      <c r="A3" s="1"/>
      <c r="B3" s="90"/>
      <c r="C3" s="90"/>
      <c r="D3" s="90"/>
      <c r="E3" s="90"/>
      <c r="F3" s="90"/>
      <c r="G3" s="1"/>
    </row>
    <row r="4" spans="1:7" ht="15" customHeight="1" x14ac:dyDescent="0.25">
      <c r="A4" s="1"/>
      <c r="B4" s="94" t="s">
        <v>39</v>
      </c>
      <c r="C4" s="95"/>
      <c r="D4" s="95"/>
      <c r="E4" s="95"/>
      <c r="F4" s="96"/>
      <c r="G4" s="1"/>
    </row>
    <row r="5" spans="1:7" ht="15" customHeight="1" x14ac:dyDescent="0.25">
      <c r="A5" s="1"/>
      <c r="B5" s="97" t="s">
        <v>37</v>
      </c>
      <c r="C5" s="98"/>
      <c r="D5" s="99"/>
      <c r="E5" s="9">
        <v>4374695.9421333335</v>
      </c>
      <c r="F5" s="14" t="s">
        <v>3</v>
      </c>
      <c r="G5" s="1"/>
    </row>
    <row r="6" spans="1:7" ht="15" customHeight="1" x14ac:dyDescent="0.25">
      <c r="A6" s="1"/>
      <c r="B6" s="97" t="s">
        <v>38</v>
      </c>
      <c r="C6" s="98"/>
      <c r="D6" s="99"/>
      <c r="E6" s="9">
        <v>-4818220.4401611462</v>
      </c>
      <c r="F6" s="14" t="s">
        <v>3</v>
      </c>
      <c r="G6" s="1"/>
    </row>
    <row r="7" spans="1:7" ht="15" customHeight="1" x14ac:dyDescent="0.25">
      <c r="A7" s="1"/>
      <c r="B7" s="105" t="s">
        <v>131</v>
      </c>
      <c r="C7" s="106"/>
      <c r="D7" s="107"/>
      <c r="E7" s="10">
        <f>SUM(E5:E6)</f>
        <v>-443524.49802781269</v>
      </c>
      <c r="F7" s="17" t="s">
        <v>3</v>
      </c>
      <c r="G7" s="1"/>
    </row>
    <row r="8" spans="1:7" ht="15" customHeight="1" x14ac:dyDescent="0.25">
      <c r="A8" s="1"/>
      <c r="B8" s="40"/>
      <c r="C8" s="41"/>
      <c r="D8" s="41"/>
      <c r="E8" s="41"/>
      <c r="F8" s="20"/>
      <c r="G8" s="1"/>
    </row>
    <row r="9" spans="1:7" ht="28.5" customHeight="1" x14ac:dyDescent="0.25">
      <c r="A9" s="1"/>
      <c r="B9" s="73" t="s">
        <v>132</v>
      </c>
      <c r="C9" s="74"/>
      <c r="D9" s="74"/>
      <c r="E9" s="74"/>
      <c r="F9" s="75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4" t="s">
        <v>116</v>
      </c>
      <c r="C11" s="95"/>
      <c r="D11" s="95"/>
      <c r="E11" s="95"/>
      <c r="F11" s="96"/>
      <c r="G11" s="1"/>
    </row>
    <row r="12" spans="1:7" x14ac:dyDescent="0.25">
      <c r="A12" s="1"/>
      <c r="B12" s="97" t="s">
        <v>117</v>
      </c>
      <c r="C12" s="98"/>
      <c r="D12" s="99"/>
      <c r="E12" s="9">
        <v>45033121.404477321</v>
      </c>
      <c r="F12" s="14" t="s">
        <v>3</v>
      </c>
      <c r="G12" s="1"/>
    </row>
    <row r="13" spans="1:7" x14ac:dyDescent="0.25">
      <c r="A13" s="1"/>
      <c r="B13" s="97" t="s">
        <v>118</v>
      </c>
      <c r="C13" s="98"/>
      <c r="D13" s="99"/>
      <c r="E13" s="9">
        <v>45676550</v>
      </c>
      <c r="F13" s="14" t="s">
        <v>3</v>
      </c>
      <c r="G13" s="1"/>
    </row>
    <row r="14" spans="1:7" x14ac:dyDescent="0.25">
      <c r="A14" s="1"/>
      <c r="B14" s="97" t="s">
        <v>36</v>
      </c>
      <c r="C14" s="98"/>
      <c r="D14" s="99"/>
      <c r="E14" s="9">
        <v>0</v>
      </c>
      <c r="F14" s="14" t="s">
        <v>3</v>
      </c>
      <c r="G14" s="1"/>
    </row>
    <row r="15" spans="1:7" x14ac:dyDescent="0.25">
      <c r="A15" s="1"/>
      <c r="B15" s="105" t="s">
        <v>208</v>
      </c>
      <c r="C15" s="106"/>
      <c r="D15" s="107"/>
      <c r="E15" s="10">
        <f>E12-(E13-E14)</f>
        <v>-643428.59552267939</v>
      </c>
      <c r="F15" s="17" t="s">
        <v>3</v>
      </c>
      <c r="G15" s="1"/>
    </row>
    <row r="16" spans="1:7" x14ac:dyDescent="0.25">
      <c r="A16" s="1"/>
      <c r="B16" s="40"/>
      <c r="C16" s="41"/>
      <c r="D16" s="41"/>
      <c r="E16" s="41"/>
      <c r="F16" s="20"/>
      <c r="G16" s="1"/>
    </row>
    <row r="17" spans="1:7" ht="30" customHeight="1" x14ac:dyDescent="0.25">
      <c r="A17" s="1"/>
      <c r="B17" s="73" t="s">
        <v>133</v>
      </c>
      <c r="C17" s="74"/>
      <c r="D17" s="74"/>
      <c r="E17" s="74"/>
      <c r="F17" s="75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4" t="s">
        <v>50</v>
      </c>
      <c r="C19" s="95"/>
      <c r="D19" s="95"/>
      <c r="E19" s="95"/>
      <c r="F19" s="96"/>
      <c r="G19" s="1"/>
    </row>
    <row r="20" spans="1:7" x14ac:dyDescent="0.25">
      <c r="A20" s="1"/>
      <c r="B20" s="97" t="s">
        <v>51</v>
      </c>
      <c r="C20" s="98"/>
      <c r="D20" s="99"/>
      <c r="E20" s="9">
        <v>52305064.870074973</v>
      </c>
      <c r="F20" s="14" t="s">
        <v>3</v>
      </c>
      <c r="G20" s="1"/>
    </row>
    <row r="21" spans="1:7" x14ac:dyDescent="0.25">
      <c r="A21" s="1"/>
      <c r="B21" s="97" t="s">
        <v>52</v>
      </c>
      <c r="C21" s="98"/>
      <c r="D21" s="99"/>
      <c r="E21" s="9">
        <v>52307886</v>
      </c>
      <c r="F21" s="14" t="s">
        <v>3</v>
      </c>
      <c r="G21" s="1"/>
    </row>
    <row r="22" spans="1:7" x14ac:dyDescent="0.25">
      <c r="A22" s="1"/>
      <c r="B22" s="97" t="s">
        <v>36</v>
      </c>
      <c r="C22" s="98"/>
      <c r="D22" s="99"/>
      <c r="E22" s="9">
        <v>0</v>
      </c>
      <c r="F22" s="14" t="s">
        <v>3</v>
      </c>
      <c r="G22" s="1"/>
    </row>
    <row r="23" spans="1:7" x14ac:dyDescent="0.25">
      <c r="A23" s="1"/>
      <c r="B23" s="105" t="s">
        <v>209</v>
      </c>
      <c r="C23" s="106"/>
      <c r="D23" s="107"/>
      <c r="E23" s="10">
        <f>E20-(E21-E22)</f>
        <v>-2821.1299250274897</v>
      </c>
      <c r="F23" s="17" t="s">
        <v>3</v>
      </c>
      <c r="G23" s="1"/>
    </row>
    <row r="24" spans="1:7" x14ac:dyDescent="0.25">
      <c r="A24" s="1"/>
      <c r="B24" s="40"/>
      <c r="C24" s="41"/>
      <c r="D24" s="41"/>
      <c r="E24" s="41"/>
      <c r="F24" s="20"/>
      <c r="G24" s="1"/>
    </row>
    <row r="25" spans="1:7" ht="28.5" customHeight="1" x14ac:dyDescent="0.25">
      <c r="A25" s="1"/>
      <c r="B25" s="73" t="s">
        <v>179</v>
      </c>
      <c r="C25" s="74"/>
      <c r="D25" s="74"/>
      <c r="E25" s="74"/>
      <c r="F25" s="75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4" t="s">
        <v>200</v>
      </c>
      <c r="C27" s="95"/>
      <c r="D27" s="95"/>
      <c r="E27" s="95"/>
      <c r="F27" s="96"/>
      <c r="G27" s="1"/>
    </row>
    <row r="28" spans="1:7" x14ac:dyDescent="0.25">
      <c r="A28" s="1"/>
      <c r="B28" s="97" t="s">
        <v>201</v>
      </c>
      <c r="C28" s="98"/>
      <c r="D28" s="99"/>
      <c r="E28" s="9">
        <v>50714085.806834027</v>
      </c>
      <c r="F28" s="14" t="s">
        <v>3</v>
      </c>
      <c r="G28" s="1"/>
    </row>
    <row r="29" spans="1:7" x14ac:dyDescent="0.25">
      <c r="A29" s="1"/>
      <c r="B29" s="97" t="s">
        <v>202</v>
      </c>
      <c r="C29" s="98"/>
      <c r="D29" s="99"/>
      <c r="E29" s="9">
        <v>44834077</v>
      </c>
      <c r="F29" s="14" t="s">
        <v>3</v>
      </c>
      <c r="G29" s="1"/>
    </row>
    <row r="30" spans="1:7" x14ac:dyDescent="0.25">
      <c r="A30" s="1"/>
      <c r="B30" s="97" t="s">
        <v>36</v>
      </c>
      <c r="C30" s="98"/>
      <c r="D30" s="99"/>
      <c r="E30" s="9">
        <v>0</v>
      </c>
      <c r="F30" s="14" t="s">
        <v>3</v>
      </c>
      <c r="G30" s="1"/>
    </row>
    <row r="31" spans="1:7" x14ac:dyDescent="0.25">
      <c r="A31" s="1"/>
      <c r="B31" s="105" t="s">
        <v>210</v>
      </c>
      <c r="C31" s="106"/>
      <c r="D31" s="107"/>
      <c r="E31" s="10">
        <f>E28-(E29-E30)</f>
        <v>5880008.8068340272</v>
      </c>
      <c r="F31" s="17" t="s">
        <v>3</v>
      </c>
      <c r="G31" s="1"/>
    </row>
    <row r="32" spans="1:7" x14ac:dyDescent="0.25">
      <c r="A32" s="1"/>
      <c r="B32" s="40"/>
      <c r="C32" s="41"/>
      <c r="D32" s="41"/>
      <c r="E32" s="41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4" t="s">
        <v>125</v>
      </c>
      <c r="C34" s="95"/>
      <c r="D34" s="95"/>
      <c r="E34" s="95"/>
      <c r="F34" s="96"/>
      <c r="G34" s="1"/>
    </row>
    <row r="35" spans="1:7" x14ac:dyDescent="0.25">
      <c r="A35" s="1"/>
      <c r="B35" s="108" t="s">
        <v>247</v>
      </c>
      <c r="C35" s="109"/>
      <c r="D35" s="110"/>
      <c r="E35" s="9">
        <v>0</v>
      </c>
      <c r="F35" s="14"/>
      <c r="G35" s="1"/>
    </row>
    <row r="36" spans="1:7" x14ac:dyDescent="0.25">
      <c r="A36" s="1"/>
      <c r="B36" s="108" t="s">
        <v>248</v>
      </c>
      <c r="C36" s="109"/>
      <c r="D36" s="110"/>
      <c r="E36" s="9">
        <v>0</v>
      </c>
      <c r="F36" s="14"/>
      <c r="G36" s="1"/>
    </row>
    <row r="37" spans="1:7" x14ac:dyDescent="0.25">
      <c r="A37" s="1"/>
      <c r="B37" s="108" t="s">
        <v>113</v>
      </c>
      <c r="C37" s="109"/>
      <c r="D37" s="110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-2821.1299250274897</v>
      </c>
      <c r="F37" s="14" t="s">
        <v>3</v>
      </c>
      <c r="G37" s="1"/>
    </row>
    <row r="38" spans="1:7" x14ac:dyDescent="0.25">
      <c r="A38" s="1"/>
      <c r="B38" s="108" t="s">
        <v>130</v>
      </c>
      <c r="C38" s="109"/>
      <c r="D38" s="110"/>
      <c r="E38" s="9">
        <v>2</v>
      </c>
      <c r="F38" s="14" t="s">
        <v>19</v>
      </c>
      <c r="G38" s="1"/>
    </row>
    <row r="39" spans="1:7" ht="15" customHeight="1" x14ac:dyDescent="0.25">
      <c r="A39" s="1"/>
      <c r="B39" s="111" t="s">
        <v>203</v>
      </c>
      <c r="C39" s="111"/>
      <c r="D39" s="111"/>
      <c r="E39" s="10">
        <f>E37/E38</f>
        <v>-1410.5649625137448</v>
      </c>
      <c r="F39" s="17" t="s">
        <v>3</v>
      </c>
      <c r="G39" s="1"/>
    </row>
    <row r="40" spans="1:7" x14ac:dyDescent="0.25">
      <c r="A40" s="1"/>
      <c r="B40" s="94"/>
      <c r="C40" s="95"/>
      <c r="D40" s="95"/>
      <c r="E40" s="95"/>
      <c r="F40" s="96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3M5TiLUkVj+WpIUZ0dRL9qMI+Oqq5QfNfYQOKjkaZEAVF9LFAdkUtcUciYueNki7jYj+QT9o6xRllQoGi3IiNw==" saltValue="q4uF0kq1kSon5oVTUV5F/Q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216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197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51" t="s">
        <v>243</v>
      </c>
      <c r="C10" s="52" t="s">
        <v>244</v>
      </c>
      <c r="D10" s="9">
        <v>3564553</v>
      </c>
      <c r="E10" s="9">
        <f>IFERROR(D10/C10,0)</f>
        <v>356455.3</v>
      </c>
      <c r="F10" s="9">
        <v>0</v>
      </c>
      <c r="G10" s="9">
        <v>36138</v>
      </c>
      <c r="H10" s="14" t="s">
        <v>3</v>
      </c>
      <c r="I10" s="1"/>
    </row>
    <row r="11" spans="1:9" x14ac:dyDescent="0.25">
      <c r="A11" s="1"/>
      <c r="B11" s="51" t="s">
        <v>245</v>
      </c>
      <c r="C11" s="52" t="s">
        <v>246</v>
      </c>
      <c r="D11" s="9">
        <v>23276</v>
      </c>
      <c r="E11" s="9">
        <f t="shared" ref="E11" si="0">IFERROR(D11/C11,0)</f>
        <v>4655.2</v>
      </c>
      <c r="F11" s="9">
        <v>0</v>
      </c>
      <c r="G11" s="9">
        <v>236</v>
      </c>
      <c r="H11" s="14" t="s">
        <v>3</v>
      </c>
      <c r="I11" s="1"/>
    </row>
    <row r="12" spans="1:9" x14ac:dyDescent="0.25">
      <c r="A12" s="1"/>
      <c r="B12" s="94" t="s">
        <v>198</v>
      </c>
      <c r="C12" s="95"/>
      <c r="D12" s="96"/>
      <c r="E12" s="12">
        <f>SUM(E10:E11)</f>
        <v>361110.5</v>
      </c>
      <c r="F12" s="12">
        <f>SUM(F10:F11)</f>
        <v>0</v>
      </c>
      <c r="G12" s="12">
        <f>SUM(G10:G11)</f>
        <v>36374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215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397484.5</v>
      </c>
      <c r="F10" s="14" t="s">
        <v>3</v>
      </c>
      <c r="G10" s="1"/>
    </row>
    <row r="11" spans="1:7" x14ac:dyDescent="0.2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397484.5</v>
      </c>
      <c r="F11" s="13" t="s">
        <v>3</v>
      </c>
      <c r="G11" s="1"/>
    </row>
    <row r="12" spans="1:7" x14ac:dyDescent="0.25">
      <c r="A12" s="1"/>
      <c r="B12" s="40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402333.81089999998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baIkq3og91GMRMRk43bBY0n+r1R8Bd1VVljlctvdBuQfQKCHejmXLRkgDbFcwuvuPPDLfXZ6oK/4QqSQHscAUg==" saltValue="ZITdx3AlndgvzKN/6C+Ny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214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119</v>
      </c>
      <c r="C8" s="95"/>
      <c r="D8" s="95"/>
      <c r="E8" s="95"/>
      <c r="F8" s="96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120</v>
      </c>
      <c r="C16" s="95"/>
      <c r="D16" s="95"/>
      <c r="E16" s="95"/>
      <c r="F16" s="96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3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121</v>
      </c>
      <c r="C24" s="95"/>
      <c r="D24" s="95"/>
      <c r="E24" s="95"/>
      <c r="F24" s="96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3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176</v>
      </c>
      <c r="C32" s="95"/>
      <c r="D32" s="95"/>
      <c r="E32" s="95"/>
      <c r="F32" s="96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3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6JubMYpp+kLKQm7I7zVAtr7jhPP8nRZFQT5aRj81FlyW5jKWsHTHUHJH7B3IoOsy8TmBh+kI6dCo9fsQKq4dQ==" saltValue="AiNHWYYhvppRIY0wMnqhj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213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25">
      <c r="A9" s="1"/>
      <c r="B9" s="42" t="s">
        <v>157</v>
      </c>
      <c r="C9" s="85" t="s">
        <v>11</v>
      </c>
      <c r="D9" s="87"/>
      <c r="E9" s="85" t="s">
        <v>34</v>
      </c>
      <c r="F9" s="87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212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111</v>
      </c>
      <c r="C8" s="95"/>
      <c r="D8" s="95"/>
      <c r="E8" s="95"/>
      <c r="F8" s="96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4" t="s">
        <v>110</v>
      </c>
      <c r="C15" s="95"/>
      <c r="D15" s="95"/>
      <c r="E15" s="95"/>
      <c r="F15" s="96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4" t="s">
        <v>112</v>
      </c>
      <c r="C22" s="95"/>
      <c r="D22" s="95"/>
      <c r="E22" s="95"/>
      <c r="F22" s="96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4" t="s">
        <v>182</v>
      </c>
      <c r="C29" s="95"/>
      <c r="D29" s="95"/>
      <c r="E29" s="95"/>
      <c r="F29" s="96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211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48" t="s">
        <v>141</v>
      </c>
      <c r="C9" s="26">
        <v>1.2699999999999999E-2</v>
      </c>
      <c r="D9" s="1"/>
    </row>
    <row r="10" spans="1:4" x14ac:dyDescent="0.25">
      <c r="A10" s="1"/>
      <c r="B10" s="48" t="s">
        <v>22</v>
      </c>
      <c r="C10" s="26">
        <v>1.7500000000000002E-2</v>
      </c>
      <c r="D10" s="1"/>
    </row>
    <row r="11" spans="1:4" x14ac:dyDescent="0.25">
      <c r="A11" s="1"/>
      <c r="B11" s="48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4"/>
      <c r="C14" s="96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126</v>
      </c>
      <c r="C17" s="20"/>
      <c r="D17" s="1"/>
    </row>
    <row r="18" spans="1:4" x14ac:dyDescent="0.25">
      <c r="A18" s="1"/>
      <c r="B18" s="48" t="s">
        <v>143</v>
      </c>
      <c r="C18" s="23">
        <v>9.1000000000000004E-3</v>
      </c>
      <c r="D18" s="1"/>
    </row>
    <row r="19" spans="1:4" x14ac:dyDescent="0.25">
      <c r="A19" s="1"/>
      <c r="B19" s="48" t="s">
        <v>144</v>
      </c>
      <c r="C19" s="23">
        <v>1.77E-2</v>
      </c>
      <c r="D19" s="1"/>
    </row>
    <row r="20" spans="1:4" x14ac:dyDescent="0.25">
      <c r="A20" s="1"/>
      <c r="B20" s="48" t="s">
        <v>145</v>
      </c>
      <c r="C20" s="23">
        <v>8.6999999999999994E-3</v>
      </c>
      <c r="D20" s="1"/>
    </row>
    <row r="21" spans="1:4" x14ac:dyDescent="0.25">
      <c r="A21" s="1"/>
      <c r="B21" s="48" t="s">
        <v>146</v>
      </c>
      <c r="C21" s="36">
        <v>2.8400000000000002E-2</v>
      </c>
      <c r="D21" s="1"/>
    </row>
    <row r="22" spans="1:4" x14ac:dyDescent="0.25">
      <c r="A22" s="1"/>
      <c r="B22" s="48" t="s">
        <v>186</v>
      </c>
      <c r="C22" s="36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127</v>
      </c>
      <c r="C26" s="20"/>
      <c r="D26" s="1"/>
    </row>
    <row r="27" spans="1:4" x14ac:dyDescent="0.25">
      <c r="A27" s="1"/>
      <c r="B27" s="48" t="s">
        <v>147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161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4" t="s">
        <v>25</v>
      </c>
      <c r="C9" s="7">
        <f>'Fane 3. Omkostninger i ØR2020'!E20</f>
        <v>17809678.358748961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tillæg'!E12</f>
        <v>402333.81089999998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222186.54846971732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-164918.87192766817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-231145.59050725735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-225750.1593089049</v>
      </c>
      <c r="D19" s="8" t="s">
        <v>3</v>
      </c>
      <c r="E19" s="1"/>
    </row>
    <row r="20" spans="1:5" ht="17.100000000000001" customHeight="1" x14ac:dyDescent="0.25">
      <c r="A20" s="1"/>
      <c r="B20" s="49" t="s">
        <v>20</v>
      </c>
      <c r="C20" s="10">
        <f>SUM(C9:C19)</f>
        <v>17812384.096374847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omk.'!C16</f>
        <v>33784172.192468882</v>
      </c>
      <c r="D22" s="11" t="s">
        <v>3</v>
      </c>
      <c r="E22" s="1"/>
    </row>
    <row r="23" spans="1:5" ht="15" customHeight="1" x14ac:dyDescent="0.25">
      <c r="A23" s="1"/>
      <c r="B23" s="40" t="s">
        <v>99</v>
      </c>
      <c r="C23" s="41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1"/>
      <c r="D27" s="20"/>
      <c r="E27" s="1"/>
    </row>
    <row r="28" spans="1:5" x14ac:dyDescent="0.25">
      <c r="A28" s="1"/>
      <c r="B28" s="50" t="s">
        <v>205</v>
      </c>
      <c r="C28" s="10">
        <f>'Fane 7. Kontrol af ØR2019'!E39</f>
        <v>-1410.5649625137448</v>
      </c>
      <c r="D28" s="11" t="s">
        <v>3</v>
      </c>
      <c r="E28" s="1"/>
    </row>
    <row r="29" spans="1:5" x14ac:dyDescent="0.25">
      <c r="A29" s="1"/>
      <c r="B29" s="40" t="s">
        <v>31</v>
      </c>
      <c r="C29" s="32">
        <f>SUM(C20,C22,C26,C28)</f>
        <v>51595145.723881215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162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4" t="s">
        <v>26</v>
      </c>
      <c r="C9" s="7">
        <f>'Fane 2.1. Økonomisk ramme 2021'!C20</f>
        <v>17812384.096374847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217311.08597577314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-161300.04000393217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-229286.25537721696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-222220.44269303052</v>
      </c>
      <c r="D15" s="8" t="s">
        <v>3</v>
      </c>
      <c r="E15" s="1"/>
    </row>
    <row r="16" spans="1:5" ht="15" customHeight="1" x14ac:dyDescent="0.25">
      <c r="A16" s="1"/>
      <c r="B16" s="45" t="s">
        <v>20</v>
      </c>
      <c r="C16" s="10">
        <f>SUM(C9:C15)</f>
        <v>17416888.444276437</v>
      </c>
      <c r="D16" s="11" t="s">
        <v>3</v>
      </c>
      <c r="E16" s="1"/>
    </row>
    <row r="17" spans="1:5" x14ac:dyDescent="0.25">
      <c r="A17" s="1"/>
      <c r="B17" s="40" t="s">
        <v>12</v>
      </c>
      <c r="C17" s="41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omk.'!C16*(1+'Fane 12. Nøgletal'!C13)</f>
        <v>34196339.093217</v>
      </c>
      <c r="D18" s="11" t="s">
        <v>3</v>
      </c>
      <c r="E18" s="1"/>
    </row>
    <row r="19" spans="1:5" ht="15" customHeight="1" x14ac:dyDescent="0.25">
      <c r="A19" s="1"/>
      <c r="B19" s="40" t="s">
        <v>99</v>
      </c>
      <c r="C19" s="41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1"/>
      <c r="D23" s="20"/>
      <c r="E23" s="1"/>
    </row>
    <row r="24" spans="1:5" ht="15" customHeight="1" x14ac:dyDescent="0.25">
      <c r="A24" s="1"/>
      <c r="B24" s="50" t="s">
        <v>205</v>
      </c>
      <c r="C24" s="10">
        <f>'Fane 7. Kontrol af ØR2019'!E39</f>
        <v>-1410.5649625137448</v>
      </c>
      <c r="D24" s="11" t="s">
        <v>3</v>
      </c>
      <c r="E24" s="1"/>
    </row>
    <row r="25" spans="1:5" x14ac:dyDescent="0.25">
      <c r="A25" s="1"/>
      <c r="B25" s="40" t="s">
        <v>32</v>
      </c>
      <c r="C25" s="12">
        <f>SUM(C16,C18,C22,C24)</f>
        <v>51611816.972530924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163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165</v>
      </c>
      <c r="C8" s="7">
        <f>'Fane 2.2. Økonomisk ramme 2022'!C16</f>
        <v>17416888.444276437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212486.03902017255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-157718.62921918283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-227441.87673896266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-218745.91496130364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17025468.062377162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omk.'!C16*(1+'Fane 12. Nøgletal'!C13)^2</f>
        <v>34613534.430154249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0" t="s">
        <v>109</v>
      </c>
      <c r="C22" s="12">
        <f>SUM(C15,C17,C21)</f>
        <v>51639002.492531411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164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166</v>
      </c>
      <c r="C8" s="7">
        <f>'Fane 2.3. Økonomisk ramme 2023'!C15</f>
        <v>17025468.062377162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207710.7103610014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-154174.1220427652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-225612.33428247445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-215325.71320792616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16638066.603204999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omk.'!C16*(1+'Fane 12. Nøgletal'!C13)^3</f>
        <v>35035819.550202131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0" t="s">
        <v>242</v>
      </c>
      <c r="C22" s="12">
        <f>SUM(C15,C17,C21)</f>
        <v>51673886.153407127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180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167</v>
      </c>
      <c r="C8" s="41"/>
      <c r="D8" s="41"/>
      <c r="E8" s="41"/>
      <c r="F8" s="20"/>
      <c r="G8" s="1"/>
    </row>
    <row r="9" spans="1:7" x14ac:dyDescent="0.25">
      <c r="A9" s="1"/>
      <c r="B9" s="91" t="s">
        <v>23</v>
      </c>
      <c r="C9" s="92"/>
      <c r="D9" s="93"/>
      <c r="E9" s="7">
        <v>17418421.505821366</v>
      </c>
      <c r="F9" s="8" t="s">
        <v>3</v>
      </c>
      <c r="G9" s="1"/>
    </row>
    <row r="10" spans="1:7" ht="15" customHeight="1" x14ac:dyDescent="0.25">
      <c r="A10" s="1"/>
      <c r="B10" s="76" t="s">
        <v>45</v>
      </c>
      <c r="C10" s="77"/>
      <c r="D10" s="78"/>
      <c r="E10" s="7">
        <v>0</v>
      </c>
      <c r="F10" s="8" t="s">
        <v>3</v>
      </c>
      <c r="G10" s="1"/>
    </row>
    <row r="11" spans="1:7" ht="15" customHeight="1" x14ac:dyDescent="0.25">
      <c r="A11" s="1"/>
      <c r="B11" s="76" t="s">
        <v>46</v>
      </c>
      <c r="C11" s="77"/>
      <c r="D11" s="78"/>
      <c r="E11" s="9">
        <v>708971.81553000002</v>
      </c>
      <c r="F11" s="8" t="s">
        <v>3</v>
      </c>
      <c r="G11" s="1"/>
    </row>
    <row r="12" spans="1:7" x14ac:dyDescent="0.25">
      <c r="A12" s="1"/>
      <c r="B12" s="76" t="s">
        <v>30</v>
      </c>
      <c r="C12" s="77"/>
      <c r="D12" s="78"/>
      <c r="E12" s="9">
        <v>0</v>
      </c>
      <c r="F12" s="8" t="s">
        <v>3</v>
      </c>
      <c r="G12" s="1"/>
    </row>
    <row r="13" spans="1:7" x14ac:dyDescent="0.2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25">
      <c r="A14" s="1"/>
      <c r="B14" s="76" t="s">
        <v>159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160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18</v>
      </c>
      <c r="C16" s="77"/>
      <c r="D16" s="78"/>
      <c r="E16" s="9">
        <f>E9*'Fane 12. Nøgletal'!C11+SUM(E10:E15)*'Fane 12. Nøgletal'!C12</f>
        <v>308338.06821432203</v>
      </c>
      <c r="F16" s="8" t="s">
        <v>3</v>
      </c>
      <c r="G16" s="1"/>
    </row>
    <row r="17" spans="1:7" x14ac:dyDescent="0.25">
      <c r="A17" s="1"/>
      <c r="B17" s="76" t="s">
        <v>9</v>
      </c>
      <c r="C17" s="77"/>
      <c r="D17" s="78"/>
      <c r="E17" s="9">
        <f>-SUM(E9:E16)*'Fane 5. Individuelt eff. krav'!G9</f>
        <v>-311019.59537389729</v>
      </c>
      <c r="F17" s="8" t="s">
        <v>3</v>
      </c>
      <c r="G17" s="1"/>
    </row>
    <row r="18" spans="1:7" x14ac:dyDescent="0.25">
      <c r="A18" s="1"/>
      <c r="B18" s="76" t="s">
        <v>27</v>
      </c>
      <c r="C18" s="77"/>
      <c r="D18" s="78"/>
      <c r="E18" s="9">
        <f>-'Fane 4.1. Gen. krav - drift'!G25</f>
        <v>-233020.00341472545</v>
      </c>
      <c r="F18" s="8" t="s">
        <v>3</v>
      </c>
      <c r="G18" s="1"/>
    </row>
    <row r="19" spans="1:7" x14ac:dyDescent="0.25">
      <c r="A19" s="1"/>
      <c r="B19" s="76" t="s">
        <v>28</v>
      </c>
      <c r="C19" s="77"/>
      <c r="D19" s="78"/>
      <c r="E19" s="9">
        <f>-'Fane 4.2. Gen. krav - anlæg'!G25</f>
        <v>-82013.432028105104</v>
      </c>
      <c r="F19" s="8" t="s">
        <v>3</v>
      </c>
      <c r="G19" s="1"/>
    </row>
    <row r="20" spans="1:7" x14ac:dyDescent="0.25">
      <c r="A20" s="1"/>
      <c r="B20" s="79" t="s">
        <v>20</v>
      </c>
      <c r="C20" s="80"/>
      <c r="D20" s="81"/>
      <c r="E20" s="10">
        <f>SUM(E9:E19)</f>
        <v>17809678.358748961</v>
      </c>
      <c r="F20" s="11" t="s">
        <v>3</v>
      </c>
      <c r="G20" s="1"/>
    </row>
    <row r="21" spans="1:7" x14ac:dyDescent="0.25">
      <c r="A21" s="1"/>
      <c r="B21" s="88" t="s">
        <v>12</v>
      </c>
      <c r="C21" s="89"/>
      <c r="D21" s="89"/>
      <c r="E21" s="41"/>
      <c r="F21" s="20"/>
      <c r="G21" s="1"/>
    </row>
    <row r="22" spans="1:7" x14ac:dyDescent="0.25">
      <c r="A22" s="1"/>
      <c r="B22" s="82" t="s">
        <v>12</v>
      </c>
      <c r="C22" s="83"/>
      <c r="D22" s="84"/>
      <c r="E22" s="10">
        <v>39781967.909515925</v>
      </c>
      <c r="F22" s="11" t="s">
        <v>3</v>
      </c>
      <c r="G22" s="1"/>
    </row>
    <row r="23" spans="1:7" ht="15" customHeight="1" x14ac:dyDescent="0.25">
      <c r="A23" s="1"/>
      <c r="B23" s="88" t="s">
        <v>99</v>
      </c>
      <c r="C23" s="89"/>
      <c r="D23" s="89"/>
      <c r="E23" s="41"/>
      <c r="F23" s="41"/>
      <c r="G23" s="1"/>
    </row>
    <row r="24" spans="1:7" ht="14.25" customHeight="1" x14ac:dyDescent="0.25">
      <c r="A24" s="1"/>
      <c r="B24" s="73" t="s">
        <v>95</v>
      </c>
      <c r="C24" s="74"/>
      <c r="D24" s="75"/>
      <c r="E24" s="9">
        <v>0</v>
      </c>
      <c r="F24" s="8" t="s">
        <v>3</v>
      </c>
      <c r="G24" s="1"/>
    </row>
    <row r="25" spans="1:7" ht="14.25" customHeight="1" x14ac:dyDescent="0.25">
      <c r="A25" s="1"/>
      <c r="B25" s="73" t="s">
        <v>96</v>
      </c>
      <c r="C25" s="74"/>
      <c r="D25" s="75"/>
      <c r="E25" s="9">
        <v>0</v>
      </c>
      <c r="F25" s="8" t="s">
        <v>3</v>
      </c>
      <c r="G25" s="1"/>
    </row>
    <row r="26" spans="1:7" x14ac:dyDescent="0.25">
      <c r="A26" s="1"/>
      <c r="B26" s="85" t="s">
        <v>100</v>
      </c>
      <c r="C26" s="86"/>
      <c r="D26" s="86"/>
      <c r="E26" s="10">
        <v>0</v>
      </c>
      <c r="F26" s="11" t="s">
        <v>3</v>
      </c>
      <c r="G26" s="1"/>
    </row>
    <row r="27" spans="1:7" ht="14.25" customHeight="1" x14ac:dyDescent="0.2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25">
      <c r="A28" s="1"/>
      <c r="B28" s="85" t="s">
        <v>229</v>
      </c>
      <c r="C28" s="86"/>
      <c r="D28" s="87"/>
      <c r="E28" s="10">
        <v>0</v>
      </c>
      <c r="F28" s="11" t="s">
        <v>3</v>
      </c>
      <c r="G28" s="1"/>
    </row>
    <row r="29" spans="1:7" x14ac:dyDescent="0.2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25">
      <c r="A30" s="1"/>
      <c r="B30" s="85" t="s">
        <v>231</v>
      </c>
      <c r="C30" s="86"/>
      <c r="D30" s="87"/>
      <c r="E30" s="10">
        <v>-543476.54677524604</v>
      </c>
      <c r="F30" s="11" t="s">
        <v>3</v>
      </c>
      <c r="G30" s="1"/>
    </row>
    <row r="31" spans="1:7" x14ac:dyDescent="0.25">
      <c r="A31" s="1"/>
      <c r="B31" s="40" t="s">
        <v>232</v>
      </c>
      <c r="C31" s="41"/>
      <c r="D31" s="41"/>
      <c r="E31" s="41"/>
      <c r="F31" s="20"/>
      <c r="G31" s="1"/>
    </row>
    <row r="32" spans="1:7" x14ac:dyDescent="0.25">
      <c r="A32" s="1"/>
      <c r="B32" s="82" t="s">
        <v>233</v>
      </c>
      <c r="C32" s="83"/>
      <c r="D32" s="84"/>
      <c r="E32" s="10">
        <v>17080.52473980037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SUM(E30,E26,E28,E22,E20,E32)</f>
        <v>57065250.24622944</v>
      </c>
      <c r="F33" s="13" t="s">
        <v>3</v>
      </c>
      <c r="G33" s="1"/>
    </row>
    <row r="34" spans="1:7" ht="28.15" customHeight="1" x14ac:dyDescent="0.25">
      <c r="A34" s="1"/>
      <c r="B34" s="73" t="s">
        <v>179</v>
      </c>
      <c r="C34" s="74"/>
      <c r="D34" s="74"/>
      <c r="E34" s="74"/>
      <c r="F34" s="75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1" t="s">
        <v>138</v>
      </c>
      <c r="C1" s="71"/>
      <c r="D1" s="71"/>
      <c r="E1" s="71"/>
      <c r="F1" s="71"/>
      <c r="G1" s="71"/>
      <c r="H1" s="71"/>
      <c r="I1" s="1"/>
    </row>
    <row r="2" spans="1:9" ht="15" customHeight="1" x14ac:dyDescent="0.25">
      <c r="A2" s="1"/>
      <c r="B2" s="71"/>
      <c r="C2" s="71"/>
      <c r="D2" s="71"/>
      <c r="E2" s="71"/>
      <c r="F2" s="71"/>
      <c r="G2" s="71"/>
      <c r="H2" s="71"/>
      <c r="I2" s="1"/>
    </row>
    <row r="3" spans="1:9" ht="15" customHeight="1" x14ac:dyDescent="0.25">
      <c r="A3" s="1"/>
      <c r="B3" s="71"/>
      <c r="C3" s="71"/>
      <c r="D3" s="71"/>
      <c r="E3" s="71"/>
      <c r="F3" s="71"/>
      <c r="G3" s="71"/>
      <c r="H3" s="71"/>
      <c r="I3" s="1"/>
    </row>
    <row r="4" spans="1:9" x14ac:dyDescent="0.25">
      <c r="A4" s="1"/>
      <c r="B4" s="94" t="s">
        <v>64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53</v>
      </c>
      <c r="C5" s="98"/>
      <c r="D5" s="98"/>
      <c r="E5" s="98"/>
      <c r="F5" s="99"/>
      <c r="G5" s="24">
        <v>11820821.978148257</v>
      </c>
      <c r="H5" s="14" t="s">
        <v>3</v>
      </c>
      <c r="I5" s="1"/>
    </row>
    <row r="6" spans="1:9" x14ac:dyDescent="0.25">
      <c r="A6" s="1"/>
      <c r="B6" s="97" t="s">
        <v>54</v>
      </c>
      <c r="C6" s="98"/>
      <c r="D6" s="98"/>
      <c r="E6" s="98"/>
      <c r="F6" s="99"/>
      <c r="G6" s="24">
        <f>G5*'Fane 12. Nøgletal'!C27</f>
        <v>236416.43956296516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65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55</v>
      </c>
      <c r="C10" s="98"/>
      <c r="D10" s="98"/>
      <c r="E10" s="98"/>
      <c r="F10" s="99"/>
      <c r="G10" s="24">
        <f>(G5-G6)*(1+'Fane 12. Nøgletal'!C9)</f>
        <v>11731527.488925325</v>
      </c>
      <c r="H10" s="14" t="s">
        <v>3</v>
      </c>
      <c r="I10" s="1"/>
    </row>
    <row r="11" spans="1:9" x14ac:dyDescent="0.25">
      <c r="A11" s="1"/>
      <c r="B11" s="100" t="s">
        <v>56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25">
      <c r="A12" s="1"/>
      <c r="B12" s="97" t="s">
        <v>57</v>
      </c>
      <c r="C12" s="98"/>
      <c r="D12" s="98"/>
      <c r="E12" s="98"/>
      <c r="F12" s="99"/>
      <c r="G12" s="24">
        <f>(G10+G11)*'Fane 12. Nøgletal'!C27</f>
        <v>234630.54977850651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66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58</v>
      </c>
      <c r="C16" s="98"/>
      <c r="D16" s="98"/>
      <c r="E16" s="98"/>
      <c r="F16" s="99"/>
      <c r="G16" s="24">
        <f>(G10-G12)*(1+'Fane 12. Nøgletal'!C11)</f>
        <v>11691194.497418398</v>
      </c>
      <c r="H16" s="14" t="s">
        <v>3</v>
      </c>
      <c r="I16" s="1"/>
    </row>
    <row r="17" spans="1:9" x14ac:dyDescent="0.25">
      <c r="A17" s="1"/>
      <c r="B17" s="97" t="s">
        <v>148</v>
      </c>
      <c r="C17" s="98"/>
      <c r="D17" s="98"/>
      <c r="E17" s="98"/>
      <c r="F17" s="99"/>
      <c r="G17" s="24">
        <v>0</v>
      </c>
      <c r="H17" s="14" t="s">
        <v>3</v>
      </c>
      <c r="I17" s="1"/>
    </row>
    <row r="18" spans="1:9" x14ac:dyDescent="0.25">
      <c r="A18" s="1"/>
      <c r="B18" s="100" t="s">
        <v>59</v>
      </c>
      <c r="C18" s="101"/>
      <c r="D18" s="101"/>
      <c r="E18" s="101"/>
      <c r="F18" s="102"/>
      <c r="G18" s="24">
        <v>0</v>
      </c>
      <c r="H18" s="14" t="s">
        <v>3</v>
      </c>
      <c r="I18" s="1"/>
    </row>
    <row r="19" spans="1:9" x14ac:dyDescent="0.25">
      <c r="A19" s="1"/>
      <c r="B19" s="97" t="s">
        <v>60</v>
      </c>
      <c r="C19" s="98"/>
      <c r="D19" s="98"/>
      <c r="E19" s="98"/>
      <c r="F19" s="99"/>
      <c r="G19" s="24">
        <f>SUM(G16:G18)*'Fane 12. Nøgletal'!C27</f>
        <v>233823.88994836796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67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61</v>
      </c>
      <c r="C23" s="98"/>
      <c r="D23" s="98"/>
      <c r="E23" s="98"/>
      <c r="F23" s="99"/>
      <c r="G23" s="24">
        <f>(SUM(G16:G18)-G19)*(1+'Fane 12. Nøgletal'!C11)</f>
        <v>11651000.170736272</v>
      </c>
      <c r="H23" s="14" t="s">
        <v>3</v>
      </c>
      <c r="I23" s="1"/>
    </row>
    <row r="24" spans="1:9" x14ac:dyDescent="0.25">
      <c r="A24" s="1"/>
      <c r="B24" s="100" t="s">
        <v>62</v>
      </c>
      <c r="C24" s="101"/>
      <c r="D24" s="101"/>
      <c r="E24" s="101"/>
      <c r="F24" s="102"/>
      <c r="G24" s="24">
        <v>0</v>
      </c>
      <c r="H24" s="14" t="s">
        <v>3</v>
      </c>
      <c r="I24" s="1"/>
    </row>
    <row r="25" spans="1:9" x14ac:dyDescent="0.25">
      <c r="A25" s="1"/>
      <c r="B25" s="97" t="s">
        <v>63</v>
      </c>
      <c r="C25" s="98"/>
      <c r="D25" s="98"/>
      <c r="E25" s="98"/>
      <c r="F25" s="99"/>
      <c r="G25" s="24">
        <f>(G23+G24)*'Fane 12. Nøgletal'!C27</f>
        <v>233020.00341472545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222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70</v>
      </c>
      <c r="C29" s="98"/>
      <c r="D29" s="98"/>
      <c r="E29" s="98"/>
      <c r="F29" s="99"/>
      <c r="G29" s="24">
        <f>(G23+G24-G25)*(1+'Fane 12. Nøgletal'!C13)</f>
        <v>11557279.525362868</v>
      </c>
      <c r="H29" s="14" t="s">
        <v>3</v>
      </c>
      <c r="I29" s="1"/>
    </row>
    <row r="30" spans="1:9" x14ac:dyDescent="0.25">
      <c r="A30" s="1"/>
      <c r="B30" s="97" t="s">
        <v>187</v>
      </c>
      <c r="C30" s="98"/>
      <c r="D30" s="98"/>
      <c r="E30" s="98"/>
      <c r="F30" s="99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25">
      <c r="A31" s="1"/>
      <c r="B31" s="97" t="s">
        <v>199</v>
      </c>
      <c r="C31" s="98"/>
      <c r="D31" s="98"/>
      <c r="E31" s="98"/>
      <c r="F31" s="99"/>
      <c r="G31" s="24">
        <f>(G29+G30)*'Fane 12. Nøgletal'!C27</f>
        <v>231145.59050725735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223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90</v>
      </c>
      <c r="C35" s="98"/>
      <c r="D35" s="98"/>
      <c r="E35" s="98"/>
      <c r="F35" s="99"/>
      <c r="G35" s="24">
        <f>(G29+G30-G31)*(1+'Fane 12. Nøgletal'!C13)</f>
        <v>11464312.768860849</v>
      </c>
      <c r="H35" s="14" t="s">
        <v>3</v>
      </c>
      <c r="I35" s="1"/>
    </row>
    <row r="36" spans="1:9" x14ac:dyDescent="0.25">
      <c r="A36" s="1"/>
      <c r="B36" s="97" t="s">
        <v>102</v>
      </c>
      <c r="C36" s="98"/>
      <c r="D36" s="98"/>
      <c r="E36" s="98"/>
      <c r="F36" s="99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7" t="s">
        <v>224</v>
      </c>
      <c r="C37" s="98"/>
      <c r="D37" s="98"/>
      <c r="E37" s="98"/>
      <c r="F37" s="99"/>
      <c r="G37" s="24">
        <f>(G35+G36)*'Fane 12. Nøgletal'!C27</f>
        <v>229286.25537721696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91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89</v>
      </c>
      <c r="C41" s="98"/>
      <c r="D41" s="98"/>
      <c r="E41" s="98"/>
      <c r="F41" s="99"/>
      <c r="G41" s="24">
        <f>(G35+G36-G37)*(1+'Fane 12. Nøgletal'!C13)</f>
        <v>11372093.836948132</v>
      </c>
      <c r="H41" s="14" t="s">
        <v>3</v>
      </c>
      <c r="I41" s="1"/>
    </row>
    <row r="42" spans="1:9" x14ac:dyDescent="0.25">
      <c r="A42" s="1"/>
      <c r="B42" s="97" t="s">
        <v>103</v>
      </c>
      <c r="C42" s="98"/>
      <c r="D42" s="98"/>
      <c r="E42" s="98"/>
      <c r="F42" s="99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7" t="s">
        <v>71</v>
      </c>
      <c r="C43" s="98"/>
      <c r="D43" s="98"/>
      <c r="E43" s="98"/>
      <c r="F43" s="99"/>
      <c r="G43" s="24">
        <f>(G41+G42)*'Fane 12. Nøgletal'!C27</f>
        <v>227441.87673896266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4" t="s">
        <v>188</v>
      </c>
      <c r="C46" s="95"/>
      <c r="D46" s="95"/>
      <c r="E46" s="95"/>
      <c r="F46" s="95"/>
      <c r="G46" s="95"/>
      <c r="H46" s="96"/>
      <c r="I46" s="1"/>
    </row>
    <row r="47" spans="1:9" x14ac:dyDescent="0.25">
      <c r="A47" s="1"/>
      <c r="B47" s="97" t="s">
        <v>189</v>
      </c>
      <c r="C47" s="98"/>
      <c r="D47" s="98"/>
      <c r="E47" s="98"/>
      <c r="F47" s="99"/>
      <c r="G47" s="24">
        <f>(G41+G42-G43)*(1+'Fane 12. Nøgletal'!C13)</f>
        <v>11280616.714123722</v>
      </c>
      <c r="H47" s="14" t="s">
        <v>3</v>
      </c>
      <c r="I47" s="1"/>
    </row>
    <row r="48" spans="1:9" x14ac:dyDescent="0.25">
      <c r="A48" s="1"/>
      <c r="B48" s="97" t="s">
        <v>190</v>
      </c>
      <c r="C48" s="98"/>
      <c r="D48" s="98"/>
      <c r="E48" s="98"/>
      <c r="F48" s="99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7" t="s">
        <v>191</v>
      </c>
      <c r="C49" s="98"/>
      <c r="D49" s="98"/>
      <c r="E49" s="98"/>
      <c r="F49" s="99"/>
      <c r="G49" s="24">
        <f>(G47+G48)*'Fane 12. Nøgletal'!C27</f>
        <v>225612.33428247445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3" t="s">
        <v>139</v>
      </c>
      <c r="C2" s="103"/>
      <c r="D2" s="103"/>
      <c r="E2" s="103"/>
      <c r="F2" s="103"/>
      <c r="G2" s="103"/>
      <c r="H2" s="103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4" t="s">
        <v>68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72</v>
      </c>
      <c r="C5" s="98"/>
      <c r="D5" s="98"/>
      <c r="E5" s="98"/>
      <c r="F5" s="99"/>
      <c r="G5" s="24">
        <v>6891332.6475916887</v>
      </c>
      <c r="H5" s="14" t="s">
        <v>3</v>
      </c>
      <c r="I5" s="1"/>
    </row>
    <row r="6" spans="1:9" x14ac:dyDescent="0.25">
      <c r="A6" s="1"/>
      <c r="B6" s="97" t="s">
        <v>69</v>
      </c>
      <c r="C6" s="98"/>
      <c r="D6" s="98"/>
      <c r="E6" s="98"/>
      <c r="F6" s="99"/>
      <c r="G6" s="24">
        <f>G5*'Fane 12. Nøgletal'!C18</f>
        <v>62711.127093084368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73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74</v>
      </c>
      <c r="C10" s="98"/>
      <c r="D10" s="98"/>
      <c r="E10" s="98"/>
      <c r="F10" s="99"/>
      <c r="G10" s="24">
        <f>(G5-G6)*(1+'Fane 12. Nøgletal'!C9)</f>
        <v>6915345.0138089359</v>
      </c>
      <c r="H10" s="14" t="s">
        <v>3</v>
      </c>
      <c r="I10" s="1"/>
    </row>
    <row r="11" spans="1:9" x14ac:dyDescent="0.25">
      <c r="A11" s="1"/>
      <c r="B11" s="100" t="s">
        <v>75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25">
      <c r="A12" s="1"/>
      <c r="B12" s="97" t="s">
        <v>76</v>
      </c>
      <c r="C12" s="98"/>
      <c r="D12" s="98"/>
      <c r="E12" s="98"/>
      <c r="F12" s="99"/>
      <c r="G12" s="24">
        <f>G10*'Fane 12. Nøgletal'!C18+G11*'Fane 12. Nøgletal'!C19</f>
        <v>62929.639625661322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77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78</v>
      </c>
      <c r="C16" s="98"/>
      <c r="D16" s="98"/>
      <c r="E16" s="98"/>
      <c r="F16" s="99"/>
      <c r="G16" s="24">
        <f>(G10+G11-G12)*(1+'Fane 12. Nøgletal'!C11)</f>
        <v>6968221.194006972</v>
      </c>
      <c r="H16" s="14" t="s">
        <v>3</v>
      </c>
      <c r="I16" s="1"/>
    </row>
    <row r="17" spans="1:9" x14ac:dyDescent="0.25">
      <c r="A17" s="1"/>
      <c r="B17" s="97" t="s">
        <v>149</v>
      </c>
      <c r="C17" s="98"/>
      <c r="D17" s="98"/>
      <c r="E17" s="98"/>
      <c r="F17" s="99"/>
      <c r="G17" s="24">
        <v>-65791.358830052399</v>
      </c>
      <c r="H17" s="14" t="s">
        <v>3</v>
      </c>
      <c r="I17" s="1"/>
    </row>
    <row r="18" spans="1:9" x14ac:dyDescent="0.25">
      <c r="A18" s="1"/>
      <c r="B18" s="100" t="s">
        <v>79</v>
      </c>
      <c r="C18" s="101"/>
      <c r="D18" s="101"/>
      <c r="E18" s="101"/>
      <c r="F18" s="102"/>
      <c r="G18" s="24">
        <v>108009.20787888998</v>
      </c>
      <c r="H18" s="14" t="s">
        <v>3</v>
      </c>
      <c r="I18" s="1"/>
    </row>
    <row r="19" spans="1:9" x14ac:dyDescent="0.25">
      <c r="A19" s="1"/>
      <c r="B19" s="97" t="s">
        <v>80</v>
      </c>
      <c r="C19" s="98"/>
      <c r="D19" s="98"/>
      <c r="E19" s="98"/>
      <c r="F19" s="99"/>
      <c r="G19" s="24">
        <f>SUM(G16:G18)*'Fane 12. Nøgletal'!C20</f>
        <v>60990.819674585546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81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82</v>
      </c>
      <c r="C23" s="98"/>
      <c r="D23" s="98"/>
      <c r="E23" s="98"/>
      <c r="F23" s="99"/>
      <c r="G23" s="24">
        <f>(SUM(G16:G18)-G19)*(1+'Fane 12. Nøgletal'!C11)</f>
        <v>7066893.898356366</v>
      </c>
      <c r="H23" s="14" t="s">
        <v>3</v>
      </c>
      <c r="I23" s="1"/>
    </row>
    <row r="24" spans="1:9" x14ac:dyDescent="0.25">
      <c r="A24" s="1"/>
      <c r="B24" s="100" t="s">
        <v>83</v>
      </c>
      <c r="C24" s="101"/>
      <c r="D24" s="101"/>
      <c r="E24" s="101"/>
      <c r="F24" s="102"/>
      <c r="G24" s="24">
        <v>722938.56029594108</v>
      </c>
      <c r="H24" s="14" t="s">
        <v>3</v>
      </c>
      <c r="I24" s="1"/>
    </row>
    <row r="25" spans="1:9" x14ac:dyDescent="0.25">
      <c r="A25" s="1"/>
      <c r="B25" s="97" t="s">
        <v>84</v>
      </c>
      <c r="C25" s="98"/>
      <c r="D25" s="98"/>
      <c r="E25" s="98"/>
      <c r="F25" s="99"/>
      <c r="G25" s="24">
        <f>G23*'Fane 12. Nøgletal'!C20+G24*'Fane 12. Nøgletal'!C21</f>
        <v>82013.432028105104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220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85</v>
      </c>
      <c r="C29" s="98"/>
      <c r="D29" s="98"/>
      <c r="E29" s="98"/>
      <c r="F29" s="99"/>
      <c r="G29" s="24">
        <f>(G23+G24-G25)*(1+'Fane 12. Nøgletal'!C13)</f>
        <v>7801854.4187490167</v>
      </c>
      <c r="H29" s="14" t="s">
        <v>3</v>
      </c>
      <c r="I29" s="1"/>
    </row>
    <row r="30" spans="1:9" x14ac:dyDescent="0.25">
      <c r="A30" s="1"/>
      <c r="B30" s="97" t="s">
        <v>192</v>
      </c>
      <c r="C30" s="98"/>
      <c r="D30" s="98"/>
      <c r="E30" s="98"/>
      <c r="F30" s="99"/>
      <c r="G30" s="24">
        <f>SUM('Fane 2.1. Økonomisk ramme 2021'!C11,'Fane 2.1. Økonomisk ramme 2021'!C13,'Fane 2.1. Økonomisk ramme 2021'!C15)*(1+'Fane 12. Nøgletal'!C13)</f>
        <v>407242.28339298</v>
      </c>
      <c r="H30" s="14" t="s">
        <v>3</v>
      </c>
      <c r="I30" s="1"/>
    </row>
    <row r="31" spans="1:9" x14ac:dyDescent="0.25">
      <c r="A31" s="1"/>
      <c r="B31" s="97" t="s">
        <v>221</v>
      </c>
      <c r="C31" s="98"/>
      <c r="D31" s="98"/>
      <c r="E31" s="98"/>
      <c r="F31" s="99"/>
      <c r="G31" s="24">
        <f>(G29+G30)*'Fane 12. Nøgletal'!C22</f>
        <v>225750.1593089049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225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88</v>
      </c>
      <c r="C35" s="98"/>
      <c r="D35" s="98"/>
      <c r="E35" s="98"/>
      <c r="F35" s="99"/>
      <c r="G35" s="24">
        <f>(G29+G30-G31)*(1+'Fane 12. Nøgletal'!C13)</f>
        <v>8080743.3706556549</v>
      </c>
      <c r="H35" s="14" t="s">
        <v>3</v>
      </c>
      <c r="I35" s="1"/>
    </row>
    <row r="36" spans="1:9" x14ac:dyDescent="0.25">
      <c r="A36" s="1"/>
      <c r="B36" s="97" t="s">
        <v>107</v>
      </c>
      <c r="C36" s="98"/>
      <c r="D36" s="98"/>
      <c r="E36" s="98"/>
      <c r="F36" s="99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7" t="s">
        <v>226</v>
      </c>
      <c r="C37" s="98"/>
      <c r="D37" s="98"/>
      <c r="E37" s="98"/>
      <c r="F37" s="99"/>
      <c r="G37" s="24">
        <f>(G35+G36)*'Fane 12. Nøgletal'!C22</f>
        <v>222220.44269303052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92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87</v>
      </c>
      <c r="C41" s="98"/>
      <c r="D41" s="98"/>
      <c r="E41" s="98"/>
      <c r="F41" s="99"/>
      <c r="G41" s="24">
        <f>(G35+G36-G37)*(1+'Fane 12. Nøgletal'!C13)</f>
        <v>7954396.9076837683</v>
      </c>
      <c r="H41" s="14" t="s">
        <v>3</v>
      </c>
      <c r="I41" s="1"/>
    </row>
    <row r="42" spans="1:9" x14ac:dyDescent="0.25">
      <c r="A42" s="1"/>
      <c r="B42" s="97" t="s">
        <v>108</v>
      </c>
      <c r="C42" s="98"/>
      <c r="D42" s="98"/>
      <c r="E42" s="98"/>
      <c r="F42" s="99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7" t="s">
        <v>86</v>
      </c>
      <c r="C43" s="98"/>
      <c r="D43" s="98"/>
      <c r="E43" s="98"/>
      <c r="F43" s="99"/>
      <c r="G43" s="24">
        <f>(G41+G42)*'Fane 12. Nøgletal'!C22</f>
        <v>218745.91496130364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4" t="s">
        <v>193</v>
      </c>
      <c r="C46" s="95"/>
      <c r="D46" s="95"/>
      <c r="E46" s="95"/>
      <c r="F46" s="95"/>
      <c r="G46" s="95"/>
      <c r="H46" s="96"/>
      <c r="I46" s="1"/>
    </row>
    <row r="47" spans="1:9" x14ac:dyDescent="0.25">
      <c r="A47" s="1"/>
      <c r="B47" s="97" t="s">
        <v>194</v>
      </c>
      <c r="C47" s="98"/>
      <c r="D47" s="98"/>
      <c r="E47" s="98"/>
      <c r="F47" s="99"/>
      <c r="G47" s="24">
        <f>(G41+G42-G43)*(1+'Fane 12. Nøgletal'!C13)</f>
        <v>7830025.9348336784</v>
      </c>
      <c r="H47" s="14" t="s">
        <v>3</v>
      </c>
      <c r="I47" s="1"/>
    </row>
    <row r="48" spans="1:9" x14ac:dyDescent="0.25">
      <c r="A48" s="1"/>
      <c r="B48" s="97" t="s">
        <v>195</v>
      </c>
      <c r="C48" s="98"/>
      <c r="D48" s="98"/>
      <c r="E48" s="98"/>
      <c r="F48" s="99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7" t="s">
        <v>196</v>
      </c>
      <c r="C49" s="98"/>
      <c r="D49" s="98"/>
      <c r="E49" s="98"/>
      <c r="F49" s="99"/>
      <c r="G49" s="24">
        <f>(G47+G48)*'Fane 12. Nøgletal'!C22</f>
        <v>215325.71320792616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101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9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124</v>
      </c>
      <c r="C9" s="98"/>
      <c r="D9" s="98"/>
      <c r="E9" s="98"/>
      <c r="F9" s="99"/>
      <c r="G9" s="23">
        <v>1.6870477704504262E-2</v>
      </c>
      <c r="H9" s="14"/>
      <c r="I9" s="1"/>
    </row>
    <row r="10" spans="1:9" x14ac:dyDescent="0.25">
      <c r="A10" s="1"/>
      <c r="B10" s="97" t="s">
        <v>181</v>
      </c>
      <c r="C10" s="98"/>
      <c r="D10" s="98"/>
      <c r="E10" s="98"/>
      <c r="F10" s="99"/>
      <c r="G10" s="23">
        <v>8.9463542435165386E-3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4" t="s">
        <v>227</v>
      </c>
      <c r="C13" s="104"/>
      <c r="D13" s="104"/>
      <c r="E13" s="104"/>
      <c r="F13" s="104"/>
      <c r="G13" s="104"/>
      <c r="H13" s="104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2020-10-29T12:21:45Z</dcterms:modified>
</cp:coreProperties>
</file>