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45" i="12" l="1"/>
  <c r="K15" i="22" s="1"/>
  <c r="G13" i="10" l="1"/>
  <c r="K20" i="22" l="1"/>
  <c r="K19" i="22"/>
  <c r="G11" i="10" l="1"/>
  <c r="K12" i="22"/>
  <c r="K11" i="22"/>
  <c r="K10" i="22"/>
  <c r="F18" i="20"/>
  <c r="F19" i="20" s="1"/>
  <c r="G19" i="19" l="1"/>
  <c r="G20" i="19" s="1"/>
  <c r="E14" i="22" s="1"/>
  <c r="G14" i="22" s="1"/>
  <c r="I14" i="22" l="1"/>
  <c r="K14" i="22" l="1"/>
  <c r="F11" i="21"/>
  <c r="F12" i="21" s="1"/>
  <c r="D11" i="21"/>
  <c r="D12" i="21" l="1"/>
  <c r="K18" i="22" s="1"/>
  <c r="F11" i="20"/>
  <c r="F12" i="20" s="1"/>
  <c r="D11" i="20"/>
  <c r="D12" i="20" s="1"/>
  <c r="E17" i="22" s="1"/>
  <c r="G17" i="22" l="1"/>
  <c r="E20" i="22"/>
  <c r="E19" i="22"/>
  <c r="E21" i="22" s="1"/>
  <c r="I17" i="22" l="1"/>
  <c r="G20" i="22"/>
  <c r="G19" i="22"/>
  <c r="G21" i="22" s="1"/>
  <c r="G12" i="7"/>
  <c r="I20" i="22" l="1"/>
  <c r="K17" i="22"/>
  <c r="I19" i="22"/>
  <c r="I21" i="22" s="1"/>
  <c r="E15" i="13"/>
  <c r="F11" i="11"/>
  <c r="F12" i="11"/>
  <c r="G30" i="13" l="1"/>
  <c r="E35" i="13" l="1"/>
  <c r="G35" i="13" s="1"/>
  <c r="E27" i="13"/>
  <c r="E19" i="13"/>
  <c r="G11" i="12"/>
  <c r="G29" i="12"/>
  <c r="G23" i="12"/>
  <c r="G17" i="12"/>
  <c r="F10" i="11"/>
  <c r="F13" i="11" s="1"/>
  <c r="G33" i="12" l="1"/>
  <c r="G35" i="1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<sst xmlns="http://schemas.openxmlformats.org/spreadsheetml/2006/main" count="337" uniqueCount="153">
  <si>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</si>
  <si>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</si>
  <si>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</si>
  <si>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</si>
  <si>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</si>
  <si>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</si>
  <si>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</si>
  <si>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</si>
  <si>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</si>
  <si>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</si>
  <si>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</si>
  <si>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</si>
  <si>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</si>
  <si>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</si>
  <si>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</si>
  <si>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</si>
  <si>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</si>
  <si>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</si>
  <si>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</si>
  <si>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</si>
  <si>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</si>
  <si>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</si>
  <si>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</si>
  <si>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</si>
  <si>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</si>
  <si>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</si>
  <si>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</si>
  <si>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</si>
  <si>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</si>
  <si>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</si>
  <si>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</si>
  <si>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</si>
  <si>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</si>
  <si>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</si>
  <si>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</si>
  <si>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</si>
  <si>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</si>
  <si>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</si>
  <si>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</si>
  <si>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</si>
  <si>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</si>
  <si>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</si>
  <si>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</si>
  <si>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</si>
  <si>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</si>
  <si>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</si>
  <si>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</si>
  <si>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</si>
  <si>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</si>
  <si>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</si>
  <si>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</si>
  <si>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</si>
  <si>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</si>
  <si>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</si>
  <si>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</si>
  <si>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</si>
  <si>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</si>
  <si>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</si>
  <si>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</si>
  <si>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</si>
  <si>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</si>
  <si>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</si>
  <si>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</si>
  <si>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</si>
  <si>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</si>
  <si>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</si>
  <si>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</si>
  <si>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</si>
  <si>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</si>
  <si>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</si>
  <si>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</si>
  <si>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</si>
  <si>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</si>
  <si>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</si>
  <si>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</si>
  <si>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</si>
  <si>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</si>
  <si>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</si>
  <si>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</si>
  <si>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</si>
  <si>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</si>
  <si>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</si>
  <si>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</si>
  <si>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</si>
  <si>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</si>
  <si>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</si>
  <si>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</si>
  <si>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</si>
  <si>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</si>
  <si>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</si>
  <si>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</si>
  <si>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</si>
  <si>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</si>
  <si>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</si>
  <si>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</si>
  <si>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</si>
  <si>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</si>
  <si>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</si>
  <si>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</si>
  <si>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</si>
  <si>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</si>
  <si>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</si>
  <si>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</si>
  <si>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</si>
  <si>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</si>
  <si>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</si>
  <si>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</si>
  <si>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</si>
  <si>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</si>
  <si>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</si>
  <si>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</si>
  <si>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</si>
  <si>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</si>
  <si>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</si>
  <si>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</si>
  <si>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</si>
  <si>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</si>
  <si>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Afregningsmålere, elektroniske ≤ Ø 110mm (Qn 10)</t>
  </si>
  <si>
    <t>Ø110 mm &lt; Ledningsnet ≤ Ø 250 mm</t>
  </si>
  <si>
    <t>Ø 50mm &lt; Ledningsnet ≤ Ø110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</si>
  <si>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</si>
  <si>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</si>
  <si>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</si>
  <si>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</si>
  <si>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</si>
  <si>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</si>
  <si>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</si>
  <si>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</si>
  <si>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 xml:space="preserve">Erstatninger 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</si>
  <si>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</si>
  <si>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</si>
  <si>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</si>
  <si>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</si>
  <si>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</si>
  <si>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</si>
  <si>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</si>
  <si>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</si>
  <si>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</si>
  <si>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</si>
  <si>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</si>
  <si>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</si>
  <si>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</si>
  <si>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</si>
  <si>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</si>
  <si>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</si>
  <si>
    <t>Korrektion af prisudvikling, generelt og individuelt effektiviseringskrav i prisloft 2016</t>
  </si>
  <si>
    <t>Prisudvikling i prisloft 2016</t>
  </si>
  <si>
    <t>Korrigeret prisudvikling i prisloft 2016</t>
  </si>
  <si>
    <t>Generelt effektiviseringskrav i prisloft 2016</t>
  </si>
  <si>
    <t>Korrigeret generelt effektiviseringskrav i prisloft 2016</t>
  </si>
  <si>
    <t>Individuelt effektiviseringskrav i prisloft 2016</t>
  </si>
  <si>
    <t>Korrigeret individuelt effektiviseringskrav i prisloft 2016</t>
  </si>
  <si>
    <t>Korrektion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</si>
</sst>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2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8" fillId="9" borderId="2" xfId="0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2" t="s">
        <v>40</v>
      </c>
      <c r="E9" s="102"/>
      <c r="F9" s="102" t="s">
        <v>83</v>
      </c>
      <c r="G9" s="102"/>
      <c r="H9" s="2"/>
    </row>
    <row r="10" spans="1:8" x14ac:dyDescent="0.25">
      <c r="A10" s="2"/>
      <c r="B10" s="23" t="s">
        <v>140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2" t="s">
        <v>115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"/>
    </row>
    <row r="4" spans="1:13" ht="15" customHeight="1" x14ac:dyDescent="0.25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2"/>
    </row>
    <row r="5" spans="1:13" x14ac:dyDescent="0.25">
      <c r="A5" s="2"/>
      <c r="B5" s="83" t="s">
        <v>104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4" t="s">
        <v>105</v>
      </c>
      <c r="C9" s="85"/>
      <c r="D9" s="86"/>
      <c r="E9" s="48">
        <v>3741399.0119326082</v>
      </c>
      <c r="F9" s="13" t="s">
        <v>4</v>
      </c>
      <c r="G9" s="48">
        <v>3746836.8543141535</v>
      </c>
      <c r="H9" s="13" t="s">
        <v>4</v>
      </c>
      <c r="I9" s="48">
        <v>3752585.1785156368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79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1324533.8643321593</v>
      </c>
      <c r="L10" s="8" t="s">
        <v>4</v>
      </c>
      <c r="M10" s="2"/>
    </row>
    <row r="11" spans="1:13" x14ac:dyDescent="0.25">
      <c r="A11" s="2"/>
      <c r="B11" s="44" t="s">
        <v>73</v>
      </c>
      <c r="C11" s="45"/>
      <c r="D11" s="46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2007755.2768137204</v>
      </c>
      <c r="L11" s="8" t="s">
        <v>4</v>
      </c>
      <c r="M11" s="2"/>
    </row>
    <row r="12" spans="1:13" x14ac:dyDescent="0.25">
      <c r="A12" s="2"/>
      <c r="B12" s="44" t="s">
        <v>90</v>
      </c>
      <c r="C12" s="45"/>
      <c r="D12" s="46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1593983.8984656918</v>
      </c>
      <c r="L12" s="8" t="s">
        <v>4</v>
      </c>
      <c r="M12" s="2"/>
    </row>
    <row r="13" spans="1:13" x14ac:dyDescent="0.25">
      <c r="A13" s="2"/>
      <c r="B13" s="44" t="s">
        <v>144</v>
      </c>
      <c r="C13" s="45"/>
      <c r="D13" s="46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-214328.2978548028</v>
      </c>
      <c r="L13" s="8" t="s">
        <v>4</v>
      </c>
      <c r="M13" s="2"/>
    </row>
    <row r="14" spans="1:13" x14ac:dyDescent="0.25">
      <c r="A14" s="2"/>
      <c r="B14" s="79" t="s">
        <v>107</v>
      </c>
      <c r="C14" s="80"/>
      <c r="D14" s="81"/>
      <c r="E14" s="42">
        <f>'Fane 4. Ikke-påvirkelige omk.'!G20</f>
        <v>-172960.24401149977</v>
      </c>
      <c r="F14" s="8" t="s">
        <v>4</v>
      </c>
      <c r="G14" s="9">
        <f>E14*(1+$E$25/100)</f>
        <v>-175987.04828170102</v>
      </c>
      <c r="H14" s="8" t="s">
        <v>4</v>
      </c>
      <c r="I14" s="9">
        <f>G14*(1+$E$25/100)</f>
        <v>-179066.82162663079</v>
      </c>
      <c r="J14" s="8" t="s">
        <v>4</v>
      </c>
      <c r="K14" s="51">
        <f>I14*(1+$E$25/100)</f>
        <v>-182200.49100509685</v>
      </c>
      <c r="L14" s="8" t="s">
        <v>4</v>
      </c>
      <c r="M14" s="2"/>
    </row>
    <row r="15" spans="1:13" x14ac:dyDescent="0.25">
      <c r="A15" s="2"/>
      <c r="B15" s="79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PL2016'!G35,'Fane 7. Korrektion af PL2016'!G45)</f>
        <v>-232381.33259999999</v>
      </c>
      <c r="L15" s="8" t="s">
        <v>4</v>
      </c>
      <c r="M15" s="2"/>
    </row>
    <row r="16" spans="1:13" x14ac:dyDescent="0.25">
      <c r="A16" s="2"/>
      <c r="B16" s="87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-711166</v>
      </c>
      <c r="L16" s="8" t="s">
        <v>4</v>
      </c>
      <c r="M16" s="2"/>
    </row>
    <row r="17" spans="1:13" x14ac:dyDescent="0.25">
      <c r="A17" s="2"/>
      <c r="B17" s="87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87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87" t="s">
        <v>47</v>
      </c>
      <c r="C19" s="80"/>
      <c r="D19" s="81"/>
      <c r="E19" s="42">
        <f>(E17+E14)*($E$25/100)</f>
        <v>-3026.8042702012463</v>
      </c>
      <c r="F19" s="8" t="s">
        <v>4</v>
      </c>
      <c r="G19" s="42">
        <f>(G17+G14)*($E$25/100)</f>
        <v>-3079.773344929768</v>
      </c>
      <c r="H19" s="8" t="s">
        <v>4</v>
      </c>
      <c r="I19" s="42">
        <f>(I17+I14)*($E$25/100)</f>
        <v>-3133.6693784660392</v>
      </c>
      <c r="J19" s="8" t="s">
        <v>4</v>
      </c>
      <c r="K19" s="42">
        <f>SUM(K10:K14,K17:K18)*($E$25/100)</f>
        <v>79270.52438815427</v>
      </c>
      <c r="L19" s="8" t="s">
        <v>4</v>
      </c>
      <c r="M19" s="2"/>
    </row>
    <row r="20" spans="1:13" x14ac:dyDescent="0.25">
      <c r="A20" s="2"/>
      <c r="B20" s="87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-53932.92768682741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3565411.9636509069</v>
      </c>
      <c r="F21" s="38" t="s">
        <v>4</v>
      </c>
      <c r="G21" s="49">
        <f>SUM(G9:G20)</f>
        <v>3567770.0326875229</v>
      </c>
      <c r="H21" s="38" t="s">
        <v>4</v>
      </c>
      <c r="I21" s="49">
        <f>SUM(I9:I20)</f>
        <v>3570384.6875105402</v>
      </c>
      <c r="J21" s="38" t="s">
        <v>4</v>
      </c>
      <c r="K21" s="52">
        <f>SUM(K9:K20)</f>
        <v>3611534.5148529988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87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26:D26"/>
    <mergeCell ref="B16:D16"/>
    <mergeCell ref="B17:D17"/>
    <mergeCell ref="B18:D18"/>
    <mergeCell ref="B19:D19"/>
    <mergeCell ref="B20:D20"/>
    <mergeCell ref="B15:D15"/>
    <mergeCell ref="B3:L4"/>
    <mergeCell ref="B5:L5"/>
    <mergeCell ref="B9:D9"/>
    <mergeCell ref="B10:D10"/>
    <mergeCell ref="B14:D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72</v>
      </c>
      <c r="C9" s="80"/>
      <c r="D9" s="80"/>
      <c r="E9" s="80"/>
      <c r="F9" s="81"/>
      <c r="G9" s="21">
        <v>1257360.4994839253</v>
      </c>
      <c r="H9" s="17" t="s">
        <v>4</v>
      </c>
      <c r="I9" s="2"/>
    </row>
    <row r="10" spans="1:9" x14ac:dyDescent="0.25">
      <c r="A10" s="2"/>
      <c r="B10" s="87" t="s">
        <v>73</v>
      </c>
      <c r="C10" s="80"/>
      <c r="D10" s="80"/>
      <c r="E10" s="80"/>
      <c r="F10" s="81"/>
      <c r="G10" s="21">
        <v>1905932.5289269562</v>
      </c>
      <c r="H10" s="17" t="s">
        <v>4</v>
      </c>
      <c r="I10" s="2"/>
    </row>
    <row r="11" spans="1:9" x14ac:dyDescent="0.25">
      <c r="A11" s="2"/>
      <c r="B11" s="87" t="s">
        <v>90</v>
      </c>
      <c r="C11" s="80"/>
      <c r="D11" s="80"/>
      <c r="E11" s="80"/>
      <c r="F11" s="81"/>
      <c r="G11" s="21">
        <v>1513145.45042206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4676438.4788329415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5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74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4" t="s">
        <v>77</v>
      </c>
      <c r="C9" s="85"/>
      <c r="D9" s="86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120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121</v>
      </c>
      <c r="C11" s="96"/>
      <c r="D11" s="96"/>
      <c r="E11" s="55">
        <v>0</v>
      </c>
      <c r="F11" s="17" t="s">
        <v>4</v>
      </c>
      <c r="G11" s="21">
        <v>0</v>
      </c>
      <c r="H11" s="17" t="s">
        <v>4</v>
      </c>
      <c r="I11" s="2"/>
    </row>
    <row r="12" spans="1:9" x14ac:dyDescent="0.25">
      <c r="A12" s="2"/>
      <c r="B12" s="95" t="s">
        <v>122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123</v>
      </c>
      <c r="C13" s="96"/>
      <c r="D13" s="96"/>
      <c r="E13" s="55">
        <v>32399.4126</v>
      </c>
      <c r="F13" s="17" t="s">
        <v>4</v>
      </c>
      <c r="G13" s="21">
        <v>4383</v>
      </c>
      <c r="H13" s="17" t="s">
        <v>4</v>
      </c>
      <c r="I13" s="2"/>
    </row>
    <row r="14" spans="1:9" x14ac:dyDescent="0.25">
      <c r="A14" s="2"/>
      <c r="B14" s="95" t="s">
        <v>124</v>
      </c>
      <c r="C14" s="96"/>
      <c r="D14" s="96"/>
      <c r="E14" s="55">
        <v>1461770.0851999999</v>
      </c>
      <c r="F14" s="17" t="s">
        <v>4</v>
      </c>
      <c r="G14" s="21">
        <v>1318721</v>
      </c>
      <c r="H14" s="17" t="s">
        <v>4</v>
      </c>
      <c r="I14" s="2"/>
    </row>
    <row r="15" spans="1:9" x14ac:dyDescent="0.25">
      <c r="A15" s="2"/>
      <c r="B15" s="95" t="s">
        <v>125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126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127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7" t="s">
        <v>128</v>
      </c>
      <c r="C18" s="98"/>
      <c r="D18" s="98"/>
      <c r="E18" s="55">
        <v>0</v>
      </c>
      <c r="F18" s="17" t="s">
        <v>4</v>
      </c>
      <c r="G18" s="21">
        <v>1080</v>
      </c>
      <c r="H18" s="17" t="s">
        <v>4</v>
      </c>
      <c r="I18" s="2"/>
    </row>
    <row r="19" spans="1:9" x14ac:dyDescent="0.25">
      <c r="A19" s="2"/>
      <c r="B19" s="91" t="s">
        <v>86</v>
      </c>
      <c r="C19" s="92"/>
      <c r="D19" s="92"/>
      <c r="E19" s="92"/>
      <c r="F19" s="93"/>
      <c r="G19" s="15">
        <f>SUM(G10:G18)-SUM(E10:E18)</f>
        <v>-169985.49779999978</v>
      </c>
      <c r="H19" s="16" t="s">
        <v>4</v>
      </c>
      <c r="I19" s="2"/>
    </row>
    <row r="20" spans="1:9" x14ac:dyDescent="0.25">
      <c r="A20" s="2"/>
      <c r="B20" s="91" t="s">
        <v>87</v>
      </c>
      <c r="C20" s="92"/>
      <c r="D20" s="92"/>
      <c r="E20" s="92"/>
      <c r="F20" s="93"/>
      <c r="G20" s="15">
        <f>G19*(1+'Fane 2. Overblik ØR18-21'!E25/100)</f>
        <v>-172960.24401149977</v>
      </c>
      <c r="H20" s="16" t="s">
        <v>4</v>
      </c>
      <c r="I20" s="2"/>
    </row>
    <row r="21" spans="1:9" x14ac:dyDescent="0.25">
      <c r="A21" s="2"/>
      <c r="B21" s="19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18"/>
      <c r="C22" s="18"/>
      <c r="D22" s="18"/>
      <c r="E22" s="18"/>
      <c r="F22" s="18"/>
      <c r="G22" s="18"/>
      <c r="H22" s="18"/>
      <c r="I22" s="2"/>
    </row>
    <row r="23" spans="1:9" x14ac:dyDescent="0.25">
      <c r="A23" s="2"/>
      <c r="B23" s="2"/>
      <c r="C23" s="2"/>
      <c r="D23" s="2"/>
      <c r="E23" s="2"/>
      <c r="F23" s="2"/>
      <c r="G23" s="18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</sheetData>
  <sheetProtection password="DFE9" sheet="1" objects="1" scenarios="1"/>
  <mergeCells count="14">
    <mergeCell ref="B20:F20"/>
    <mergeCell ref="B3:H4"/>
    <mergeCell ref="B8:H8"/>
    <mergeCell ref="B19:F19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  <mergeCell ref="B18:D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98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36</v>
      </c>
      <c r="C9" s="80"/>
      <c r="D9" s="80"/>
      <c r="E9" s="80"/>
      <c r="F9" s="81"/>
      <c r="G9" s="21">
        <v>-6417440</v>
      </c>
      <c r="H9" s="17" t="s">
        <v>4</v>
      </c>
      <c r="I9" s="2"/>
    </row>
    <row r="10" spans="1:9" x14ac:dyDescent="0.25">
      <c r="A10" s="2"/>
      <c r="B10" s="87" t="s">
        <v>81</v>
      </c>
      <c r="C10" s="80"/>
      <c r="D10" s="80"/>
      <c r="E10" s="80"/>
      <c r="F10" s="81"/>
      <c r="G10" s="21">
        <v>-4520421.1349206343</v>
      </c>
      <c r="H10" s="17" t="s">
        <v>4</v>
      </c>
      <c r="I10" s="2"/>
    </row>
    <row r="11" spans="1:9" x14ac:dyDescent="0.25">
      <c r="A11" s="2"/>
      <c r="B11" s="99" t="s">
        <v>39</v>
      </c>
      <c r="C11" s="100"/>
      <c r="D11" s="100"/>
      <c r="E11" s="100"/>
      <c r="F11" s="101"/>
      <c r="G11" s="56">
        <f>G9-G10</f>
        <v>-1897018.8650793657</v>
      </c>
      <c r="H11" s="26" t="s">
        <v>4</v>
      </c>
      <c r="I11" s="2"/>
    </row>
    <row r="12" spans="1:9" x14ac:dyDescent="0.25">
      <c r="A12" s="2"/>
      <c r="B12" s="87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-632339.62169312185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7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99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2" t="s">
        <v>3</v>
      </c>
      <c r="G9" s="102"/>
      <c r="H9" s="2"/>
    </row>
    <row r="10" spans="1:8" ht="26.25" x14ac:dyDescent="0.25">
      <c r="A10" s="2"/>
      <c r="B10" s="43" t="s">
        <v>117</v>
      </c>
      <c r="C10" s="28">
        <v>2016</v>
      </c>
      <c r="D10" s="22">
        <v>10</v>
      </c>
      <c r="E10" s="21">
        <v>304146</v>
      </c>
      <c r="F10" s="9">
        <f>E10/D10</f>
        <v>30414.6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75</v>
      </c>
      <c r="E11" s="21">
        <v>126024</v>
      </c>
      <c r="F11" s="9">
        <f t="shared" ref="F11:F12" si="0">E11/D11</f>
        <v>1680.32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50</v>
      </c>
      <c r="E12" s="21">
        <v>67065</v>
      </c>
      <c r="F12" s="9">
        <f t="shared" si="0"/>
        <v>1341.3</v>
      </c>
      <c r="G12" s="17" t="s">
        <v>4</v>
      </c>
      <c r="H12" s="2"/>
    </row>
    <row r="13" spans="1:8" x14ac:dyDescent="0.25">
      <c r="A13" s="2"/>
      <c r="B13" s="91" t="s">
        <v>52</v>
      </c>
      <c r="C13" s="92"/>
      <c r="D13" s="92"/>
      <c r="E13" s="93"/>
      <c r="F13" s="15">
        <f>SUM(F10:F12)</f>
        <v>33436.22</v>
      </c>
      <c r="G13" s="16" t="s">
        <v>4</v>
      </c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</sheetData>
  <sheetProtection password="DFE9" sheet="1" objects="1" scenarios="1"/>
  <mergeCells count="4">
    <mergeCell ref="B13:E13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135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87" t="s">
        <v>53</v>
      </c>
      <c r="C9" s="80"/>
      <c r="D9" s="80"/>
      <c r="E9" s="80"/>
      <c r="F9" s="81"/>
      <c r="G9" s="21">
        <v>1332445</v>
      </c>
      <c r="H9" s="17" t="s">
        <v>4</v>
      </c>
      <c r="I9" s="2"/>
    </row>
    <row r="10" spans="1:9" x14ac:dyDescent="0.25">
      <c r="A10" s="2"/>
      <c r="B10" s="87" t="s">
        <v>54</v>
      </c>
      <c r="C10" s="80"/>
      <c r="D10" s="80"/>
      <c r="E10" s="80"/>
      <c r="F10" s="81"/>
      <c r="G10" s="21">
        <v>1526200</v>
      </c>
      <c r="H10" s="17" t="s">
        <v>4</v>
      </c>
      <c r="I10" s="2"/>
    </row>
    <row r="11" spans="1:9" x14ac:dyDescent="0.25">
      <c r="A11" s="2"/>
      <c r="B11" s="91" t="s">
        <v>136</v>
      </c>
      <c r="C11" s="92"/>
      <c r="D11" s="92"/>
      <c r="E11" s="92"/>
      <c r="F11" s="93"/>
      <c r="G11" s="15">
        <f>G9-G10</f>
        <v>-193755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137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87" t="s">
        <v>55</v>
      </c>
      <c r="C15" s="80"/>
      <c r="D15" s="80"/>
      <c r="E15" s="80"/>
      <c r="F15" s="81"/>
      <c r="G15" s="21">
        <v>-45386</v>
      </c>
      <c r="H15" s="17" t="s">
        <v>4</v>
      </c>
      <c r="I15" s="2"/>
    </row>
    <row r="16" spans="1:9" x14ac:dyDescent="0.25">
      <c r="A16" s="2"/>
      <c r="B16" s="87" t="s">
        <v>56</v>
      </c>
      <c r="C16" s="80"/>
      <c r="D16" s="80"/>
      <c r="E16" s="80"/>
      <c r="F16" s="81"/>
      <c r="G16" s="21">
        <v>-40000</v>
      </c>
      <c r="H16" s="17" t="s">
        <v>4</v>
      </c>
      <c r="I16" s="2"/>
    </row>
    <row r="17" spans="1:9" x14ac:dyDescent="0.25">
      <c r="A17" s="2"/>
      <c r="B17" s="91" t="s">
        <v>137</v>
      </c>
      <c r="C17" s="92"/>
      <c r="D17" s="92"/>
      <c r="E17" s="92"/>
      <c r="F17" s="93"/>
      <c r="G17" s="15">
        <f>G15-G16</f>
        <v>-5386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138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87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87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138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139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3" t="s">
        <v>59</v>
      </c>
      <c r="C27" s="104"/>
      <c r="D27" s="104"/>
      <c r="E27" s="104"/>
      <c r="F27" s="105"/>
      <c r="G27" s="21">
        <v>0</v>
      </c>
      <c r="H27" s="17" t="s">
        <v>4</v>
      </c>
      <c r="I27" s="2"/>
    </row>
    <row r="28" spans="1:9" x14ac:dyDescent="0.25">
      <c r="A28" s="2"/>
      <c r="B28" s="87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139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87" t="s">
        <v>62</v>
      </c>
      <c r="C33" s="80"/>
      <c r="D33" s="80"/>
      <c r="E33" s="80"/>
      <c r="F33" s="81"/>
      <c r="G33" s="9">
        <f>'Fane 6. Gen. inv. i 2016'!F13</f>
        <v>33436.22</v>
      </c>
      <c r="H33" s="17" t="s">
        <v>4</v>
      </c>
      <c r="I33" s="2"/>
    </row>
    <row r="34" spans="1:9" x14ac:dyDescent="0.25">
      <c r="A34" s="2"/>
      <c r="B34" s="87" t="s">
        <v>63</v>
      </c>
      <c r="C34" s="80"/>
      <c r="D34" s="80"/>
      <c r="E34" s="80"/>
      <c r="F34" s="81"/>
      <c r="G34" s="21">
        <v>43500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-10063.779999999999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88" t="s">
        <v>145</v>
      </c>
      <c r="C38" s="89"/>
      <c r="D38" s="89"/>
      <c r="E38" s="89"/>
      <c r="F38" s="89"/>
      <c r="G38" s="89"/>
      <c r="H38" s="90"/>
      <c r="I38" s="2"/>
    </row>
    <row r="39" spans="1:9" x14ac:dyDescent="0.25">
      <c r="A39" s="2"/>
      <c r="B39" s="87" t="s">
        <v>146</v>
      </c>
      <c r="C39" s="80"/>
      <c r="D39" s="80"/>
      <c r="E39" s="80"/>
      <c r="F39" s="81"/>
      <c r="G39" s="21">
        <v>18492</v>
      </c>
      <c r="H39" s="17" t="s">
        <v>4</v>
      </c>
      <c r="I39" s="2"/>
    </row>
    <row r="40" spans="1:9" x14ac:dyDescent="0.25">
      <c r="A40" s="2"/>
      <c r="B40" s="87" t="s">
        <v>147</v>
      </c>
      <c r="C40" s="80"/>
      <c r="D40" s="80"/>
      <c r="E40" s="80"/>
      <c r="F40" s="81"/>
      <c r="G40" s="21">
        <v>-4684.5526</v>
      </c>
      <c r="H40" s="17" t="s">
        <v>4</v>
      </c>
      <c r="I40" s="2"/>
    </row>
    <row r="41" spans="1:9" x14ac:dyDescent="0.25">
      <c r="A41" s="2"/>
      <c r="B41" s="87" t="s">
        <v>148</v>
      </c>
      <c r="C41" s="80"/>
      <c r="D41" s="80"/>
      <c r="E41" s="80"/>
      <c r="F41" s="81"/>
      <c r="G41" s="21">
        <v>0</v>
      </c>
      <c r="H41" s="17" t="s">
        <v>4</v>
      </c>
      <c r="I41" s="2"/>
    </row>
    <row r="42" spans="1:9" x14ac:dyDescent="0.25">
      <c r="A42" s="2"/>
      <c r="B42" s="87" t="s">
        <v>149</v>
      </c>
      <c r="C42" s="80"/>
      <c r="D42" s="80"/>
      <c r="E42" s="80"/>
      <c r="F42" s="81"/>
      <c r="G42" s="21">
        <v>0</v>
      </c>
      <c r="H42" s="17" t="s">
        <v>4</v>
      </c>
      <c r="I42" s="2"/>
    </row>
    <row r="43" spans="1:9" x14ac:dyDescent="0.25">
      <c r="A43" s="2"/>
      <c r="B43" s="87" t="s">
        <v>150</v>
      </c>
      <c r="C43" s="80"/>
      <c r="D43" s="80"/>
      <c r="E43" s="80"/>
      <c r="F43" s="81"/>
      <c r="G43" s="21">
        <v>0</v>
      </c>
      <c r="H43" s="17" t="s">
        <v>4</v>
      </c>
      <c r="I43" s="2"/>
    </row>
    <row r="44" spans="1:9" x14ac:dyDescent="0.25">
      <c r="A44" s="2"/>
      <c r="B44" s="87" t="s">
        <v>151</v>
      </c>
      <c r="C44" s="80"/>
      <c r="D44" s="80"/>
      <c r="E44" s="80"/>
      <c r="F44" s="81"/>
      <c r="G44" s="21">
        <v>0</v>
      </c>
      <c r="H44" s="17" t="s">
        <v>4</v>
      </c>
      <c r="I44" s="2"/>
    </row>
    <row r="45" spans="1:9" x14ac:dyDescent="0.25">
      <c r="A45" s="2"/>
      <c r="B45" s="91" t="s">
        <v>152</v>
      </c>
      <c r="C45" s="92"/>
      <c r="D45" s="92"/>
      <c r="E45" s="92"/>
      <c r="F45" s="93"/>
      <c r="G45" s="15">
        <f>G40-G39+G42-G41+G44-G43</f>
        <v>-23176.552599999999</v>
      </c>
      <c r="H45" s="16" t="s">
        <v>4</v>
      </c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</sheetData>
  <sheetProtection password="DFE9" sheet="1" objects="1" scenarios="1"/>
  <mergeCells count="29">
    <mergeCell ref="B43:F43"/>
    <mergeCell ref="B44:F44"/>
    <mergeCell ref="B45:F45"/>
    <mergeCell ref="B38:H38"/>
    <mergeCell ref="B39:F39"/>
    <mergeCell ref="B40:F40"/>
    <mergeCell ref="B41:F41"/>
    <mergeCell ref="B42:F42"/>
    <mergeCell ref="B3:H4"/>
    <mergeCell ref="B8:H8"/>
    <mergeCell ref="B11:F11"/>
    <mergeCell ref="B10:F10"/>
    <mergeCell ref="B9:F9"/>
    <mergeCell ref="B14:H14"/>
    <mergeCell ref="B15:F15"/>
    <mergeCell ref="B16:F16"/>
    <mergeCell ref="B17:F17"/>
    <mergeCell ref="B20:H20"/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topLeftCell="A7" zoomScaleNormal="100" workbookViewId="0">
      <selection activeCell="G9" sqref="G9"/>
    </sheetView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6" t="s">
        <v>65</v>
      </c>
      <c r="C9" s="107"/>
      <c r="D9" s="107"/>
      <c r="E9" s="107"/>
      <c r="F9" s="108"/>
      <c r="G9" s="20">
        <v>3713418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87" t="s">
        <v>16</v>
      </c>
      <c r="C11" s="80"/>
      <c r="D11" s="81"/>
      <c r="E11" s="21">
        <v>1409851</v>
      </c>
      <c r="F11" s="17" t="s">
        <v>4</v>
      </c>
      <c r="G11" s="14"/>
      <c r="H11" s="29"/>
      <c r="I11" s="2"/>
    </row>
    <row r="12" spans="1:9" x14ac:dyDescent="0.25">
      <c r="A12" s="2"/>
      <c r="B12" s="87" t="s">
        <v>67</v>
      </c>
      <c r="C12" s="80"/>
      <c r="D12" s="81"/>
      <c r="E12" s="21">
        <v>111437</v>
      </c>
      <c r="F12" s="17" t="s">
        <v>4</v>
      </c>
      <c r="G12" s="10"/>
      <c r="H12" s="30"/>
      <c r="I12" s="2"/>
    </row>
    <row r="13" spans="1:9" x14ac:dyDescent="0.25">
      <c r="A13" s="2"/>
      <c r="B13" s="87" t="s">
        <v>68</v>
      </c>
      <c r="C13" s="80"/>
      <c r="D13" s="81"/>
      <c r="E13" s="21">
        <v>0</v>
      </c>
      <c r="F13" s="17" t="s">
        <v>4</v>
      </c>
      <c r="G13" s="10"/>
      <c r="H13" s="30"/>
      <c r="I13" s="2"/>
    </row>
    <row r="14" spans="1:9" x14ac:dyDescent="0.25">
      <c r="A14" s="2"/>
      <c r="B14" s="87" t="s">
        <v>69</v>
      </c>
      <c r="C14" s="80"/>
      <c r="D14" s="81"/>
      <c r="E14" s="21">
        <v>87000</v>
      </c>
      <c r="F14" s="17" t="s">
        <v>4</v>
      </c>
      <c r="G14" s="10"/>
      <c r="H14" s="30"/>
      <c r="I14" s="2"/>
    </row>
    <row r="15" spans="1:9" x14ac:dyDescent="0.25">
      <c r="A15" s="2"/>
      <c r="B15" s="106" t="s">
        <v>17</v>
      </c>
      <c r="C15" s="107"/>
      <c r="D15" s="108"/>
      <c r="E15" s="12">
        <f>SUM(E11:E14)</f>
        <v>1608288</v>
      </c>
      <c r="F15" s="25" t="s">
        <v>4</v>
      </c>
      <c r="G15" s="10"/>
      <c r="H15" s="30"/>
      <c r="I15" s="2"/>
    </row>
    <row r="16" spans="1:9" x14ac:dyDescent="0.25">
      <c r="A16" s="2"/>
      <c r="B16" s="87" t="s">
        <v>18</v>
      </c>
      <c r="C16" s="80"/>
      <c r="D16" s="81"/>
      <c r="E16" s="21">
        <v>100367</v>
      </c>
      <c r="F16" s="17" t="s">
        <v>4</v>
      </c>
      <c r="G16" s="10"/>
      <c r="H16" s="30"/>
      <c r="I16" s="2"/>
    </row>
    <row r="17" spans="1:9" x14ac:dyDescent="0.25">
      <c r="A17" s="2"/>
      <c r="B17" s="87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87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6" t="s">
        <v>21</v>
      </c>
      <c r="C19" s="107"/>
      <c r="D19" s="108"/>
      <c r="E19" s="12">
        <f>SUM(E16:E18)</f>
        <v>100367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3" t="s">
        <v>22</v>
      </c>
      <c r="C20" s="104"/>
      <c r="D20" s="105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3" t="s">
        <v>23</v>
      </c>
      <c r="C21" s="104"/>
      <c r="D21" s="105"/>
      <c r="E21" s="21">
        <v>-497235</v>
      </c>
      <c r="F21" s="17" t="s">
        <v>4</v>
      </c>
      <c r="G21" s="10"/>
      <c r="H21" s="30"/>
      <c r="I21" s="2"/>
    </row>
    <row r="22" spans="1:9" x14ac:dyDescent="0.25">
      <c r="A22" s="2"/>
      <c r="B22" s="87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87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3" t="s">
        <v>26</v>
      </c>
      <c r="C24" s="104"/>
      <c r="D24" s="105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3" t="s">
        <v>27</v>
      </c>
      <c r="C25" s="104"/>
      <c r="D25" s="105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3" t="s">
        <v>28</v>
      </c>
      <c r="C26" s="104"/>
      <c r="D26" s="105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6" t="s">
        <v>29</v>
      </c>
      <c r="C27" s="107"/>
      <c r="D27" s="108"/>
      <c r="E27" s="12">
        <f>SUM(E20:E26)</f>
        <v>-497235</v>
      </c>
      <c r="F27" s="25" t="s">
        <v>4</v>
      </c>
      <c r="G27" s="11"/>
      <c r="H27" s="31"/>
      <c r="I27" s="2"/>
    </row>
    <row r="28" spans="1:9" x14ac:dyDescent="0.25">
      <c r="A28" s="2"/>
      <c r="B28" s="106" t="s">
        <v>30</v>
      </c>
      <c r="C28" s="107"/>
      <c r="D28" s="108"/>
      <c r="E28" s="12">
        <f>E15+E19+E27</f>
        <v>1211420</v>
      </c>
      <c r="F28" s="25" t="s">
        <v>4</v>
      </c>
      <c r="G28" s="1">
        <f>IF(E28&lt;0,0,-E28)</f>
        <v>-1211420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6" t="s">
        <v>70</v>
      </c>
      <c r="C30" s="107"/>
      <c r="D30" s="108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9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3" t="s">
        <v>45</v>
      </c>
      <c r="C32" s="104"/>
      <c r="D32" s="105"/>
      <c r="E32" s="21">
        <v>3189766</v>
      </c>
      <c r="F32" s="17" t="s">
        <v>4</v>
      </c>
      <c r="G32" s="14"/>
      <c r="H32" s="29"/>
      <c r="I32" s="2"/>
    </row>
    <row r="33" spans="1:9" x14ac:dyDescent="0.25">
      <c r="A33" s="2"/>
      <c r="B33" s="87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3" t="s">
        <v>32</v>
      </c>
      <c r="C34" s="104"/>
      <c r="D34" s="105"/>
      <c r="E34" s="21">
        <v>23398</v>
      </c>
      <c r="F34" s="17" t="s">
        <v>4</v>
      </c>
      <c r="G34" s="11"/>
      <c r="H34" s="31"/>
      <c r="I34" s="2"/>
    </row>
    <row r="35" spans="1:9" x14ac:dyDescent="0.25">
      <c r="A35" s="2"/>
      <c r="B35" s="106" t="s">
        <v>33</v>
      </c>
      <c r="C35" s="107"/>
      <c r="D35" s="108"/>
      <c r="E35" s="12">
        <f>SUM(E32:E34)</f>
        <v>3213164</v>
      </c>
      <c r="F35" s="25" t="s">
        <v>4</v>
      </c>
      <c r="G35" s="12">
        <f>-E35</f>
        <v>-3213164</v>
      </c>
      <c r="H35" s="25" t="s">
        <v>4</v>
      </c>
      <c r="I35" s="2"/>
    </row>
    <row r="36" spans="1:9" x14ac:dyDescent="0.25">
      <c r="A36" s="2"/>
      <c r="B36" s="91" t="s">
        <v>134</v>
      </c>
      <c r="C36" s="92"/>
      <c r="D36" s="92"/>
      <c r="E36" s="92"/>
      <c r="F36" s="93"/>
      <c r="G36" s="15">
        <f>$G$9+$G$28+$G$30+$G$35</f>
        <v>-711166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102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132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4" t="s">
        <v>78</v>
      </c>
      <c r="C9" s="86"/>
      <c r="D9" s="102" t="s">
        <v>40</v>
      </c>
      <c r="E9" s="102"/>
      <c r="F9" s="102" t="s">
        <v>83</v>
      </c>
      <c r="G9" s="102"/>
      <c r="H9" s="2"/>
    </row>
    <row r="10" spans="1:8" x14ac:dyDescent="0.25">
      <c r="A10" s="2"/>
      <c r="B10" s="110" t="s">
        <v>133</v>
      </c>
      <c r="C10" s="111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142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4" t="s">
        <v>143</v>
      </c>
      <c r="C16" s="85"/>
      <c r="D16" s="85"/>
      <c r="E16" s="86"/>
      <c r="F16" s="102" t="s">
        <v>129</v>
      </c>
      <c r="G16" s="102"/>
      <c r="H16" s="2"/>
    </row>
    <row r="17" spans="1:8" x14ac:dyDescent="0.25">
      <c r="A17" s="2"/>
      <c r="B17" s="87" t="s">
        <v>141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130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131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2017-09-25T07:18:06Z</dcterms:modified>
</cp:coreProperties>
</file>