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G11" i="10" l="1"/>
  <c r="K12" i="22"/>
  <c r="K11" i="22"/>
  <c r="K10" i="22"/>
  <c r="F18" i="20"/>
  <c r="F19" i="20" s="1"/>
  <c r="F11" i="21" l="1"/>
  <c r="F12" i="21" s="1"/>
  <c r="D11" i="21"/>
  <c r="D12" i="21" l="1"/>
  <c r="K18" i="22" s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I14" i="22" l="1"/>
  <c r="G19" i="22"/>
  <c r="G21" i="22"/>
  <c r="G30" i="13"/>
  <c r="K14" i="22" l="1"/>
  <c r="K19" i="22" s="1"/>
  <c r="I19" i="22"/>
  <c r="I21" i="22" s="1"/>
  <c r="E35" i="13"/>
  <c r="G35" i="13" s="1"/>
  <c r="E27" i="13"/>
  <c r="E19" i="13"/>
  <c r="G11" i="12"/>
  <c r="G29" i="12"/>
  <c r="G23" i="12"/>
  <c r="G17" i="12"/>
  <c r="F11" i="1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<sst xmlns="http://schemas.openxmlformats.org/spreadsheetml/2006/main" count="315" uniqueCount="142">
  <si>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</si>
  <si>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</si>
  <si>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</si>
  <si>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</si>
  <si>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</si>
  <si>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</si>
  <si>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</si>
  <si>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</si>
  <si>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</si>
  <si>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</si>
  <si>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</si>
  <si>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</si>
  <si>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</si>
  <si>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</si>
  <si>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</si>
  <si>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</si>
  <si>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</si>
  <si>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</si>
  <si>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</si>
  <si>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</si>
  <si>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</si>
  <si>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</si>
  <si>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</si>
  <si>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</si>
  <si>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</si>
  <si>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</si>
  <si>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</si>
  <si>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</si>
  <si>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</si>
  <si>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</si>
  <si>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</si>
  <si>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</si>
  <si>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</si>
  <si>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</si>
  <si>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</si>
  <si>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</si>
  <si>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</si>
  <si>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</si>
  <si>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</si>
  <si>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</si>
  <si>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</si>
  <si>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</si>
  <si>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</si>
  <si>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</si>
  <si>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</si>
  <si>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</si>
  <si>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</si>
  <si>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</si>
  <si>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</si>
  <si>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</si>
  <si>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</si>
  <si>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</si>
  <si>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</si>
  <si>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</si>
  <si>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</si>
  <si>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</si>
  <si>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</si>
  <si>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</si>
  <si>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</si>
  <si>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</si>
  <si>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</si>
  <si>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</si>
  <si>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</si>
  <si>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</si>
  <si>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</si>
  <si>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</si>
  <si>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</si>
  <si>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</si>
  <si>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</si>
  <si>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</si>
  <si>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</si>
  <si>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</si>
  <si>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</si>
  <si>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</si>
  <si>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</si>
  <si>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</si>
  <si>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</si>
  <si>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</si>
  <si>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</si>
  <si>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</si>
  <si>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</si>
  <si>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</si>
  <si>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</si>
  <si>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</si>
  <si>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</si>
  <si>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</si>
  <si>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</si>
  <si>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</si>
  <si>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</si>
  <si>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</si>
  <si>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</si>
  <si>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</si>
  <si>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</si>
  <si>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</si>
  <si>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</si>
  <si>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</si>
  <si>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</si>
  <si>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</si>
  <si>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</si>
  <si>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</si>
  <si>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</si>
  <si>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</si>
  <si>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</si>
  <si>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</si>
  <si>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</si>
  <si>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</si>
  <si>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</si>
  <si>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</si>
  <si>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</si>
  <si>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</si>
  <si>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</si>
  <si>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</si>
  <si>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</si>
  <si>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</si>
  <si>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</si>
  <si>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</si>
  <si>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</si>
  <si>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Ingen gennemførte investeringer i 2016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</si>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</sst>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3" t="s">
        <v>80</v>
      </c>
      <c r="C9" s="34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4" t="s">
        <v>137</v>
      </c>
      <c r="C10" s="25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8"/>
      <c r="C8" s="39"/>
      <c r="D8" s="39"/>
      <c r="E8" s="39">
        <v>2018</v>
      </c>
      <c r="F8" s="40"/>
      <c r="G8" s="39">
        <v>2019</v>
      </c>
      <c r="H8" s="39"/>
      <c r="I8" s="39">
        <v>2020</v>
      </c>
      <c r="J8" s="39"/>
      <c r="K8" s="39">
        <v>2021</v>
      </c>
      <c r="L8" s="40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3016083.0173153081</v>
      </c>
      <c r="F9" s="13" t="s">
        <v>4</v>
      </c>
      <c r="G9" s="48">
        <v>3026998.8008036371</v>
      </c>
      <c r="H9" s="13" t="s">
        <v>4</v>
      </c>
      <c r="I9" s="48">
        <v>3038185.7987837126</v>
      </c>
      <c r="J9" s="13" t="s">
        <v>4</v>
      </c>
      <c r="K9" s="57" t="s">
        <v>106</v>
      </c>
      <c r="L9" s="41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2" t="s">
        <v>106</v>
      </c>
      <c r="F10" s="8" t="s">
        <v>4</v>
      </c>
      <c r="G10" s="42" t="s">
        <v>106</v>
      </c>
      <c r="H10" s="8" t="s">
        <v>4</v>
      </c>
      <c r="I10" s="42" t="s">
        <v>106</v>
      </c>
      <c r="J10" s="8" t="s">
        <v>4</v>
      </c>
      <c r="K10" s="43">
        <f>'Fane 3. Korrigeret grundlag'!G9*(1+E25/100)^3</f>
        <v>669788.76550650841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2" t="s">
        <v>106</v>
      </c>
      <c r="F11" s="8" t="s">
        <v>4</v>
      </c>
      <c r="G11" s="42" t="s">
        <v>106</v>
      </c>
      <c r="H11" s="8" t="s">
        <v>4</v>
      </c>
      <c r="I11" s="42" t="s">
        <v>106</v>
      </c>
      <c r="J11" s="8" t="s">
        <v>4</v>
      </c>
      <c r="K11" s="43">
        <f>'Fane 3. Korrigeret grundlag'!G10*(1+E25/100)^3</f>
        <v>1166041.8432022685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2" t="s">
        <v>106</v>
      </c>
      <c r="F12" s="8" t="s">
        <v>4</v>
      </c>
      <c r="G12" s="42" t="s">
        <v>106</v>
      </c>
      <c r="H12" s="8" t="s">
        <v>4</v>
      </c>
      <c r="I12" s="42" t="s">
        <v>106</v>
      </c>
      <c r="J12" s="8" t="s">
        <v>4</v>
      </c>
      <c r="K12" s="43">
        <f>'Fane 3. Korrigeret grundlag'!G11*(1+E25/100)^3</f>
        <v>1524857.4063015752</v>
      </c>
      <c r="L12" s="8" t="s">
        <v>4</v>
      </c>
      <c r="M12" s="2"/>
    </row>
    <row r="13" spans="1:13" x14ac:dyDescent="0.25">
      <c r="A13" s="2"/>
      <c r="B13" s="44" t="s">
        <v>141</v>
      </c>
      <c r="C13" s="45"/>
      <c r="D13" s="46"/>
      <c r="E13" s="42" t="s">
        <v>106</v>
      </c>
      <c r="F13" s="8" t="s">
        <v>4</v>
      </c>
      <c r="G13" s="42" t="s">
        <v>106</v>
      </c>
      <c r="H13" s="8" t="s">
        <v>4</v>
      </c>
      <c r="I13" s="42" t="s">
        <v>106</v>
      </c>
      <c r="J13" s="8" t="s">
        <v>4</v>
      </c>
      <c r="K13" s="43">
        <v>-117705.11194709761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3">
        <f>'Fane 4. Ikke-påvirkelige omk.'!G19</f>
        <v>37807.584495999901</v>
      </c>
      <c r="F14" s="8" t="s">
        <v>4</v>
      </c>
      <c r="G14" s="9">
        <f>E14*(1+$E$25/100)</f>
        <v>38469.217224679902</v>
      </c>
      <c r="H14" s="8" t="s">
        <v>4</v>
      </c>
      <c r="I14" s="9">
        <f>G14*(1+$E$25/100)</f>
        <v>39142.428526111806</v>
      </c>
      <c r="J14" s="8" t="s">
        <v>4</v>
      </c>
      <c r="K14" s="51">
        <f>I14*(1+$E$25/100)</f>
        <v>39827.421025318763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2" t="s">
        <v>106</v>
      </c>
      <c r="F15" s="8" t="s">
        <v>4</v>
      </c>
      <c r="G15" s="42" t="s">
        <v>106</v>
      </c>
      <c r="H15" s="8" t="s">
        <v>4</v>
      </c>
      <c r="I15" s="42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566334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2" t="s">
        <v>106</v>
      </c>
      <c r="F16" s="8" t="s">
        <v>4</v>
      </c>
      <c r="G16" s="42" t="s">
        <v>106</v>
      </c>
      <c r="H16" s="8" t="s">
        <v>4</v>
      </c>
      <c r="I16" s="42" t="s">
        <v>106</v>
      </c>
      <c r="J16" s="8" t="s">
        <v>4</v>
      </c>
      <c r="K16" s="51">
        <f>'Fane 8. Kontrol af PL2016'!G36</f>
        <v>-1020716.571673861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2" t="s">
        <v>106</v>
      </c>
      <c r="F18" s="8" t="s">
        <v>4</v>
      </c>
      <c r="G18" s="42" t="s">
        <v>106</v>
      </c>
      <c r="H18" s="8" t="s">
        <v>4</v>
      </c>
      <c r="I18" s="42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3">
        <f>(E17+E14)*($E$25/100)</f>
        <v>661.63272867999831</v>
      </c>
      <c r="F19" s="8" t="s">
        <v>4</v>
      </c>
      <c r="G19" s="43">
        <f>(G17+G14)*($E$25/100)</f>
        <v>673.21130143189839</v>
      </c>
      <c r="H19" s="8" t="s">
        <v>4</v>
      </c>
      <c r="I19" s="43">
        <f>(I17+I14)*($E$25/100)</f>
        <v>684.99249920695661</v>
      </c>
      <c r="J19" s="8" t="s">
        <v>4</v>
      </c>
      <c r="K19" s="43">
        <f>SUM(K10:K14,K17:K18)*($E$25/100)</f>
        <v>57449.180671550035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3">
        <f>-E17*(1+$E$25/100)*($E$26/100)</f>
        <v>0</v>
      </c>
      <c r="F20" s="8" t="s">
        <v>4</v>
      </c>
      <c r="G20" s="43">
        <f>-G17*(1+$E$25/100)*($E$26/100)</f>
        <v>0</v>
      </c>
      <c r="H20" s="8" t="s">
        <v>4</v>
      </c>
      <c r="I20" s="43">
        <f>-I17*(1+$E$25/100)*($E$26/100)</f>
        <v>0</v>
      </c>
      <c r="J20" s="8" t="s">
        <v>4</v>
      </c>
      <c r="K20" s="43">
        <f>-SUM(K10:K11,K13,K17:K18)*(1+$E$25/100)*($E$26/100)</f>
        <v>-29719.275780235155</v>
      </c>
      <c r="L20" s="8" t="s">
        <v>4</v>
      </c>
      <c r="M20" s="2"/>
    </row>
    <row r="21" spans="1:13" x14ac:dyDescent="0.25">
      <c r="A21" s="2"/>
      <c r="B21" s="38" t="s">
        <v>110</v>
      </c>
      <c r="C21" s="39"/>
      <c r="D21" s="39"/>
      <c r="E21" s="49">
        <f>SUM(E9:E20)</f>
        <v>3054552.234539988</v>
      </c>
      <c r="F21" s="39" t="s">
        <v>4</v>
      </c>
      <c r="G21" s="49">
        <f>SUM(G9:G20)</f>
        <v>3066141.229329749</v>
      </c>
      <c r="H21" s="39" t="s">
        <v>4</v>
      </c>
      <c r="I21" s="49">
        <f>SUM(I9:I20)</f>
        <v>3078013.2198090316</v>
      </c>
      <c r="J21" s="39" t="s">
        <v>4</v>
      </c>
      <c r="K21" s="52">
        <f>SUM(K9:K20)</f>
        <v>2856157.6573060267</v>
      </c>
      <c r="L21" s="40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8" t="s">
        <v>111</v>
      </c>
      <c r="C24" s="39"/>
      <c r="D24" s="39"/>
      <c r="E24" s="39"/>
      <c r="F24" s="39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7" t="s">
        <v>112</v>
      </c>
      <c r="C25" s="35"/>
      <c r="D25" s="36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9"/>
      <c r="C27" s="39"/>
      <c r="D27" s="39"/>
      <c r="E27" s="39"/>
      <c r="F27" s="39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635820.61540616932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1106906.3569221753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1447524.6889937597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3190251.6613221043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118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119</v>
      </c>
      <c r="C11" s="96"/>
      <c r="D11" s="96"/>
      <c r="E11" s="55">
        <v>1369.7749999999999</v>
      </c>
      <c r="F11" s="17" t="s">
        <v>4</v>
      </c>
      <c r="G11" s="21">
        <v>1384</v>
      </c>
      <c r="H11" s="17" t="s">
        <v>4</v>
      </c>
      <c r="I11" s="2"/>
    </row>
    <row r="12" spans="1:9" x14ac:dyDescent="0.25">
      <c r="A12" s="2"/>
      <c r="B12" s="95" t="s">
        <v>120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121</v>
      </c>
      <c r="C13" s="96"/>
      <c r="D13" s="96"/>
      <c r="E13" s="55">
        <v>32399.4126</v>
      </c>
      <c r="F13" s="17" t="s">
        <v>4</v>
      </c>
      <c r="G13" s="21">
        <v>3270</v>
      </c>
      <c r="H13" s="17" t="s">
        <v>4</v>
      </c>
      <c r="I13" s="2"/>
    </row>
    <row r="14" spans="1:9" x14ac:dyDescent="0.25">
      <c r="A14" s="2"/>
      <c r="B14" s="95" t="s">
        <v>122</v>
      </c>
      <c r="C14" s="96"/>
      <c r="D14" s="96"/>
      <c r="E14" s="55">
        <v>1395602.4812</v>
      </c>
      <c r="F14" s="17" t="s">
        <v>4</v>
      </c>
      <c r="G14" s="21">
        <v>1461875</v>
      </c>
      <c r="H14" s="17" t="s">
        <v>4</v>
      </c>
      <c r="I14" s="2"/>
    </row>
    <row r="15" spans="1:9" x14ac:dyDescent="0.25">
      <c r="A15" s="2"/>
      <c r="B15" s="95" t="s">
        <v>123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124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125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37157.331199999899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37807.584495999901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-1522349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-1056780.8650793652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-465568.13492063479</v>
      </c>
      <c r="H11" s="27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-155189.37830687826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8" t="s">
        <v>0</v>
      </c>
      <c r="C9" s="13" t="s">
        <v>1</v>
      </c>
      <c r="D9" s="28" t="s">
        <v>2</v>
      </c>
      <c r="E9" s="28" t="s">
        <v>38</v>
      </c>
      <c r="F9" s="100" t="s">
        <v>3</v>
      </c>
      <c r="G9" s="100"/>
      <c r="H9" s="2"/>
    </row>
    <row r="10" spans="1:8" x14ac:dyDescent="0.25">
      <c r="A10" s="2"/>
      <c r="B10" s="23" t="s">
        <v>117</v>
      </c>
      <c r="C10" s="29"/>
      <c r="D10" s="22"/>
      <c r="E10" s="21"/>
      <c r="F10" s="9"/>
      <c r="G10" s="17" t="s">
        <v>4</v>
      </c>
      <c r="H10" s="2"/>
    </row>
    <row r="11" spans="1:8" x14ac:dyDescent="0.25">
      <c r="A11" s="2"/>
      <c r="B11" s="91" t="s">
        <v>52</v>
      </c>
      <c r="C11" s="92"/>
      <c r="D11" s="92"/>
      <c r="E11" s="93"/>
      <c r="F11" s="15">
        <f>SUM(F10:F10)</f>
        <v>0</v>
      </c>
      <c r="G11" s="16" t="s">
        <v>4</v>
      </c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1474836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917490</v>
      </c>
      <c r="H10" s="17" t="s">
        <v>4</v>
      </c>
      <c r="I10" s="2"/>
    </row>
    <row r="11" spans="1:9" x14ac:dyDescent="0.25">
      <c r="A11" s="2"/>
      <c r="B11" s="91" t="s">
        <v>133</v>
      </c>
      <c r="C11" s="92"/>
      <c r="D11" s="92"/>
      <c r="E11" s="92"/>
      <c r="F11" s="93"/>
      <c r="G11" s="15">
        <f>G9-G10</f>
        <v>557346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-512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-9500</v>
      </c>
      <c r="H16" s="17" t="s">
        <v>4</v>
      </c>
      <c r="I16" s="2"/>
    </row>
    <row r="17" spans="1:9" x14ac:dyDescent="0.25">
      <c r="A17" s="2"/>
      <c r="B17" s="91" t="s">
        <v>134</v>
      </c>
      <c r="C17" s="92"/>
      <c r="D17" s="92"/>
      <c r="E17" s="92"/>
      <c r="F17" s="93"/>
      <c r="G17" s="15">
        <f>G15-G16</f>
        <v>8988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135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136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136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2016'!F11</f>
        <v>0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0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2448488.5916594723</v>
      </c>
      <c r="H9" s="26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885149</v>
      </c>
      <c r="F11" s="17" t="s">
        <v>4</v>
      </c>
      <c r="G11" s="14"/>
      <c r="H11" s="30"/>
      <c r="I11" s="2"/>
    </row>
    <row r="12" spans="1:9" x14ac:dyDescent="0.25">
      <c r="A12" s="2"/>
      <c r="B12" s="79" t="s">
        <v>67</v>
      </c>
      <c r="C12" s="80"/>
      <c r="D12" s="81"/>
      <c r="E12" s="21">
        <v>126222.16333333333</v>
      </c>
      <c r="F12" s="17" t="s">
        <v>4</v>
      </c>
      <c r="G12" s="10"/>
      <c r="H12" s="31"/>
      <c r="I12" s="2"/>
    </row>
    <row r="13" spans="1:9" x14ac:dyDescent="0.25">
      <c r="A13" s="2"/>
      <c r="B13" s="79" t="s">
        <v>68</v>
      </c>
      <c r="C13" s="80"/>
      <c r="D13" s="81"/>
      <c r="E13" s="21">
        <v>0</v>
      </c>
      <c r="F13" s="17" t="s">
        <v>4</v>
      </c>
      <c r="G13" s="10"/>
      <c r="H13" s="31"/>
      <c r="I13" s="2"/>
    </row>
    <row r="14" spans="1:9" x14ac:dyDescent="0.25">
      <c r="A14" s="2"/>
      <c r="B14" s="79" t="s">
        <v>69</v>
      </c>
      <c r="C14" s="80"/>
      <c r="D14" s="81"/>
      <c r="E14" s="21">
        <v>10000</v>
      </c>
      <c r="F14" s="17" t="s">
        <v>4</v>
      </c>
      <c r="G14" s="10"/>
      <c r="H14" s="31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1021371.1633333333</v>
      </c>
      <c r="F15" s="26" t="s">
        <v>4</v>
      </c>
      <c r="G15" s="10"/>
      <c r="H15" s="31"/>
      <c r="I15" s="2"/>
    </row>
    <row r="16" spans="1:9" x14ac:dyDescent="0.25">
      <c r="A16" s="2"/>
      <c r="B16" s="79" t="s">
        <v>18</v>
      </c>
      <c r="C16" s="80"/>
      <c r="D16" s="81"/>
      <c r="E16" s="21">
        <v>28000</v>
      </c>
      <c r="F16" s="17" t="s">
        <v>4</v>
      </c>
      <c r="G16" s="10"/>
      <c r="H16" s="31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1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1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28000</v>
      </c>
      <c r="F19" s="26" t="s">
        <v>4</v>
      </c>
      <c r="G19" s="10"/>
      <c r="H19" s="31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1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0</v>
      </c>
      <c r="F21" s="17" t="s">
        <v>4</v>
      </c>
      <c r="G21" s="10"/>
      <c r="H21" s="31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1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1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1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1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1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0</v>
      </c>
      <c r="F27" s="26" t="s">
        <v>4</v>
      </c>
      <c r="G27" s="11"/>
      <c r="H27" s="32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1049371.1633333333</v>
      </c>
      <c r="F28" s="26" t="s">
        <v>4</v>
      </c>
      <c r="G28" s="1">
        <f>IF(E28&lt;0,0,-E28)</f>
        <v>-1049371.1633333333</v>
      </c>
      <c r="H28" s="26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6" t="s">
        <v>4</v>
      </c>
      <c r="G30" s="12">
        <f>-$E$30</f>
        <v>0</v>
      </c>
      <c r="H30" s="26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2378463</v>
      </c>
      <c r="F32" s="17" t="s">
        <v>4</v>
      </c>
      <c r="G32" s="14"/>
      <c r="H32" s="30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1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41371</v>
      </c>
      <c r="F34" s="17" t="s">
        <v>4</v>
      </c>
      <c r="G34" s="11"/>
      <c r="H34" s="32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2419834</v>
      </c>
      <c r="F35" s="26" t="s">
        <v>4</v>
      </c>
      <c r="G35" s="12">
        <f>-E35</f>
        <v>-2419834</v>
      </c>
      <c r="H35" s="26" t="s">
        <v>4</v>
      </c>
      <c r="I35" s="2"/>
    </row>
    <row r="36" spans="1:9" x14ac:dyDescent="0.25">
      <c r="A36" s="2"/>
      <c r="B36" s="91" t="s">
        <v>131</v>
      </c>
      <c r="C36" s="92"/>
      <c r="D36" s="92"/>
      <c r="E36" s="92"/>
      <c r="F36" s="93"/>
      <c r="G36" s="15">
        <f>$G$9+$G$28+$G$30+$G$35</f>
        <v>-1020716.571673861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129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130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140</v>
      </c>
      <c r="C16" s="86"/>
      <c r="D16" s="86"/>
      <c r="E16" s="87"/>
      <c r="F16" s="100" t="s">
        <v>126</v>
      </c>
      <c r="G16" s="100"/>
      <c r="H16" s="2"/>
    </row>
    <row r="17" spans="1:8" x14ac:dyDescent="0.25">
      <c r="A17" s="2"/>
      <c r="B17" s="79" t="s">
        <v>138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128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2017-09-13T12:56:45Z</dcterms:modified>
</cp:coreProperties>
</file>