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-15" windowWidth="10425" windowHeight="9000" tabRatio="746"/>
  </bookViews>
  <sheets>
    <sheet name="1. Forside" sheetId="1" r:id="rId1"/>
    <sheet name="Fane 2. Overblik ØR18-21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10" l="1"/>
  <c r="G11" i="10" l="1"/>
  <c r="K12" i="22"/>
  <c r="K11" i="22"/>
  <c r="K10" i="22"/>
  <c r="F18" i="20"/>
  <c r="F19" i="20" s="1"/>
  <c r="F11" i="21" l="1"/>
  <c r="F12" i="21" s="1"/>
  <c r="D11" i="21"/>
  <c r="D12" i="21" s="1"/>
  <c r="K18" i="22" l="1"/>
  <c r="F11" i="20"/>
  <c r="F12" i="20" s="1"/>
  <c r="D11" i="20"/>
  <c r="D12" i="20" s="1"/>
  <c r="E17" i="22" s="1"/>
  <c r="E20" i="22" l="1"/>
  <c r="G17" i="22"/>
  <c r="G20" i="22" l="1"/>
  <c r="I17" i="22"/>
  <c r="G18" i="19"/>
  <c r="G19" i="19" s="1"/>
  <c r="E14" i="22" s="1"/>
  <c r="G12" i="7"/>
  <c r="G14" i="22" l="1"/>
  <c r="E19" i="22"/>
  <c r="E21" i="22"/>
  <c r="I20" i="22"/>
  <c r="K17" i="22"/>
  <c r="E15" i="13"/>
  <c r="F11" i="11"/>
  <c r="F12" i="11"/>
  <c r="K20" i="22" l="1"/>
  <c r="K19" i="22"/>
  <c r="I14" i="22"/>
  <c r="G19" i="22"/>
  <c r="G21" i="22" s="1"/>
  <c r="G30" i="13"/>
  <c r="K14" i="22" l="1"/>
  <c r="I19" i="22"/>
  <c r="I21" i="22" s="1"/>
  <c r="E35" i="13"/>
  <c r="G35" i="13" s="1"/>
  <c r="E27" i="13"/>
  <c r="E19" i="13"/>
  <c r="G11" i="12"/>
  <c r="G29" i="12"/>
  <c r="G23" i="12"/>
  <c r="G17" i="12"/>
  <c r="F10" i="11"/>
  <c r="F13" i="11" s="1"/>
  <c r="G33" i="12" l="1"/>
  <c r="G35" i="12" s="1"/>
  <c r="K15" i="22" s="1"/>
  <c r="E28" i="13"/>
  <c r="G28" i="13" s="1"/>
  <c r="G36" i="13" s="1"/>
  <c r="K16" i="22" s="1"/>
  <c r="K21" i="22" l="1"/>
</calcChain>
</file>

<file path=xl/sharedStrings.xml><?xml version="1.0" encoding="utf-8"?>
<sst xmlns="http://schemas.openxmlformats.org/spreadsheetml/2006/main" count="319" uniqueCount="144">
  <si>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</si>
  <si>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</si>
  <si>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</si>
  <si>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</si>
  <si>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</si>
  <si>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</si>
  <si>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</si>
  <si>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</si>
  <si>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</si>
  <si>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</si>
  <si>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</si>
  <si>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</si>
  <si>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</si>
  <si>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</si>
  <si>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</si>
  <si>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</si>
  <si>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</si>
  <si>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</si>
  <si>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</si>
  <si>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</si>
  <si>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</si>
  <si>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</si>
  <si>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</si>
  <si>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</si>
  <si>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</si>
  <si>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</si>
  <si>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</si>
  <si>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</si>
  <si>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</si>
  <si>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</si>
  <si>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</si>
  <si>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</si>
  <si>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</si>
  <si>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</si>
  <si>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</si>
  <si>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</si>
  <si>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</si>
  <si>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</si>
  <si>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</si>
  <si>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</si>
  <si>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</si>
  <si>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</si>
  <si>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</si>
  <si>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</si>
  <si>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</si>
  <si>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</si>
  <si>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</si>
  <si>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</si>
  <si>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</si>
  <si>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</si>
  <si>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</si>
  <si>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</si>
  <si>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</si>
  <si>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</si>
  <si>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</si>
  <si>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</si>
  <si>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</si>
  <si>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</si>
  <si>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</si>
  <si>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</si>
  <si>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</si>
  <si>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</si>
  <si>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</si>
  <si>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</si>
  <si>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</si>
  <si>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</si>
  <si>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</si>
  <si>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</si>
  <si>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</si>
  <si>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</si>
  <si>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</si>
  <si>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</si>
  <si>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</si>
  <si>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</si>
  <si>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</si>
  <si>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</si>
  <si>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</si>
  <si>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</si>
  <si>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</si>
  <si>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</si>
  <si>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</si>
  <si>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</si>
  <si>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</si>
  <si>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</si>
  <si>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</si>
  <si>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</si>
  <si>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</si>
  <si>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</si>
  <si>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</si>
  <si>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</si>
  <si>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</si>
  <si>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</si>
  <si>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</si>
  <si>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</si>
  <si>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</si>
  <si>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</si>
  <si>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2021 og frem</t>
  </si>
  <si>
    <t>Korrigeret grundlag til brug for den økonomiske ramme for 2021 og frem  (i 2017-niveau)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</si>
  <si>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</si>
  <si>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</si>
  <si>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</si>
  <si>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</si>
  <si>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</si>
  <si>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</si>
  <si>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Bemærk, at den økonomiske ramme for 2021 kun er vejledende.</t>
  </si>
  <si>
    <t>Tidligere fastsat økonomisk ramme</t>
  </si>
  <si>
    <t>-</t>
  </si>
  <si>
    <t>Korrektion af ikke-påvirkelig omkostning i økonomisk ramme for 2018</t>
  </si>
  <si>
    <t>Korrektion i forhold til tidligere indtægtsramme i prisloft 2016</t>
  </si>
  <si>
    <t>Nye tillæg i økonomisk ramme for 2018</t>
  </si>
  <si>
    <t>Korrigeret økonomiske ramme</t>
  </si>
  <si>
    <t>Prisudvikling og generelt krav anvendt i de økonomiske rammer for 2017-2020</t>
  </si>
  <si>
    <t>Niveau for prisudvikling fra ØR18</t>
  </si>
  <si>
    <t>Fane 2</t>
  </si>
  <si>
    <t>Overblik over økonomisk ramme for 2018 til 2021</t>
  </si>
  <si>
    <t>Fane 2: Overblik over økonomiske rammer for 2018 til 2021</t>
  </si>
  <si>
    <t>Til statusmeddelelse udmeldt i 2017</t>
  </si>
  <si>
    <t>Ø 50mm &lt; Ledningsnet ≤ Ø110 mm</t>
  </si>
  <si>
    <t>Afregningsmålere, elektroniske ≤ Ø 110mm (Qn 10)</t>
  </si>
  <si>
    <t>Køretøjer, små lastvogne (&lt; 3.500 kg.)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</si>
  <si>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</si>
  <si>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</si>
  <si>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</si>
  <si>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</si>
  <si>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</si>
  <si>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</si>
  <si>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</si>
  <si>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</si>
  <si>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Omkostninger</t>
  </si>
  <si>
    <t>Nye ikke-påvirkelige omkostninger i alt i 2016-niveau</t>
  </si>
  <si>
    <t>Nye ikke-påvirkelige omkostninger i alt i 2017-niveau</t>
  </si>
  <si>
    <t>Nye påvirkelige tillæg</t>
  </si>
  <si>
    <t>Tillæg/fradrag i den økonomiske ramme for 2021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</si>
  <si>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</si>
  <si>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</si>
  <si>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</si>
  <si>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</si>
  <si>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</si>
  <si>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</si>
  <si>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</si>
  <si>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Udvidelse af forsyningsområdet (§ 11, stk. 4)</t>
  </si>
  <si>
    <t>Nye ikke-påvirkelige omkostninger</t>
  </si>
  <si>
    <t>Beskrivelse af ikke-påvirkelig omkostning</t>
  </si>
  <si>
    <t>Tidligere stillet effektiviseringskrav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</si>
</sst>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0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4" borderId="1" xfId="0" applyFont="1" applyFill="1" applyBorder="1" applyAlignment="1" applyProtection="1">
      <alignment horizontal="left" wrapText="1"/>
    </xf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4" borderId="1" xfId="0" applyNumberFormat="1" applyFont="1" applyFill="1" applyBorder="1" applyAlignment="1" applyProtection="1">
      <alignment wrapText="1"/>
    </xf>
    <xf numFmtId="3" fontId="7" fillId="3" borderId="10" xfId="0" applyNumberFormat="1" applyFont="1" applyFill="1" applyBorder="1" applyAlignment="1" applyProtection="1"/>
    <xf numFmtId="3" fontId="0" fillId="2" borderId="0" xfId="0" applyNumberFormat="1" applyFill="1" applyProtection="1"/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>
      <alignment horizontal="right"/>
    </xf>
    <xf numFmtId="3" fontId="0" fillId="2" borderId="0" xfId="0" applyNumberFormat="1" applyFill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3" fontId="8" fillId="4" borderId="1" xfId="0" quotePrefix="1" applyNumberFormat="1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quotePrefix="1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29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116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113</v>
      </c>
      <c r="D13" s="76" t="s">
        <v>114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48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41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15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51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50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46</v>
      </c>
      <c r="D21" s="61" t="s">
        <v>49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5:G15" location="'Fane 4. Ikke-påvirkelige omk.'!A1" display="Ikke-påvirkelige omkostninger"/>
    <hyperlink ref="D16:G16" location="'Fane 5. Hist. over el. underdæk'!A1" display="Historisk over- eller underdækning"/>
    <hyperlink ref="D17:G17" location="'Fane 6. Gen. inv. i 2016'!A1" display="Gennemførte investeringer i 2016"/>
    <hyperlink ref="D18:G18" location="'Fane 7. Korrektion af PL2016'!A1" display="Korrektion af prisloft 2016"/>
    <hyperlink ref="D19:G19" location="'Fane 8. Kontrol af PL2016'!A1" display="Kontrol af prisloft 2016"/>
    <hyperlink ref="D20:G20" location="'Fane 9. Tillæg'!A1" display="Tillæg"/>
    <hyperlink ref="D21:G21" location="'Fane 10. Bortfald'!A1" display="Bortfald af omkostninger"/>
    <hyperlink ref="D13:G13" location="'Fane 2. Overblik ØR18-21'!A1" display="Overblik over økonomisk ramme for 2018 til 2021"/>
    <hyperlink ref="D14:G14" location="'Fane 3. Korrigeret grundlag'!A1" display="Korrektion af grundla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103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23" t="s">
        <v>138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M31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37.85546875" style="3" customWidth="1"/>
    <col min="5" max="5" width="10.5703125" style="3" customWidth="1"/>
    <col min="6" max="6" width="4.140625" style="3" customWidth="1"/>
    <col min="7" max="7" width="10.5703125" style="3" customWidth="1"/>
    <col min="8" max="8" width="3.28515625" style="3" customWidth="1"/>
    <col min="9" max="9" width="10.7109375" style="3" customWidth="1"/>
    <col min="10" max="10" width="3.28515625" style="3" customWidth="1"/>
    <col min="11" max="11" width="10.42578125" style="3" customWidth="1"/>
    <col min="12" max="12" width="3.28515625" style="3" customWidth="1"/>
    <col min="13" max="16384" width="9.140625" style="3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"/>
      <c r="B3" s="82" t="s">
        <v>115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2"/>
    </row>
    <row r="4" spans="1:13" ht="15" customHeight="1" x14ac:dyDescent="0.25">
      <c r="A4" s="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2"/>
    </row>
    <row r="5" spans="1:13" x14ac:dyDescent="0.25">
      <c r="A5" s="2"/>
      <c r="B5" s="83" t="s">
        <v>104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8"/>
      <c r="I8" s="38">
        <v>2020</v>
      </c>
      <c r="J8" s="38"/>
      <c r="K8" s="38">
        <v>2021</v>
      </c>
      <c r="L8" s="39"/>
      <c r="M8" s="2"/>
    </row>
    <row r="9" spans="1:13" ht="15" customHeight="1" x14ac:dyDescent="0.25">
      <c r="A9" s="2"/>
      <c r="B9" s="84" t="s">
        <v>105</v>
      </c>
      <c r="C9" s="85"/>
      <c r="D9" s="86"/>
      <c r="E9" s="48">
        <v>4855665.3228352256</v>
      </c>
      <c r="F9" s="13" t="s">
        <v>4</v>
      </c>
      <c r="G9" s="48">
        <v>4865887.6676144404</v>
      </c>
      <c r="H9" s="13" t="s">
        <v>4</v>
      </c>
      <c r="I9" s="48">
        <v>4876481.6225198675</v>
      </c>
      <c r="J9" s="13" t="s">
        <v>4</v>
      </c>
      <c r="K9" s="57" t="s">
        <v>106</v>
      </c>
      <c r="L9" s="40" t="s">
        <v>4</v>
      </c>
      <c r="M9" s="2"/>
    </row>
    <row r="10" spans="1:13" x14ac:dyDescent="0.25">
      <c r="A10" s="2"/>
      <c r="B10" s="79" t="s">
        <v>72</v>
      </c>
      <c r="C10" s="80"/>
      <c r="D10" s="81"/>
      <c r="E10" s="41" t="s">
        <v>106</v>
      </c>
      <c r="F10" s="8" t="s">
        <v>4</v>
      </c>
      <c r="G10" s="41" t="s">
        <v>106</v>
      </c>
      <c r="H10" s="8" t="s">
        <v>4</v>
      </c>
      <c r="I10" s="41" t="s">
        <v>106</v>
      </c>
      <c r="J10" s="8" t="s">
        <v>4</v>
      </c>
      <c r="K10" s="42">
        <f>'Fane 3. Korrigeret grundlag'!G9*(1+E25/100)^3</f>
        <v>1635463.3526841092</v>
      </c>
      <c r="L10" s="8" t="s">
        <v>4</v>
      </c>
      <c r="M10" s="2"/>
    </row>
    <row r="11" spans="1:13" x14ac:dyDescent="0.25">
      <c r="A11" s="2"/>
      <c r="B11" s="46" t="s">
        <v>73</v>
      </c>
      <c r="C11" s="44"/>
      <c r="D11" s="45"/>
      <c r="E11" s="41" t="s">
        <v>106</v>
      </c>
      <c r="F11" s="8" t="s">
        <v>4</v>
      </c>
      <c r="G11" s="41" t="s">
        <v>106</v>
      </c>
      <c r="H11" s="8" t="s">
        <v>4</v>
      </c>
      <c r="I11" s="41" t="s">
        <v>106</v>
      </c>
      <c r="J11" s="8" t="s">
        <v>4</v>
      </c>
      <c r="K11" s="42">
        <f>'Fane 3. Korrigeret grundlag'!G10*(1+E25/100)^3</f>
        <v>1744853.9209079132</v>
      </c>
      <c r="L11" s="8" t="s">
        <v>4</v>
      </c>
      <c r="M11" s="2"/>
    </row>
    <row r="12" spans="1:13" x14ac:dyDescent="0.25">
      <c r="A12" s="2"/>
      <c r="B12" s="46" t="s">
        <v>90</v>
      </c>
      <c r="C12" s="44"/>
      <c r="D12" s="45"/>
      <c r="E12" s="41" t="s">
        <v>106</v>
      </c>
      <c r="F12" s="8" t="s">
        <v>4</v>
      </c>
      <c r="G12" s="41" t="s">
        <v>106</v>
      </c>
      <c r="H12" s="8" t="s">
        <v>4</v>
      </c>
      <c r="I12" s="41" t="s">
        <v>106</v>
      </c>
      <c r="J12" s="8" t="s">
        <v>4</v>
      </c>
      <c r="K12" s="42">
        <f>'Fane 3. Korrigeret grundlag'!G11*(1+E25/100)^3</f>
        <v>1987602.6534009068</v>
      </c>
      <c r="L12" s="8" t="s">
        <v>4</v>
      </c>
      <c r="M12" s="2"/>
    </row>
    <row r="13" spans="1:13" x14ac:dyDescent="0.25">
      <c r="A13" s="2"/>
      <c r="B13" s="46" t="s">
        <v>143</v>
      </c>
      <c r="C13" s="44"/>
      <c r="D13" s="45"/>
      <c r="E13" s="41" t="s">
        <v>106</v>
      </c>
      <c r="F13" s="8" t="s">
        <v>4</v>
      </c>
      <c r="G13" s="41" t="s">
        <v>106</v>
      </c>
      <c r="H13" s="8" t="s">
        <v>4</v>
      </c>
      <c r="I13" s="41" t="s">
        <v>106</v>
      </c>
      <c r="J13" s="8" t="s">
        <v>4</v>
      </c>
      <c r="K13" s="42">
        <v>-214652.44829854247</v>
      </c>
      <c r="L13" s="8" t="s">
        <v>4</v>
      </c>
      <c r="M13" s="2"/>
    </row>
    <row r="14" spans="1:13" x14ac:dyDescent="0.25">
      <c r="A14" s="2"/>
      <c r="B14" s="79" t="s">
        <v>107</v>
      </c>
      <c r="C14" s="80"/>
      <c r="D14" s="81"/>
      <c r="E14" s="42">
        <f>'Fane 4. Ikke-påvirkelige omk.'!G19</f>
        <v>-260046.60747450002</v>
      </c>
      <c r="F14" s="8" t="s">
        <v>4</v>
      </c>
      <c r="G14" s="9">
        <f>E14*(1+$E$25/100)</f>
        <v>-264597.42310530378</v>
      </c>
      <c r="H14" s="8" t="s">
        <v>4</v>
      </c>
      <c r="I14" s="9">
        <f>G14*(1+$E$25/100)</f>
        <v>-269227.87800964661</v>
      </c>
      <c r="J14" s="8" t="s">
        <v>4</v>
      </c>
      <c r="K14" s="51">
        <f>I14*(1+$E$25/100)</f>
        <v>-273939.36587481544</v>
      </c>
      <c r="L14" s="8" t="s">
        <v>4</v>
      </c>
      <c r="M14" s="2"/>
    </row>
    <row r="15" spans="1:13" x14ac:dyDescent="0.25">
      <c r="A15" s="2"/>
      <c r="B15" s="79" t="s">
        <v>71</v>
      </c>
      <c r="C15" s="80"/>
      <c r="D15" s="81"/>
      <c r="E15" s="41" t="s">
        <v>106</v>
      </c>
      <c r="F15" s="8" t="s">
        <v>4</v>
      </c>
      <c r="G15" s="41" t="s">
        <v>106</v>
      </c>
      <c r="H15" s="8" t="s">
        <v>4</v>
      </c>
      <c r="I15" s="41" t="s">
        <v>106</v>
      </c>
      <c r="J15" s="8" t="s">
        <v>4</v>
      </c>
      <c r="K15" s="51">
        <f>SUM('Fane 7. Korrektion af PL2016'!G11,'Fane 7. Korrektion af PL2016'!G17,'Fane 7. Korrektion af PL2016'!G23,'Fane 7. Korrektion af PL2016'!G29,'Fane 7. Korrektion af PL2016'!G35)</f>
        <v>-136708.86666666667</v>
      </c>
      <c r="L15" s="8" t="s">
        <v>4</v>
      </c>
      <c r="M15" s="2"/>
    </row>
    <row r="16" spans="1:13" x14ac:dyDescent="0.25">
      <c r="A16" s="2"/>
      <c r="B16" s="87" t="s">
        <v>108</v>
      </c>
      <c r="C16" s="80"/>
      <c r="D16" s="81"/>
      <c r="E16" s="41" t="s">
        <v>106</v>
      </c>
      <c r="F16" s="8" t="s">
        <v>4</v>
      </c>
      <c r="G16" s="41" t="s">
        <v>106</v>
      </c>
      <c r="H16" s="8" t="s">
        <v>4</v>
      </c>
      <c r="I16" s="41" t="s">
        <v>106</v>
      </c>
      <c r="J16" s="8" t="s">
        <v>4</v>
      </c>
      <c r="K16" s="51">
        <f>'Fane 8. Kontrol af PL2016'!G36</f>
        <v>553440.81099254731</v>
      </c>
      <c r="L16" s="8" t="s">
        <v>4</v>
      </c>
      <c r="M16" s="2"/>
    </row>
    <row r="17" spans="1:13" x14ac:dyDescent="0.25">
      <c r="A17" s="2"/>
      <c r="B17" s="87" t="s">
        <v>109</v>
      </c>
      <c r="C17" s="80"/>
      <c r="D17" s="81"/>
      <c r="E17" s="9">
        <f>'Fane 9. Tillæg'!D12+'Fane 9. Tillæg'!F12</f>
        <v>92686.11</v>
      </c>
      <c r="F17" s="8" t="s">
        <v>4</v>
      </c>
      <c r="G17" s="9">
        <f>E17*(1+$E$25/100)*(1-$E$26/100)</f>
        <v>92704.878937275003</v>
      </c>
      <c r="H17" s="8" t="s">
        <v>4</v>
      </c>
      <c r="I17" s="9">
        <f>G17*(1+$E$25/100)*(1-$E$26/100)</f>
        <v>92723.651675259796</v>
      </c>
      <c r="J17" s="8" t="s">
        <v>4</v>
      </c>
      <c r="K17" s="51">
        <f>I17*(1+$E$25/100)*(1-$E$26/100)</f>
        <v>92742.428214724045</v>
      </c>
      <c r="L17" s="8" t="s">
        <v>4</v>
      </c>
      <c r="M17" s="2"/>
    </row>
    <row r="18" spans="1:13" x14ac:dyDescent="0.25">
      <c r="A18" s="2"/>
      <c r="B18" s="87" t="s">
        <v>79</v>
      </c>
      <c r="C18" s="80"/>
      <c r="D18" s="81"/>
      <c r="E18" s="41" t="s">
        <v>106</v>
      </c>
      <c r="F18" s="8" t="s">
        <v>4</v>
      </c>
      <c r="G18" s="41" t="s">
        <v>106</v>
      </c>
      <c r="H18" s="8" t="s">
        <v>4</v>
      </c>
      <c r="I18" s="41" t="s">
        <v>106</v>
      </c>
      <c r="J18" s="8" t="s">
        <v>4</v>
      </c>
      <c r="K18" s="51">
        <f>'Fane 10. Bortfald'!D12+'Fane 10. Bortfald'!F12</f>
        <v>0</v>
      </c>
      <c r="L18" s="8" t="s">
        <v>4</v>
      </c>
      <c r="M18" s="2"/>
    </row>
    <row r="19" spans="1:13" x14ac:dyDescent="0.25">
      <c r="A19" s="2"/>
      <c r="B19" s="87" t="s">
        <v>47</v>
      </c>
      <c r="C19" s="80"/>
      <c r="D19" s="81"/>
      <c r="E19" s="42">
        <f>(E17+E14)*($E$25/100)</f>
        <v>-2928.8087058037509</v>
      </c>
      <c r="F19" s="8" t="s">
        <v>4</v>
      </c>
      <c r="G19" s="42">
        <f>(G17+G14)*($E$25/100)</f>
        <v>-3008.1195229405039</v>
      </c>
      <c r="H19" s="8" t="s">
        <v>4</v>
      </c>
      <c r="I19" s="42">
        <f>(I17+I14)*($E$25/100)</f>
        <v>-3088.8239608517692</v>
      </c>
      <c r="J19" s="8" t="s">
        <v>4</v>
      </c>
      <c r="K19" s="42">
        <f>SUM(K10:K14,K17:K18)*($E$25/100)</f>
        <v>87011.234468100156</v>
      </c>
      <c r="L19" s="8" t="s">
        <v>4</v>
      </c>
      <c r="M19" s="2"/>
    </row>
    <row r="20" spans="1:13" x14ac:dyDescent="0.25">
      <c r="A20" s="2"/>
      <c r="B20" s="87" t="s">
        <v>14</v>
      </c>
      <c r="C20" s="80"/>
      <c r="D20" s="81"/>
      <c r="E20" s="42">
        <f>-E17*(1+$E$25/100)*($E$26/100)</f>
        <v>-1603.2379877250003</v>
      </c>
      <c r="F20" s="8" t="s">
        <v>4</v>
      </c>
      <c r="G20" s="42">
        <f>-G17*(1+$E$25/100)*($E$26/100)</f>
        <v>-1603.5626434175144</v>
      </c>
      <c r="H20" s="8" t="s">
        <v>4</v>
      </c>
      <c r="I20" s="42">
        <f>-I17*(1+$E$25/100)*($E$26/100)</f>
        <v>-1603.8873648528067</v>
      </c>
      <c r="J20" s="8" t="s">
        <v>4</v>
      </c>
      <c r="K20" s="42">
        <f>-SUM(K10:K11,K13,K17:K18)*(1+$E$25/100)*($E$26/100)</f>
        <v>-56362.299467558172</v>
      </c>
      <c r="L20" s="8" t="s">
        <v>4</v>
      </c>
      <c r="M20" s="2"/>
    </row>
    <row r="21" spans="1:13" x14ac:dyDescent="0.25">
      <c r="A21" s="2"/>
      <c r="B21" s="37" t="s">
        <v>110</v>
      </c>
      <c r="C21" s="38"/>
      <c r="D21" s="38"/>
      <c r="E21" s="49">
        <f>SUM(E9:E20)</f>
        <v>4683772.7786671966</v>
      </c>
      <c r="F21" s="38" t="s">
        <v>4</v>
      </c>
      <c r="G21" s="49">
        <f>SUM(G9:G20)</f>
        <v>4689383.4412800539</v>
      </c>
      <c r="H21" s="38" t="s">
        <v>4</v>
      </c>
      <c r="I21" s="49">
        <f>SUM(I9:I20)</f>
        <v>4695284.6848597759</v>
      </c>
      <c r="J21" s="38" t="s">
        <v>4</v>
      </c>
      <c r="K21" s="52">
        <f>SUM(K9:K20)</f>
        <v>5419451.4203607179</v>
      </c>
      <c r="L21" s="39" t="s">
        <v>4</v>
      </c>
      <c r="M21" s="2"/>
    </row>
    <row r="22" spans="1:13" x14ac:dyDescent="0.25">
      <c r="A22" s="2"/>
      <c r="B22" s="2"/>
      <c r="C22" s="2"/>
      <c r="D22" s="2"/>
      <c r="E22" s="50"/>
      <c r="F22" s="2"/>
      <c r="G22" s="50"/>
      <c r="H22" s="2"/>
      <c r="I22" s="50"/>
      <c r="J22" s="2"/>
      <c r="K22" s="53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2"/>
      <c r="B24" s="37" t="s">
        <v>111</v>
      </c>
      <c r="C24" s="38"/>
      <c r="D24" s="38"/>
      <c r="E24" s="38"/>
      <c r="F24" s="38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36" t="s">
        <v>112</v>
      </c>
      <c r="C25" s="34"/>
      <c r="D25" s="35"/>
      <c r="E25" s="54">
        <v>1.75</v>
      </c>
      <c r="F25" s="8" t="s">
        <v>34</v>
      </c>
      <c r="G25" s="2"/>
      <c r="H25" s="2"/>
      <c r="I25" s="2"/>
      <c r="J25" s="2"/>
      <c r="K25" s="2"/>
      <c r="L25" s="2"/>
      <c r="M25" s="2"/>
    </row>
    <row r="26" spans="1:13" ht="15" customHeight="1" x14ac:dyDescent="0.25">
      <c r="A26" s="2"/>
      <c r="B26" s="87" t="s">
        <v>14</v>
      </c>
      <c r="C26" s="80"/>
      <c r="D26" s="81"/>
      <c r="E26" s="54">
        <v>1.7</v>
      </c>
      <c r="F26" s="8" t="s">
        <v>34</v>
      </c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38"/>
      <c r="C27" s="38"/>
      <c r="D27" s="38"/>
      <c r="E27" s="38"/>
      <c r="F27" s="38"/>
      <c r="G27" s="2"/>
      <c r="H27" s="2"/>
      <c r="I27" s="2"/>
      <c r="J27" s="2"/>
      <c r="K27" s="2"/>
      <c r="L27" s="2"/>
      <c r="M27" s="2"/>
    </row>
    <row r="28" spans="1:13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sheetProtection password="DFE9" sheet="1" objects="1" scenarios="1"/>
  <mergeCells count="12">
    <mergeCell ref="B26:D26"/>
    <mergeCell ref="B16:D16"/>
    <mergeCell ref="B17:D17"/>
    <mergeCell ref="B18:D18"/>
    <mergeCell ref="B19:D19"/>
    <mergeCell ref="B20:D20"/>
    <mergeCell ref="B15:D15"/>
    <mergeCell ref="B3:L4"/>
    <mergeCell ref="B5:L5"/>
    <mergeCell ref="B9:D9"/>
    <mergeCell ref="B10:D10"/>
    <mergeCell ref="B14:D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87" t="s">
        <v>72</v>
      </c>
      <c r="C9" s="80"/>
      <c r="D9" s="80"/>
      <c r="E9" s="80"/>
      <c r="F9" s="81"/>
      <c r="G9" s="21">
        <v>1552521.2857093569</v>
      </c>
      <c r="H9" s="17" t="s">
        <v>4</v>
      </c>
      <c r="I9" s="2"/>
    </row>
    <row r="10" spans="1:9" x14ac:dyDescent="0.25">
      <c r="A10" s="2"/>
      <c r="B10" s="87" t="s">
        <v>73</v>
      </c>
      <c r="C10" s="80"/>
      <c r="D10" s="80"/>
      <c r="E10" s="80"/>
      <c r="F10" s="81"/>
      <c r="G10" s="21">
        <v>1656364.1418299612</v>
      </c>
      <c r="H10" s="17" t="s">
        <v>4</v>
      </c>
      <c r="I10" s="2"/>
    </row>
    <row r="11" spans="1:9" x14ac:dyDescent="0.25">
      <c r="A11" s="2"/>
      <c r="B11" s="87" t="s">
        <v>90</v>
      </c>
      <c r="C11" s="80"/>
      <c r="D11" s="80"/>
      <c r="E11" s="80"/>
      <c r="F11" s="81"/>
      <c r="G11" s="21">
        <v>1886801.9401797799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5095687.367719098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42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2" t="s">
        <v>74</v>
      </c>
      <c r="C3" s="82"/>
      <c r="D3" s="82"/>
      <c r="E3" s="82"/>
      <c r="F3" s="82"/>
      <c r="G3" s="82"/>
      <c r="H3" s="82"/>
      <c r="I3" s="2"/>
    </row>
    <row r="4" spans="1:9" ht="15" customHeight="1" x14ac:dyDescent="0.25">
      <c r="A4" s="2"/>
      <c r="B4" s="82"/>
      <c r="C4" s="82"/>
      <c r="D4" s="82"/>
      <c r="E4" s="82"/>
      <c r="F4" s="82"/>
      <c r="G4" s="82"/>
      <c r="H4" s="8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4" t="s">
        <v>77</v>
      </c>
      <c r="C9" s="85"/>
      <c r="D9" s="86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120</v>
      </c>
      <c r="C10" s="96"/>
      <c r="D10" s="96"/>
      <c r="E10" s="55">
        <v>0</v>
      </c>
      <c r="F10" s="17" t="s">
        <v>4</v>
      </c>
      <c r="G10" s="21">
        <v>0</v>
      </c>
      <c r="H10" s="17" t="s">
        <v>4</v>
      </c>
      <c r="I10" s="2"/>
    </row>
    <row r="11" spans="1:9" x14ac:dyDescent="0.25">
      <c r="A11" s="2"/>
      <c r="B11" s="95" t="s">
        <v>121</v>
      </c>
      <c r="C11" s="96"/>
      <c r="D11" s="96"/>
      <c r="E11" s="55">
        <v>16889.574799999999</v>
      </c>
      <c r="F11" s="17" t="s">
        <v>4</v>
      </c>
      <c r="G11" s="21">
        <v>16954</v>
      </c>
      <c r="H11" s="17" t="s">
        <v>4</v>
      </c>
      <c r="I11" s="2"/>
    </row>
    <row r="12" spans="1:9" x14ac:dyDescent="0.25">
      <c r="A12" s="2"/>
      <c r="B12" s="95" t="s">
        <v>122</v>
      </c>
      <c r="C12" s="96"/>
      <c r="D12" s="96"/>
      <c r="E12" s="55">
        <v>151701.33600000001</v>
      </c>
      <c r="F12" s="17" t="s">
        <v>4</v>
      </c>
      <c r="G12" s="21">
        <v>0</v>
      </c>
      <c r="H12" s="17" t="s">
        <v>4</v>
      </c>
      <c r="I12" s="2"/>
    </row>
    <row r="13" spans="1:9" x14ac:dyDescent="0.25">
      <c r="A13" s="2"/>
      <c r="B13" s="95" t="s">
        <v>123</v>
      </c>
      <c r="C13" s="96"/>
      <c r="D13" s="96"/>
      <c r="E13" s="55">
        <v>32399.4126</v>
      </c>
      <c r="F13" s="17" t="s">
        <v>4</v>
      </c>
      <c r="G13" s="21">
        <v>3790</v>
      </c>
      <c r="H13" s="17" t="s">
        <v>4</v>
      </c>
      <c r="I13" s="2"/>
    </row>
    <row r="14" spans="1:9" x14ac:dyDescent="0.25">
      <c r="A14" s="2"/>
      <c r="B14" s="95" t="s">
        <v>124</v>
      </c>
      <c r="C14" s="96"/>
      <c r="D14" s="96"/>
      <c r="E14" s="55">
        <v>1662149.7379999999</v>
      </c>
      <c r="F14" s="17" t="s">
        <v>4</v>
      </c>
      <c r="G14" s="21">
        <v>1586822</v>
      </c>
      <c r="H14" s="17" t="s">
        <v>4</v>
      </c>
      <c r="I14" s="2"/>
    </row>
    <row r="15" spans="1:9" x14ac:dyDescent="0.25">
      <c r="A15" s="2"/>
      <c r="B15" s="95" t="s">
        <v>125</v>
      </c>
      <c r="C15" s="96"/>
      <c r="D15" s="96"/>
      <c r="E15" s="55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126</v>
      </c>
      <c r="C16" s="96"/>
      <c r="D16" s="96"/>
      <c r="E16" s="55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127</v>
      </c>
      <c r="C17" s="96"/>
      <c r="D17" s="96"/>
      <c r="E17" s="55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1" t="s">
        <v>86</v>
      </c>
      <c r="C18" s="92"/>
      <c r="D18" s="92"/>
      <c r="E18" s="92"/>
      <c r="F18" s="93"/>
      <c r="G18" s="15">
        <f>SUM(G10:G17)-SUM(E10:E17)</f>
        <v>-255574.06140000001</v>
      </c>
      <c r="H18" s="16" t="s">
        <v>4</v>
      </c>
      <c r="I18" s="2"/>
    </row>
    <row r="19" spans="1:9" x14ac:dyDescent="0.25">
      <c r="A19" s="2"/>
      <c r="B19" s="91" t="s">
        <v>87</v>
      </c>
      <c r="C19" s="92"/>
      <c r="D19" s="92"/>
      <c r="E19" s="92"/>
      <c r="F19" s="93"/>
      <c r="G19" s="15">
        <f>G18*(1+'Fane 2. Overblik ØR18-21'!E25/100)</f>
        <v>-260046.60747450002</v>
      </c>
      <c r="H19" s="16" t="s">
        <v>4</v>
      </c>
      <c r="I19" s="2"/>
    </row>
    <row r="20" spans="1:9" x14ac:dyDescent="0.25">
      <c r="A20" s="2"/>
      <c r="B20" s="19"/>
      <c r="C20" s="18"/>
      <c r="D20" s="18"/>
      <c r="E20" s="18"/>
      <c r="F20" s="18"/>
      <c r="G20" s="18"/>
      <c r="H20" s="18"/>
      <c r="I20" s="2"/>
    </row>
    <row r="21" spans="1:9" x14ac:dyDescent="0.25">
      <c r="A21" s="2"/>
      <c r="B21" s="18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2"/>
      <c r="C22" s="2"/>
      <c r="D22" s="2"/>
      <c r="E22" s="2"/>
      <c r="F22" s="2"/>
      <c r="G22" s="18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2" t="s">
        <v>98</v>
      </c>
      <c r="C3" s="82"/>
      <c r="D3" s="82"/>
      <c r="E3" s="82"/>
      <c r="F3" s="82"/>
      <c r="G3" s="82"/>
      <c r="H3" s="82"/>
      <c r="I3" s="2"/>
    </row>
    <row r="4" spans="1:9" ht="15" customHeight="1" x14ac:dyDescent="0.25">
      <c r="A4" s="2"/>
      <c r="B4" s="82"/>
      <c r="C4" s="82"/>
      <c r="D4" s="82"/>
      <c r="E4" s="82"/>
      <c r="F4" s="82"/>
      <c r="G4" s="82"/>
      <c r="H4" s="8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87" t="s">
        <v>36</v>
      </c>
      <c r="C9" s="80"/>
      <c r="D9" s="80"/>
      <c r="E9" s="80"/>
      <c r="F9" s="81"/>
      <c r="G9" s="21">
        <v>-1723405</v>
      </c>
      <c r="H9" s="17" t="s">
        <v>4</v>
      </c>
      <c r="I9" s="2"/>
    </row>
    <row r="10" spans="1:9" x14ac:dyDescent="0.25">
      <c r="A10" s="2"/>
      <c r="B10" s="87" t="s">
        <v>81</v>
      </c>
      <c r="C10" s="80"/>
      <c r="D10" s="80"/>
      <c r="E10" s="80"/>
      <c r="F10" s="81"/>
      <c r="G10" s="21">
        <v>-1228166.2433862435</v>
      </c>
      <c r="H10" s="17" t="s">
        <v>4</v>
      </c>
      <c r="I10" s="2"/>
    </row>
    <row r="11" spans="1:9" x14ac:dyDescent="0.25">
      <c r="A11" s="2"/>
      <c r="B11" s="97" t="s">
        <v>39</v>
      </c>
      <c r="C11" s="98"/>
      <c r="D11" s="98"/>
      <c r="E11" s="98"/>
      <c r="F11" s="99"/>
      <c r="G11" s="56">
        <f>G9-G10</f>
        <v>-495238.75661375653</v>
      </c>
      <c r="H11" s="26" t="s">
        <v>4</v>
      </c>
      <c r="I11" s="2"/>
    </row>
    <row r="12" spans="1:9" x14ac:dyDescent="0.25">
      <c r="A12" s="2"/>
      <c r="B12" s="87" t="s">
        <v>37</v>
      </c>
      <c r="C12" s="80"/>
      <c r="D12" s="80"/>
      <c r="E12" s="80"/>
      <c r="F12" s="81"/>
      <c r="G12" s="21">
        <v>3</v>
      </c>
      <c r="H12" s="17" t="s">
        <v>82</v>
      </c>
      <c r="I12" s="2"/>
    </row>
    <row r="13" spans="1:9" x14ac:dyDescent="0.25">
      <c r="A13" s="2"/>
      <c r="B13" s="91" t="s">
        <v>35</v>
      </c>
      <c r="C13" s="92"/>
      <c r="D13" s="92"/>
      <c r="E13" s="92"/>
      <c r="F13" s="93"/>
      <c r="G13" s="15">
        <f>IF(G12 = 0,0,G11/G12)</f>
        <v>-165079.58553791884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17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2" t="s">
        <v>99</v>
      </c>
      <c r="C3" s="82"/>
      <c r="D3" s="82"/>
      <c r="E3" s="82"/>
      <c r="F3" s="82"/>
      <c r="G3" s="82"/>
      <c r="H3" s="2"/>
    </row>
    <row r="4" spans="1:8" ht="15" customHeight="1" x14ac:dyDescent="0.25">
      <c r="A4" s="2"/>
      <c r="B4" s="82"/>
      <c r="C4" s="82"/>
      <c r="D4" s="82"/>
      <c r="E4" s="82"/>
      <c r="F4" s="82"/>
      <c r="G4" s="8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51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38</v>
      </c>
      <c r="F9" s="100" t="s">
        <v>3</v>
      </c>
      <c r="G9" s="100"/>
      <c r="H9" s="2"/>
    </row>
    <row r="10" spans="1:8" x14ac:dyDescent="0.25">
      <c r="A10" s="2"/>
      <c r="B10" s="43" t="s">
        <v>117</v>
      </c>
      <c r="C10" s="28">
        <v>2016</v>
      </c>
      <c r="D10" s="22">
        <v>75</v>
      </c>
      <c r="E10" s="21">
        <v>636835</v>
      </c>
      <c r="F10" s="9">
        <f>E10/D10</f>
        <v>8491.1333333333332</v>
      </c>
      <c r="G10" s="17" t="s">
        <v>4</v>
      </c>
      <c r="H10" s="2"/>
    </row>
    <row r="11" spans="1:8" ht="26.25" x14ac:dyDescent="0.25">
      <c r="A11" s="2"/>
      <c r="B11" s="43" t="s">
        <v>118</v>
      </c>
      <c r="C11" s="28">
        <v>2016</v>
      </c>
      <c r="D11" s="22">
        <v>10</v>
      </c>
      <c r="E11" s="21">
        <v>88910</v>
      </c>
      <c r="F11" s="9">
        <f t="shared" ref="F11:F12" si="0">E11/D11</f>
        <v>8891</v>
      </c>
      <c r="G11" s="17" t="s">
        <v>4</v>
      </c>
      <c r="H11" s="2"/>
    </row>
    <row r="12" spans="1:8" x14ac:dyDescent="0.25">
      <c r="A12" s="2"/>
      <c r="B12" s="43" t="s">
        <v>119</v>
      </c>
      <c r="C12" s="28">
        <v>2016</v>
      </c>
      <c r="D12" s="22">
        <v>5</v>
      </c>
      <c r="E12" s="21">
        <v>65000</v>
      </c>
      <c r="F12" s="9">
        <f t="shared" si="0"/>
        <v>13000</v>
      </c>
      <c r="G12" s="17" t="s">
        <v>4</v>
      </c>
      <c r="H12" s="2"/>
    </row>
    <row r="13" spans="1:8" x14ac:dyDescent="0.25">
      <c r="A13" s="2"/>
      <c r="B13" s="91" t="s">
        <v>52</v>
      </c>
      <c r="C13" s="92"/>
      <c r="D13" s="92"/>
      <c r="E13" s="93"/>
      <c r="F13" s="15">
        <f>SUM(F10:F12)</f>
        <v>30382.133333333331</v>
      </c>
      <c r="G13" s="16" t="s">
        <v>4</v>
      </c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</sheetData>
  <sheetProtection password="DFE9" sheet="1" objects="1" scenarios="1"/>
  <mergeCells count="4">
    <mergeCell ref="B13:E13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100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133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87" t="s">
        <v>53</v>
      </c>
      <c r="C9" s="80"/>
      <c r="D9" s="80"/>
      <c r="E9" s="80"/>
      <c r="F9" s="81"/>
      <c r="G9" s="21">
        <v>1630625</v>
      </c>
      <c r="H9" s="17" t="s">
        <v>4</v>
      </c>
      <c r="I9" s="2"/>
    </row>
    <row r="10" spans="1:9" x14ac:dyDescent="0.25">
      <c r="A10" s="2"/>
      <c r="B10" s="87" t="s">
        <v>54</v>
      </c>
      <c r="C10" s="80"/>
      <c r="D10" s="80"/>
      <c r="E10" s="80"/>
      <c r="F10" s="81"/>
      <c r="G10" s="21">
        <v>1807500</v>
      </c>
      <c r="H10" s="17" t="s">
        <v>4</v>
      </c>
      <c r="I10" s="2"/>
    </row>
    <row r="11" spans="1:9" x14ac:dyDescent="0.25">
      <c r="A11" s="2"/>
      <c r="B11" s="91" t="s">
        <v>134</v>
      </c>
      <c r="C11" s="92"/>
      <c r="D11" s="92"/>
      <c r="E11" s="92"/>
      <c r="F11" s="93"/>
      <c r="G11" s="15">
        <f>G9-G10</f>
        <v>-176875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135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87" t="s">
        <v>55</v>
      </c>
      <c r="C15" s="80"/>
      <c r="D15" s="80"/>
      <c r="E15" s="80"/>
      <c r="F15" s="81"/>
      <c r="G15" s="21">
        <v>-2216</v>
      </c>
      <c r="H15" s="17" t="s">
        <v>4</v>
      </c>
      <c r="I15" s="2"/>
    </row>
    <row r="16" spans="1:9" x14ac:dyDescent="0.25">
      <c r="A16" s="2"/>
      <c r="B16" s="87" t="s">
        <v>56</v>
      </c>
      <c r="C16" s="80"/>
      <c r="D16" s="80"/>
      <c r="E16" s="80"/>
      <c r="F16" s="81"/>
      <c r="G16" s="21">
        <v>-12000</v>
      </c>
      <c r="H16" s="17" t="s">
        <v>4</v>
      </c>
      <c r="I16" s="2"/>
    </row>
    <row r="17" spans="1:9" x14ac:dyDescent="0.25">
      <c r="A17" s="2"/>
      <c r="B17" s="91" t="s">
        <v>135</v>
      </c>
      <c r="C17" s="92"/>
      <c r="D17" s="92"/>
      <c r="E17" s="92"/>
      <c r="F17" s="93"/>
      <c r="G17" s="15">
        <f>G15-G16</f>
        <v>9784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136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87" t="s">
        <v>57</v>
      </c>
      <c r="C21" s="80"/>
      <c r="D21" s="80"/>
      <c r="E21" s="80"/>
      <c r="F21" s="81"/>
      <c r="G21" s="21">
        <v>0</v>
      </c>
      <c r="H21" s="17" t="s">
        <v>4</v>
      </c>
      <c r="I21" s="2"/>
    </row>
    <row r="22" spans="1:9" x14ac:dyDescent="0.25">
      <c r="A22" s="2"/>
      <c r="B22" s="87" t="s">
        <v>58</v>
      </c>
      <c r="C22" s="80"/>
      <c r="D22" s="80"/>
      <c r="E22" s="80"/>
      <c r="F22" s="81"/>
      <c r="G22" s="21">
        <v>0</v>
      </c>
      <c r="H22" s="17" t="s">
        <v>4</v>
      </c>
      <c r="I22" s="2"/>
    </row>
    <row r="23" spans="1:9" x14ac:dyDescent="0.25">
      <c r="A23" s="2"/>
      <c r="B23" s="91" t="s">
        <v>136</v>
      </c>
      <c r="C23" s="92"/>
      <c r="D23" s="92"/>
      <c r="E23" s="92"/>
      <c r="F23" s="93"/>
      <c r="G23" s="15">
        <f>G21-G22</f>
        <v>0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ht="15" customHeight="1" x14ac:dyDescent="0.25">
      <c r="A26" s="2"/>
      <c r="B26" s="88" t="s">
        <v>137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101" t="s">
        <v>59</v>
      </c>
      <c r="C27" s="102"/>
      <c r="D27" s="102"/>
      <c r="E27" s="102"/>
      <c r="F27" s="103"/>
      <c r="G27" s="21">
        <v>0</v>
      </c>
      <c r="H27" s="17" t="s">
        <v>4</v>
      </c>
      <c r="I27" s="2"/>
    </row>
    <row r="28" spans="1:9" x14ac:dyDescent="0.25">
      <c r="A28" s="2"/>
      <c r="B28" s="87" t="s">
        <v>60</v>
      </c>
      <c r="C28" s="80"/>
      <c r="D28" s="80"/>
      <c r="E28" s="80"/>
      <c r="F28" s="81"/>
      <c r="G28" s="21">
        <v>0</v>
      </c>
      <c r="H28" s="17" t="s">
        <v>4</v>
      </c>
      <c r="I28" s="2"/>
    </row>
    <row r="29" spans="1:9" ht="15" customHeight="1" x14ac:dyDescent="0.25">
      <c r="A29" s="2"/>
      <c r="B29" s="88" t="s">
        <v>137</v>
      </c>
      <c r="C29" s="89"/>
      <c r="D29" s="89"/>
      <c r="E29" s="89"/>
      <c r="F29" s="90"/>
      <c r="G29" s="15">
        <f>G27-G28</f>
        <v>0</v>
      </c>
      <c r="H29" s="16" t="s">
        <v>4</v>
      </c>
      <c r="I29" s="2"/>
    </row>
    <row r="30" spans="1:9" x14ac:dyDescent="0.25">
      <c r="A30" s="2"/>
      <c r="B30" s="18"/>
      <c r="C30" s="18"/>
      <c r="D30" s="18"/>
      <c r="E30" s="18"/>
      <c r="F30" s="18"/>
      <c r="G30" s="18"/>
      <c r="H30" s="18"/>
      <c r="I30" s="2"/>
    </row>
    <row r="31" spans="1:9" x14ac:dyDescent="0.25">
      <c r="A31" s="2"/>
      <c r="B31" s="18"/>
      <c r="C31" s="18"/>
      <c r="D31" s="18"/>
      <c r="E31" s="18"/>
      <c r="F31" s="18"/>
      <c r="G31" s="18"/>
      <c r="H31" s="18"/>
      <c r="I31" s="2"/>
    </row>
    <row r="32" spans="1:9" x14ac:dyDescent="0.25">
      <c r="A32" s="2"/>
      <c r="B32" s="88" t="s">
        <v>61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87" t="s">
        <v>62</v>
      </c>
      <c r="C33" s="80"/>
      <c r="D33" s="80"/>
      <c r="E33" s="80"/>
      <c r="F33" s="81"/>
      <c r="G33" s="9">
        <f>'Fane 6. Gen. inv. i 2016'!F13</f>
        <v>30382.133333333331</v>
      </c>
      <c r="H33" s="17" t="s">
        <v>4</v>
      </c>
      <c r="I33" s="2"/>
    </row>
    <row r="34" spans="1:9" x14ac:dyDescent="0.25">
      <c r="A34" s="2"/>
      <c r="B34" s="87" t="s">
        <v>63</v>
      </c>
      <c r="C34" s="80"/>
      <c r="D34" s="80"/>
      <c r="E34" s="80"/>
      <c r="F34" s="81"/>
      <c r="G34" s="21">
        <v>0</v>
      </c>
      <c r="H34" s="17" t="s">
        <v>4</v>
      </c>
      <c r="I34" s="2"/>
    </row>
    <row r="35" spans="1:9" x14ac:dyDescent="0.25">
      <c r="A35" s="2"/>
      <c r="B35" s="91" t="s">
        <v>61</v>
      </c>
      <c r="C35" s="92"/>
      <c r="D35" s="92"/>
      <c r="E35" s="92"/>
      <c r="F35" s="93"/>
      <c r="G35" s="15">
        <f>G33-G34</f>
        <v>30382.133333333331</v>
      </c>
      <c r="H35" s="16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21:F21"/>
    <mergeCell ref="B22:F22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101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4" t="s">
        <v>65</v>
      </c>
      <c r="C9" s="105"/>
      <c r="D9" s="105"/>
      <c r="E9" s="105"/>
      <c r="F9" s="106"/>
      <c r="G9" s="20">
        <v>5534122.8109925473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87" t="s">
        <v>16</v>
      </c>
      <c r="C11" s="80"/>
      <c r="D11" s="81"/>
      <c r="E11" s="21">
        <v>1303756</v>
      </c>
      <c r="F11" s="17" t="s">
        <v>4</v>
      </c>
      <c r="G11" s="14"/>
      <c r="H11" s="29"/>
      <c r="I11" s="2"/>
    </row>
    <row r="12" spans="1:9" x14ac:dyDescent="0.25">
      <c r="A12" s="2"/>
      <c r="B12" s="87" t="s">
        <v>67</v>
      </c>
      <c r="C12" s="80"/>
      <c r="D12" s="81"/>
      <c r="E12" s="21">
        <v>293059</v>
      </c>
      <c r="F12" s="17" t="s">
        <v>4</v>
      </c>
      <c r="G12" s="10"/>
      <c r="H12" s="30"/>
      <c r="I12" s="2"/>
    </row>
    <row r="13" spans="1:9" x14ac:dyDescent="0.25">
      <c r="A13" s="2"/>
      <c r="B13" s="87" t="s">
        <v>68</v>
      </c>
      <c r="C13" s="80"/>
      <c r="D13" s="81"/>
      <c r="E13" s="21">
        <v>48914</v>
      </c>
      <c r="F13" s="17" t="s">
        <v>4</v>
      </c>
      <c r="G13" s="10"/>
      <c r="H13" s="30"/>
      <c r="I13" s="2"/>
    </row>
    <row r="14" spans="1:9" x14ac:dyDescent="0.25">
      <c r="A14" s="2"/>
      <c r="B14" s="87" t="s">
        <v>69</v>
      </c>
      <c r="C14" s="80"/>
      <c r="D14" s="81"/>
      <c r="E14" s="21">
        <v>25667</v>
      </c>
      <c r="F14" s="17" t="s">
        <v>4</v>
      </c>
      <c r="G14" s="10"/>
      <c r="H14" s="30"/>
      <c r="I14" s="2"/>
    </row>
    <row r="15" spans="1:9" x14ac:dyDescent="0.25">
      <c r="A15" s="2"/>
      <c r="B15" s="104" t="s">
        <v>17</v>
      </c>
      <c r="C15" s="105"/>
      <c r="D15" s="106"/>
      <c r="E15" s="12">
        <f>SUM(E11:E14)</f>
        <v>1671396</v>
      </c>
      <c r="F15" s="25" t="s">
        <v>4</v>
      </c>
      <c r="G15" s="10"/>
      <c r="H15" s="30"/>
      <c r="I15" s="2"/>
    </row>
    <row r="16" spans="1:9" x14ac:dyDescent="0.25">
      <c r="A16" s="2"/>
      <c r="B16" s="87" t="s">
        <v>18</v>
      </c>
      <c r="C16" s="80"/>
      <c r="D16" s="81"/>
      <c r="E16" s="21">
        <v>176670</v>
      </c>
      <c r="F16" s="17" t="s">
        <v>4</v>
      </c>
      <c r="G16" s="10"/>
      <c r="H16" s="30"/>
      <c r="I16" s="2"/>
    </row>
    <row r="17" spans="1:9" x14ac:dyDescent="0.25">
      <c r="A17" s="2"/>
      <c r="B17" s="87" t="s">
        <v>19</v>
      </c>
      <c r="C17" s="80"/>
      <c r="D17" s="81"/>
      <c r="E17" s="21">
        <v>23000</v>
      </c>
      <c r="F17" s="17" t="s">
        <v>4</v>
      </c>
      <c r="G17" s="10"/>
      <c r="H17" s="30"/>
      <c r="I17" s="2"/>
    </row>
    <row r="18" spans="1:9" x14ac:dyDescent="0.25">
      <c r="A18" s="2"/>
      <c r="B18" s="87" t="s">
        <v>20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4" t="s">
        <v>21</v>
      </c>
      <c r="C19" s="105"/>
      <c r="D19" s="106"/>
      <c r="E19" s="12">
        <f>SUM(E16:E18)</f>
        <v>199670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1" t="s">
        <v>22</v>
      </c>
      <c r="C20" s="102"/>
      <c r="D20" s="103"/>
      <c r="E20" s="21">
        <v>0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1" t="s">
        <v>23</v>
      </c>
      <c r="C21" s="102"/>
      <c r="D21" s="103"/>
      <c r="E21" s="21">
        <v>-790745</v>
      </c>
      <c r="F21" s="17" t="s">
        <v>4</v>
      </c>
      <c r="G21" s="10"/>
      <c r="H21" s="30"/>
      <c r="I21" s="2"/>
    </row>
    <row r="22" spans="1:9" x14ac:dyDescent="0.25">
      <c r="A22" s="2"/>
      <c r="B22" s="87" t="s">
        <v>24</v>
      </c>
      <c r="C22" s="80"/>
      <c r="D22" s="81"/>
      <c r="E22" s="21">
        <v>-440664</v>
      </c>
      <c r="F22" s="17" t="s">
        <v>4</v>
      </c>
      <c r="G22" s="10"/>
      <c r="H22" s="30"/>
      <c r="I22" s="2"/>
    </row>
    <row r="23" spans="1:9" x14ac:dyDescent="0.25">
      <c r="A23" s="2"/>
      <c r="B23" s="87" t="s">
        <v>25</v>
      </c>
      <c r="C23" s="80"/>
      <c r="D23" s="81"/>
      <c r="E23" s="21">
        <v>0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1" t="s">
        <v>26</v>
      </c>
      <c r="C24" s="102"/>
      <c r="D24" s="103"/>
      <c r="E24" s="21">
        <v>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1" t="s">
        <v>27</v>
      </c>
      <c r="C25" s="102"/>
      <c r="D25" s="103"/>
      <c r="E25" s="21">
        <v>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1" t="s">
        <v>28</v>
      </c>
      <c r="C26" s="102"/>
      <c r="D26" s="103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4" t="s">
        <v>29</v>
      </c>
      <c r="C27" s="105"/>
      <c r="D27" s="106"/>
      <c r="E27" s="12">
        <f>SUM(E20:E26)</f>
        <v>-1231409</v>
      </c>
      <c r="F27" s="25" t="s">
        <v>4</v>
      </c>
      <c r="G27" s="11"/>
      <c r="H27" s="31"/>
      <c r="I27" s="2"/>
    </row>
    <row r="28" spans="1:9" x14ac:dyDescent="0.25">
      <c r="A28" s="2"/>
      <c r="B28" s="104" t="s">
        <v>30</v>
      </c>
      <c r="C28" s="105"/>
      <c r="D28" s="106"/>
      <c r="E28" s="12">
        <f>E15+E19+E27</f>
        <v>639657</v>
      </c>
      <c r="F28" s="25" t="s">
        <v>4</v>
      </c>
      <c r="G28" s="1">
        <f>IF(E28&lt;0,0,-E28)</f>
        <v>-639657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4" t="s">
        <v>70</v>
      </c>
      <c r="C30" s="105"/>
      <c r="D30" s="106"/>
      <c r="E30" s="20">
        <v>616663</v>
      </c>
      <c r="F30" s="25" t="s">
        <v>4</v>
      </c>
      <c r="G30" s="12">
        <f>-$E$30</f>
        <v>-616663</v>
      </c>
      <c r="H30" s="25" t="s">
        <v>4</v>
      </c>
      <c r="I30" s="2"/>
    </row>
    <row r="31" spans="1:9" x14ac:dyDescent="0.25">
      <c r="A31" s="2"/>
      <c r="B31" s="107" t="s">
        <v>44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1" t="s">
        <v>45</v>
      </c>
      <c r="C32" s="102"/>
      <c r="D32" s="103"/>
      <c r="E32" s="21">
        <v>3692667</v>
      </c>
      <c r="F32" s="17" t="s">
        <v>4</v>
      </c>
      <c r="G32" s="14"/>
      <c r="H32" s="29"/>
      <c r="I32" s="2"/>
    </row>
    <row r="33" spans="1:9" x14ac:dyDescent="0.25">
      <c r="A33" s="2"/>
      <c r="B33" s="87" t="s">
        <v>31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1" t="s">
        <v>32</v>
      </c>
      <c r="C34" s="102"/>
      <c r="D34" s="103"/>
      <c r="E34" s="21">
        <v>31695</v>
      </c>
      <c r="F34" s="17" t="s">
        <v>4</v>
      </c>
      <c r="G34" s="11"/>
      <c r="H34" s="31"/>
      <c r="I34" s="2"/>
    </row>
    <row r="35" spans="1:9" x14ac:dyDescent="0.25">
      <c r="A35" s="2"/>
      <c r="B35" s="104" t="s">
        <v>33</v>
      </c>
      <c r="C35" s="105"/>
      <c r="D35" s="106"/>
      <c r="E35" s="12">
        <f>SUM(E32:E34)</f>
        <v>3724362</v>
      </c>
      <c r="F35" s="25" t="s">
        <v>4</v>
      </c>
      <c r="G35" s="12">
        <f>-E35</f>
        <v>-3724362</v>
      </c>
      <c r="H35" s="25" t="s">
        <v>4</v>
      </c>
      <c r="I35" s="2"/>
    </row>
    <row r="36" spans="1:9" x14ac:dyDescent="0.25">
      <c r="A36" s="2"/>
      <c r="B36" s="91" t="s">
        <v>132</v>
      </c>
      <c r="C36" s="92"/>
      <c r="D36" s="92"/>
      <c r="E36" s="92"/>
      <c r="F36" s="93"/>
      <c r="G36" s="15">
        <f>$G$9+$G$28+$G$30+$G$35</f>
        <v>553440.81099254731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2" t="s">
        <v>102</v>
      </c>
      <c r="C3" s="82"/>
      <c r="D3" s="82"/>
      <c r="E3" s="82"/>
      <c r="F3" s="82"/>
      <c r="G3" s="82"/>
      <c r="H3" s="2"/>
    </row>
    <row r="4" spans="1:8" ht="15" customHeight="1" x14ac:dyDescent="0.25">
      <c r="A4" s="2"/>
      <c r="B4" s="82"/>
      <c r="C4" s="82"/>
      <c r="D4" s="82"/>
      <c r="E4" s="82"/>
      <c r="F4" s="82"/>
      <c r="G4" s="8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131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4" t="s">
        <v>78</v>
      </c>
      <c r="C9" s="86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108" t="s">
        <v>140</v>
      </c>
      <c r="C10" s="109"/>
      <c r="D10" s="47">
        <v>91092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91092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ØR18-21'!E25/100)</f>
        <v>92686.11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141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4" t="s">
        <v>142</v>
      </c>
      <c r="C16" s="85"/>
      <c r="D16" s="85"/>
      <c r="E16" s="86"/>
      <c r="F16" s="100" t="s">
        <v>128</v>
      </c>
      <c r="G16" s="100"/>
      <c r="H16" s="2"/>
    </row>
    <row r="17" spans="1:8" x14ac:dyDescent="0.25">
      <c r="A17" s="2"/>
      <c r="B17" s="87" t="s">
        <v>139</v>
      </c>
      <c r="C17" s="80"/>
      <c r="D17" s="80"/>
      <c r="E17" s="81"/>
      <c r="F17" s="21">
        <v>0</v>
      </c>
      <c r="G17" s="17" t="s">
        <v>4</v>
      </c>
      <c r="H17" s="2"/>
    </row>
    <row r="18" spans="1:8" x14ac:dyDescent="0.25">
      <c r="A18" s="2"/>
      <c r="B18" s="91" t="s">
        <v>129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130</v>
      </c>
      <c r="C19" s="92"/>
      <c r="D19" s="92"/>
      <c r="E19" s="93"/>
      <c r="F19" s="15">
        <f>F18*(1+'Fane 2. Overblik ØR18-21'!E25/100)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9:E19"/>
    <mergeCell ref="B15:G15"/>
    <mergeCell ref="F16:G16"/>
    <mergeCell ref="B12:C12"/>
    <mergeCell ref="B11:C11"/>
    <mergeCell ref="B16:E16"/>
    <mergeCell ref="B17:E17"/>
    <mergeCell ref="B18:E18"/>
    <mergeCell ref="B10:C10"/>
    <mergeCell ref="B3:G4"/>
    <mergeCell ref="B8:G8"/>
    <mergeCell ref="F9:G9"/>
    <mergeCell ref="B9:C9"/>
    <mergeCell ref="D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ØR18-21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2017-09-15T11:56:46Z</dcterms:modified>
</cp:coreProperties>
</file>