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-15" windowWidth="10425" windowHeight="9000" tabRatio="746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10" l="1"/>
  <c r="K20" i="22" l="1"/>
  <c r="K19" i="22"/>
  <c r="G11" i="10" l="1"/>
  <c r="K12" i="22"/>
  <c r="K11" i="22"/>
  <c r="K10" i="22"/>
  <c r="F18" i="20"/>
  <c r="F19" i="20" s="1"/>
  <c r="F16" i="11" l="1"/>
  <c r="F15" i="11"/>
  <c r="F14" i="11"/>
  <c r="F13" i="11"/>
  <c r="F12" i="11"/>
  <c r="F11" i="21" l="1"/>
  <c r="F12" i="21" s="1"/>
  <c r="D11" i="21"/>
  <c r="D12" i="21" s="1"/>
  <c r="K18" i="22" l="1"/>
  <c r="F11" i="20"/>
  <c r="F12" i="20" s="1"/>
  <c r="D11" i="20"/>
  <c r="D12" i="20" s="1"/>
  <c r="E17" i="22" s="1"/>
  <c r="E20" i="22" l="1"/>
  <c r="G17" i="22"/>
  <c r="I17" i="22" l="1"/>
  <c r="G20" i="22"/>
  <c r="G18" i="19"/>
  <c r="G19" i="19" s="1"/>
  <c r="E14" i="22" s="1"/>
  <c r="G12" i="7"/>
  <c r="G14" i="22" l="1"/>
  <c r="E19" i="22"/>
  <c r="E21" i="22" s="1"/>
  <c r="K17" i="22"/>
  <c r="I20" i="22"/>
  <c r="E15" i="13"/>
  <c r="F11" i="11"/>
  <c r="F17" i="11"/>
  <c r="I14" i="22" l="1"/>
  <c r="G19" i="22"/>
  <c r="G21" i="22" s="1"/>
  <c r="G30" i="13"/>
  <c r="K14" i="22" l="1"/>
  <c r="I19" i="22"/>
  <c r="I21" i="22" s="1"/>
  <c r="E35" i="13"/>
  <c r="G35" i="13" s="1"/>
  <c r="E27" i="13"/>
  <c r="E19" i="13"/>
  <c r="G11" i="12"/>
  <c r="G29" i="12"/>
  <c r="G23" i="12"/>
  <c r="G17" i="12"/>
  <c r="F10" i="11"/>
  <c r="F18" i="11" s="1"/>
  <c r="G33" i="12" l="1"/>
  <c r="G35" i="12" s="1"/>
  <c r="K15" i="22" s="1"/>
  <c r="E28" i="13"/>
  <c r="G28" i="13" s="1"/>
  <c r="G36" i="13" s="1"/>
  <c r="K16" i="22" s="1"/>
  <c r="K21" i="22" l="1"/>
</calcChain>
</file>

<file path=xl/sharedStrings.xml><?xml version="1.0" encoding="utf-8"?>
<sst xmlns="http://schemas.openxmlformats.org/spreadsheetml/2006/main" count="329" uniqueCount="149">
  <si>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</si>
  <si>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</si>
  <si>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</si>
  <si>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</si>
  <si>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</si>
  <si>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</si>
  <si>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</si>
  <si>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</si>
  <si>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</si>
  <si>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</si>
  <si>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</si>
  <si>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</si>
  <si>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</si>
  <si>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</si>
  <si>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</si>
  <si>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</si>
  <si>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</si>
  <si>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</si>
  <si>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</si>
  <si>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</si>
  <si>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</si>
  <si>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</si>
  <si>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</si>
  <si>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</si>
  <si>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</si>
  <si>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</si>
  <si>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</si>
  <si>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</si>
  <si>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</si>
  <si>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</si>
  <si>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</si>
  <si>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</si>
  <si>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</si>
  <si>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</si>
  <si>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</si>
  <si>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</si>
  <si>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</si>
  <si>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</si>
  <si>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</si>
  <si>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</si>
  <si>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</si>
  <si>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</si>
  <si>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</si>
  <si>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</si>
  <si>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</si>
  <si>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</si>
  <si>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</si>
  <si>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</si>
  <si>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</si>
  <si>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</si>
  <si>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</si>
  <si>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</si>
  <si>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</si>
  <si>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</si>
  <si>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</si>
  <si>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</si>
  <si>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</si>
  <si>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</si>
  <si>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</si>
  <si>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</si>
  <si>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</si>
  <si>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</si>
  <si>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</si>
  <si>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</si>
  <si>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</si>
  <si>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</si>
  <si>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</si>
  <si>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</si>
  <si>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</si>
  <si>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</si>
  <si>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</si>
  <si>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</si>
  <si>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</si>
  <si>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</si>
  <si>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</si>
  <si>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</si>
  <si>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</si>
  <si>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</si>
  <si>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</si>
  <si>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</si>
  <si>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</si>
  <si>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</si>
  <si>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</si>
  <si>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</si>
  <si>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</si>
  <si>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</si>
  <si>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</si>
  <si>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</si>
  <si>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</si>
  <si>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</si>
  <si>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</si>
  <si>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</si>
  <si>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</si>
  <si>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</si>
  <si>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</si>
  <si>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</si>
  <si>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</si>
  <si>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</si>
  <si>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</si>
  <si>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</si>
  <si>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</si>
  <si>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</si>
  <si>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</si>
  <si>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</si>
  <si>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</si>
  <si>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</si>
  <si>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</si>
  <si>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</si>
  <si>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Korrektion i forhold til tidligere indtægtsramme i prisloft 2016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</si>
  <si>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</si>
  <si>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</si>
  <si>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</si>
  <si>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</si>
  <si>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</si>
  <si>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</si>
  <si>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</si>
  <si>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</si>
  <si>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Filteranlæg, trykfiltre, dobbelt filtrering</t>
  </si>
  <si>
    <t>Afregningsmålere, mekaniske</t>
  </si>
  <si>
    <t>Ventiler på ledningsnet ≤ Ø50 mm</t>
  </si>
  <si>
    <t>Stik på ledningsnet, Konstruktioner</t>
  </si>
  <si>
    <t>Ø110 mm &lt; Ledningsnet ≤ Ø 250 mm</t>
  </si>
  <si>
    <t>Pumpestation (inkl. evt. hydrofor)/trykforøger, Mek./EL</t>
  </si>
  <si>
    <t>Pumpestation (inkl. evt. hydrofor)/trykforøger, Konstruktioner</t>
  </si>
  <si>
    <t>SRO-brønd/kvarterbrønd/sektionsbrønd, SRO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</si>
  <si>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</si>
  <si>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</si>
  <si>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</si>
  <si>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</si>
  <si>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</si>
  <si>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</si>
  <si>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</si>
  <si>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</si>
  <si>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</si>
  <si>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</si>
  <si>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</si>
  <si>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</si>
  <si>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</si>
  <si>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2021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</si>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</sst>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10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9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116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113</v>
      </c>
      <c r="D13" s="76" t="s">
        <v>114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48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41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15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51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50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46</v>
      </c>
      <c r="D21" s="61" t="s">
        <v>49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5:G15" location="'Fane 4. Ikke-påvirkelige omk.'!A1" display="Ikke-påvirkelige omkostninger"/>
    <hyperlink ref="D16:G16" location="'Fane 5. Hist. over el. underdæk'!A1" display="Historisk over- eller underdækning"/>
    <hyperlink ref="D17:G17" location="'Fane 6. Gen. inv. i 2016'!A1" display="Gennemførte investeringer i 2016"/>
    <hyperlink ref="D18:G18" location="'Fane 7. Korrektion af PL2016'!A1" display="Korrektion af prisloft 2016"/>
    <hyperlink ref="D19:G19" location="'Fane 8. Kontrol af PL2016'!A1" display="Kontrol af prisloft 2016"/>
    <hyperlink ref="D20:G20" location="'Fane 9. Tillæg'!A1" display="Tillæg"/>
    <hyperlink ref="D21:G21" location="'Fane 10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103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144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31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37.85546875" style="3" customWidth="1"/>
    <col min="5" max="5" width="10.5703125" style="3" customWidth="1"/>
    <col min="6" max="6" width="4.140625" style="3" customWidth="1"/>
    <col min="7" max="7" width="10.5703125" style="3" customWidth="1"/>
    <col min="8" max="8" width="3.28515625" style="3" customWidth="1"/>
    <col min="9" max="9" width="10.7109375" style="3" customWidth="1"/>
    <col min="10" max="10" width="3.28515625" style="3" customWidth="1"/>
    <col min="11" max="11" width="10.42578125" style="3" customWidth="1"/>
    <col min="12" max="12" width="3.28515625" style="3" customWidth="1"/>
    <col min="13" max="16384" width="9.140625" style="3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83" t="s">
        <v>115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2"/>
    </row>
    <row r="4" spans="1:13" ht="15" customHeight="1" x14ac:dyDescent="0.25">
      <c r="A4" s="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2"/>
    </row>
    <row r="5" spans="1:13" x14ac:dyDescent="0.25">
      <c r="A5" s="2"/>
      <c r="B5" s="84" t="s">
        <v>104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8"/>
      <c r="I8" s="38">
        <v>2020</v>
      </c>
      <c r="J8" s="38"/>
      <c r="K8" s="38">
        <v>2021</v>
      </c>
      <c r="L8" s="39"/>
      <c r="M8" s="2"/>
    </row>
    <row r="9" spans="1:13" ht="15" customHeight="1" x14ac:dyDescent="0.25">
      <c r="A9" s="2"/>
      <c r="B9" s="85" t="s">
        <v>105</v>
      </c>
      <c r="C9" s="86"/>
      <c r="D9" s="87"/>
      <c r="E9" s="48">
        <v>2614801.8427953804</v>
      </c>
      <c r="F9" s="13" t="s">
        <v>4</v>
      </c>
      <c r="G9" s="48">
        <v>2625697.9872207814</v>
      </c>
      <c r="H9" s="13" t="s">
        <v>4</v>
      </c>
      <c r="I9" s="48">
        <v>2636873.3872993751</v>
      </c>
      <c r="J9" s="13" t="s">
        <v>4</v>
      </c>
      <c r="K9" s="57" t="s">
        <v>106</v>
      </c>
      <c r="L9" s="40" t="s">
        <v>4</v>
      </c>
      <c r="M9" s="2"/>
    </row>
    <row r="10" spans="1:13" x14ac:dyDescent="0.25">
      <c r="A10" s="2"/>
      <c r="B10" s="82" t="s">
        <v>72</v>
      </c>
      <c r="C10" s="80"/>
      <c r="D10" s="81"/>
      <c r="E10" s="41" t="s">
        <v>106</v>
      </c>
      <c r="F10" s="8" t="s">
        <v>4</v>
      </c>
      <c r="G10" s="41" t="s">
        <v>106</v>
      </c>
      <c r="H10" s="8" t="s">
        <v>4</v>
      </c>
      <c r="I10" s="41" t="s">
        <v>106</v>
      </c>
      <c r="J10" s="8" t="s">
        <v>4</v>
      </c>
      <c r="K10" s="42">
        <f>'Fane 3. Korrigeret grundlag'!G9*(1+E25/100)^3</f>
        <v>819668.97995418881</v>
      </c>
      <c r="L10" s="8" t="s">
        <v>4</v>
      </c>
      <c r="M10" s="2"/>
    </row>
    <row r="11" spans="1:13" x14ac:dyDescent="0.25">
      <c r="A11" s="2"/>
      <c r="B11" s="46" t="s">
        <v>73</v>
      </c>
      <c r="C11" s="44"/>
      <c r="D11" s="45"/>
      <c r="E11" s="41" t="s">
        <v>106</v>
      </c>
      <c r="F11" s="8" t="s">
        <v>4</v>
      </c>
      <c r="G11" s="41" t="s">
        <v>106</v>
      </c>
      <c r="H11" s="8" t="s">
        <v>4</v>
      </c>
      <c r="I11" s="41" t="s">
        <v>106</v>
      </c>
      <c r="J11" s="8" t="s">
        <v>4</v>
      </c>
      <c r="K11" s="42">
        <f>'Fane 3. Korrigeret grundlag'!G10*(1+E25/100)^3</f>
        <v>1073650.6090692156</v>
      </c>
      <c r="L11" s="8" t="s">
        <v>4</v>
      </c>
      <c r="M11" s="2"/>
    </row>
    <row r="12" spans="1:13" x14ac:dyDescent="0.25">
      <c r="A12" s="2"/>
      <c r="B12" s="46" t="s">
        <v>90</v>
      </c>
      <c r="C12" s="44"/>
      <c r="D12" s="45"/>
      <c r="E12" s="41" t="s">
        <v>106</v>
      </c>
      <c r="F12" s="8" t="s">
        <v>4</v>
      </c>
      <c r="G12" s="41" t="s">
        <v>106</v>
      </c>
      <c r="H12" s="8" t="s">
        <v>4</v>
      </c>
      <c r="I12" s="41" t="s">
        <v>106</v>
      </c>
      <c r="J12" s="8" t="s">
        <v>4</v>
      </c>
      <c r="K12" s="42">
        <f>'Fane 3. Korrigeret grundlag'!G11*(1+E25/100)^3</f>
        <v>1562692.3243972741</v>
      </c>
      <c r="L12" s="8" t="s">
        <v>4</v>
      </c>
      <c r="M12" s="2"/>
    </row>
    <row r="13" spans="1:13" x14ac:dyDescent="0.25">
      <c r="A13" s="2"/>
      <c r="B13" s="46" t="s">
        <v>148</v>
      </c>
      <c r="C13" s="44"/>
      <c r="D13" s="45"/>
      <c r="E13" s="41" t="s">
        <v>106</v>
      </c>
      <c r="F13" s="8" t="s">
        <v>4</v>
      </c>
      <c r="G13" s="41" t="s">
        <v>106</v>
      </c>
      <c r="H13" s="8" t="s">
        <v>4</v>
      </c>
      <c r="I13" s="41" t="s">
        <v>106</v>
      </c>
      <c r="J13" s="8" t="s">
        <v>4</v>
      </c>
      <c r="K13" s="42">
        <v>-125065.29909592988</v>
      </c>
      <c r="L13" s="8" t="s">
        <v>4</v>
      </c>
      <c r="M13" s="2"/>
    </row>
    <row r="14" spans="1:13" x14ac:dyDescent="0.25">
      <c r="A14" s="2"/>
      <c r="B14" s="82" t="s">
        <v>107</v>
      </c>
      <c r="C14" s="80"/>
      <c r="D14" s="81"/>
      <c r="E14" s="42">
        <f>'Fane 4. Ikke-påvirkelige omk.'!G19</f>
        <v>-97640.709237500021</v>
      </c>
      <c r="F14" s="8" t="s">
        <v>4</v>
      </c>
      <c r="G14" s="9">
        <f>E14*(1+$E$25/100)</f>
        <v>-99349.421649156284</v>
      </c>
      <c r="H14" s="8" t="s">
        <v>4</v>
      </c>
      <c r="I14" s="9">
        <f>G14*(1+$E$25/100)</f>
        <v>-101088.03652801653</v>
      </c>
      <c r="J14" s="8" t="s">
        <v>4</v>
      </c>
      <c r="K14" s="51">
        <f>I14*(1+$E$25/100)</f>
        <v>-102857.07716725682</v>
      </c>
      <c r="L14" s="8" t="s">
        <v>4</v>
      </c>
      <c r="M14" s="2"/>
    </row>
    <row r="15" spans="1:13" x14ac:dyDescent="0.25">
      <c r="A15" s="2"/>
      <c r="B15" s="82" t="s">
        <v>71</v>
      </c>
      <c r="C15" s="80"/>
      <c r="D15" s="81"/>
      <c r="E15" s="41" t="s">
        <v>106</v>
      </c>
      <c r="F15" s="8" t="s">
        <v>4</v>
      </c>
      <c r="G15" s="41" t="s">
        <v>106</v>
      </c>
      <c r="H15" s="8" t="s">
        <v>4</v>
      </c>
      <c r="I15" s="41" t="s">
        <v>106</v>
      </c>
      <c r="J15" s="8" t="s">
        <v>4</v>
      </c>
      <c r="K15" s="51">
        <f>SUM('Fane 7. Korrektion af PL2016'!G11,'Fane 7. Korrektion af PL2016'!G17,'Fane 7. Korrektion af PL2016'!G23,'Fane 7. Korrektion af PL2016'!G29,'Fane 7. Korrektion af PL2016'!G35)</f>
        <v>-180639.375</v>
      </c>
      <c r="L15" s="8" t="s">
        <v>4</v>
      </c>
      <c r="M15" s="2"/>
    </row>
    <row r="16" spans="1:13" x14ac:dyDescent="0.25">
      <c r="A16" s="2"/>
      <c r="B16" s="79" t="s">
        <v>108</v>
      </c>
      <c r="C16" s="80"/>
      <c r="D16" s="81"/>
      <c r="E16" s="41" t="s">
        <v>106</v>
      </c>
      <c r="F16" s="8" t="s">
        <v>4</v>
      </c>
      <c r="G16" s="41" t="s">
        <v>106</v>
      </c>
      <c r="H16" s="8" t="s">
        <v>4</v>
      </c>
      <c r="I16" s="41" t="s">
        <v>106</v>
      </c>
      <c r="J16" s="8" t="s">
        <v>4</v>
      </c>
      <c r="K16" s="51">
        <f>'Fane 8. Kontrol af PL2016'!G36</f>
        <v>110210.14809652511</v>
      </c>
      <c r="L16" s="8" t="s">
        <v>4</v>
      </c>
      <c r="M16" s="2"/>
    </row>
    <row r="17" spans="1:13" x14ac:dyDescent="0.25">
      <c r="A17" s="2"/>
      <c r="B17" s="79" t="s">
        <v>109</v>
      </c>
      <c r="C17" s="80"/>
      <c r="D17" s="81"/>
      <c r="E17" s="9">
        <f>'Fane 9. Tillæg'!D12+'Fane 9. Tillæg'!F12</f>
        <v>0</v>
      </c>
      <c r="F17" s="8" t="s">
        <v>4</v>
      </c>
      <c r="G17" s="9">
        <f>E17*(1+$E$25/100)*(1-$E$26/100)</f>
        <v>0</v>
      </c>
      <c r="H17" s="8" t="s">
        <v>4</v>
      </c>
      <c r="I17" s="9">
        <f>G17*(1+$E$25/100)*(1-$E$26/100)</f>
        <v>0</v>
      </c>
      <c r="J17" s="8" t="s">
        <v>4</v>
      </c>
      <c r="K17" s="51">
        <f>I17*(1+$E$25/100)*(1-$E$26/100)</f>
        <v>0</v>
      </c>
      <c r="L17" s="8" t="s">
        <v>4</v>
      </c>
      <c r="M17" s="2"/>
    </row>
    <row r="18" spans="1:13" x14ac:dyDescent="0.25">
      <c r="A18" s="2"/>
      <c r="B18" s="79" t="s">
        <v>79</v>
      </c>
      <c r="C18" s="80"/>
      <c r="D18" s="81"/>
      <c r="E18" s="41" t="s">
        <v>106</v>
      </c>
      <c r="F18" s="8" t="s">
        <v>4</v>
      </c>
      <c r="G18" s="41" t="s">
        <v>106</v>
      </c>
      <c r="H18" s="8" t="s">
        <v>4</v>
      </c>
      <c r="I18" s="41" t="s">
        <v>106</v>
      </c>
      <c r="J18" s="8" t="s">
        <v>4</v>
      </c>
      <c r="K18" s="51">
        <f>'Fane 10. Bortfald'!D12+'Fane 10. Bortfald'!F12</f>
        <v>0</v>
      </c>
      <c r="L18" s="8" t="s">
        <v>4</v>
      </c>
      <c r="M18" s="2"/>
    </row>
    <row r="19" spans="1:13" x14ac:dyDescent="0.25">
      <c r="A19" s="2"/>
      <c r="B19" s="79" t="s">
        <v>47</v>
      </c>
      <c r="C19" s="80"/>
      <c r="D19" s="81"/>
      <c r="E19" s="42">
        <f>(E17+E14)*($E$25/100)</f>
        <v>-1708.7124116562504</v>
      </c>
      <c r="F19" s="8" t="s">
        <v>4</v>
      </c>
      <c r="G19" s="42">
        <f>(G17+G14)*($E$25/100)</f>
        <v>-1738.6148788602352</v>
      </c>
      <c r="H19" s="8" t="s">
        <v>4</v>
      </c>
      <c r="I19" s="42">
        <f>(I17+I14)*($E$25/100)</f>
        <v>-1769.0406392402895</v>
      </c>
      <c r="J19" s="8" t="s">
        <v>4</v>
      </c>
      <c r="K19" s="42">
        <f>SUM(K10:K14,K17:K18)*($E$25/100)</f>
        <v>56491.566900256104</v>
      </c>
      <c r="L19" s="8" t="s">
        <v>4</v>
      </c>
      <c r="M19" s="2"/>
    </row>
    <row r="20" spans="1:13" x14ac:dyDescent="0.25">
      <c r="A20" s="2"/>
      <c r="B20" s="79" t="s">
        <v>14</v>
      </c>
      <c r="C20" s="80"/>
      <c r="D20" s="81"/>
      <c r="E20" s="42">
        <f>-E17*(1+$E$25/100)*($E$26/100)</f>
        <v>0</v>
      </c>
      <c r="F20" s="8" t="s">
        <v>4</v>
      </c>
      <c r="G20" s="42">
        <f>-G17*(1+$E$25/100)*($E$26/100)</f>
        <v>0</v>
      </c>
      <c r="H20" s="8" t="s">
        <v>4</v>
      </c>
      <c r="I20" s="42">
        <f>-I17*(1+$E$25/100)*($E$26/100)</f>
        <v>0</v>
      </c>
      <c r="J20" s="8" t="s">
        <v>4</v>
      </c>
      <c r="K20" s="42">
        <f>-SUM(K10:K11,K13,K17:K18)*(1+$E$25/100)*($E$26/100)</f>
        <v>-30586.378580020493</v>
      </c>
      <c r="L20" s="8" t="s">
        <v>4</v>
      </c>
      <c r="M20" s="2"/>
    </row>
    <row r="21" spans="1:13" x14ac:dyDescent="0.25">
      <c r="A21" s="2"/>
      <c r="B21" s="37" t="s">
        <v>110</v>
      </c>
      <c r="C21" s="38"/>
      <c r="D21" s="38"/>
      <c r="E21" s="49">
        <f>SUM(E9:E20)</f>
        <v>2515452.4211462243</v>
      </c>
      <c r="F21" s="38" t="s">
        <v>4</v>
      </c>
      <c r="G21" s="49">
        <f>SUM(G9:G20)</f>
        <v>2524609.9506927649</v>
      </c>
      <c r="H21" s="38" t="s">
        <v>4</v>
      </c>
      <c r="I21" s="49">
        <f>SUM(I9:I20)</f>
        <v>2534016.3101321184</v>
      </c>
      <c r="J21" s="38" t="s">
        <v>4</v>
      </c>
      <c r="K21" s="52">
        <f>SUM(K9:K20)</f>
        <v>3183565.4985742522</v>
      </c>
      <c r="L21" s="39" t="s">
        <v>4</v>
      </c>
      <c r="M21" s="2"/>
    </row>
    <row r="22" spans="1:13" x14ac:dyDescent="0.25">
      <c r="A22" s="2"/>
      <c r="B22" s="2"/>
      <c r="C22" s="2"/>
      <c r="D22" s="2"/>
      <c r="E22" s="50"/>
      <c r="F22" s="2"/>
      <c r="G22" s="50"/>
      <c r="H22" s="2"/>
      <c r="I22" s="50"/>
      <c r="J22" s="2"/>
      <c r="K22" s="53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" customHeight="1" x14ac:dyDescent="0.25">
      <c r="A24" s="2"/>
      <c r="B24" s="37" t="s">
        <v>111</v>
      </c>
      <c r="C24" s="38"/>
      <c r="D24" s="38"/>
      <c r="E24" s="38"/>
      <c r="F24" s="38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36" t="s">
        <v>112</v>
      </c>
      <c r="C25" s="34"/>
      <c r="D25" s="35"/>
      <c r="E25" s="54">
        <v>1.75</v>
      </c>
      <c r="F25" s="8" t="s">
        <v>34</v>
      </c>
      <c r="G25" s="2"/>
      <c r="H25" s="2"/>
      <c r="I25" s="2"/>
      <c r="J25" s="2"/>
      <c r="K25" s="2"/>
      <c r="L25" s="2"/>
      <c r="M25" s="2"/>
    </row>
    <row r="26" spans="1:13" ht="15" customHeight="1" x14ac:dyDescent="0.25">
      <c r="A26" s="2"/>
      <c r="B26" s="79" t="s">
        <v>14</v>
      </c>
      <c r="C26" s="80"/>
      <c r="D26" s="81"/>
      <c r="E26" s="54">
        <v>1.7</v>
      </c>
      <c r="F26" s="8" t="s">
        <v>34</v>
      </c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38"/>
      <c r="C27" s="38"/>
      <c r="D27" s="38"/>
      <c r="E27" s="38"/>
      <c r="F27" s="38"/>
      <c r="G27" s="2"/>
      <c r="H27" s="2"/>
      <c r="I27" s="2"/>
      <c r="J27" s="2"/>
      <c r="K27" s="2"/>
      <c r="L27" s="2"/>
      <c r="M27" s="2"/>
    </row>
    <row r="28" spans="1:13" ht="1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sheetProtection password="DFE9" sheet="1" objects="1" scenarios="1"/>
  <mergeCells count="12">
    <mergeCell ref="B15:D15"/>
    <mergeCell ref="B3:L4"/>
    <mergeCell ref="B5:L5"/>
    <mergeCell ref="B9:D9"/>
    <mergeCell ref="B10:D10"/>
    <mergeCell ref="B14:D14"/>
    <mergeCell ref="B26:D26"/>
    <mergeCell ref="B16:D16"/>
    <mergeCell ref="B17:D17"/>
    <mergeCell ref="B18:D18"/>
    <mergeCell ref="B19:D19"/>
    <mergeCell ref="B20:D20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778099.69665541546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1019200.7184136083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1483440.8197895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3280741.2348585236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42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74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5" t="s">
        <v>77</v>
      </c>
      <c r="C9" s="86"/>
      <c r="D9" s="87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125</v>
      </c>
      <c r="C10" s="96"/>
      <c r="D10" s="96"/>
      <c r="E10" s="55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126</v>
      </c>
      <c r="C11" s="96"/>
      <c r="D11" s="96"/>
      <c r="E11" s="55">
        <v>2643.9148</v>
      </c>
      <c r="F11" s="17" t="s">
        <v>4</v>
      </c>
      <c r="G11" s="21">
        <v>2653</v>
      </c>
      <c r="H11" s="17" t="s">
        <v>4</v>
      </c>
      <c r="I11" s="2"/>
    </row>
    <row r="12" spans="1:9" x14ac:dyDescent="0.25">
      <c r="A12" s="2"/>
      <c r="B12" s="95" t="s">
        <v>127</v>
      </c>
      <c r="C12" s="96"/>
      <c r="D12" s="96"/>
      <c r="E12" s="55">
        <v>0</v>
      </c>
      <c r="F12" s="17" t="s">
        <v>4</v>
      </c>
      <c r="G12" s="21">
        <v>0</v>
      </c>
      <c r="H12" s="17" t="s">
        <v>4</v>
      </c>
      <c r="I12" s="2"/>
    </row>
    <row r="13" spans="1:9" x14ac:dyDescent="0.25">
      <c r="A13" s="2"/>
      <c r="B13" s="95" t="s">
        <v>128</v>
      </c>
      <c r="C13" s="96"/>
      <c r="D13" s="96"/>
      <c r="E13" s="55">
        <v>32399.4126</v>
      </c>
      <c r="F13" s="17" t="s">
        <v>4</v>
      </c>
      <c r="G13" s="21">
        <v>3391</v>
      </c>
      <c r="H13" s="17" t="s">
        <v>4</v>
      </c>
      <c r="I13" s="2"/>
    </row>
    <row r="14" spans="1:9" x14ac:dyDescent="0.25">
      <c r="A14" s="2"/>
      <c r="B14" s="95" t="s">
        <v>129</v>
      </c>
      <c r="C14" s="96"/>
      <c r="D14" s="96"/>
      <c r="E14" s="55">
        <v>1429794.0575999999</v>
      </c>
      <c r="F14" s="17" t="s">
        <v>4</v>
      </c>
      <c r="G14" s="21">
        <v>1362832</v>
      </c>
      <c r="H14" s="17" t="s">
        <v>4</v>
      </c>
      <c r="I14" s="2"/>
    </row>
    <row r="15" spans="1:9" x14ac:dyDescent="0.25">
      <c r="A15" s="2"/>
      <c r="B15" s="95" t="s">
        <v>130</v>
      </c>
      <c r="C15" s="96"/>
      <c r="D15" s="96"/>
      <c r="E15" s="55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131</v>
      </c>
      <c r="C16" s="96"/>
      <c r="D16" s="96"/>
      <c r="E16" s="55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132</v>
      </c>
      <c r="C17" s="96"/>
      <c r="D17" s="96"/>
      <c r="E17" s="55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-95961.385000000009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ØR18-21'!E25/100)</f>
        <v>-97640.709237500021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98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36</v>
      </c>
      <c r="C9" s="80"/>
      <c r="D9" s="80"/>
      <c r="E9" s="80"/>
      <c r="F9" s="81"/>
      <c r="G9" s="21">
        <v>-6960890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-4862445.4867724869</v>
      </c>
      <c r="H10" s="17" t="s">
        <v>4</v>
      </c>
      <c r="I10" s="2"/>
    </row>
    <row r="11" spans="1:9" x14ac:dyDescent="0.25">
      <c r="A11" s="2"/>
      <c r="B11" s="97" t="s">
        <v>39</v>
      </c>
      <c r="C11" s="98"/>
      <c r="D11" s="98"/>
      <c r="E11" s="98"/>
      <c r="F11" s="99"/>
      <c r="G11" s="56">
        <f>G9-G10</f>
        <v>-2098444.5132275131</v>
      </c>
      <c r="H11" s="26" t="s">
        <v>4</v>
      </c>
      <c r="I11" s="2"/>
    </row>
    <row r="12" spans="1:9" x14ac:dyDescent="0.25">
      <c r="A12" s="2"/>
      <c r="B12" s="79" t="s">
        <v>37</v>
      </c>
      <c r="C12" s="80"/>
      <c r="D12" s="80"/>
      <c r="E12" s="80"/>
      <c r="F12" s="81"/>
      <c r="G12" s="21">
        <v>3</v>
      </c>
      <c r="H12" s="17" t="s">
        <v>82</v>
      </c>
      <c r="I12" s="2"/>
    </row>
    <row r="13" spans="1:9" x14ac:dyDescent="0.25">
      <c r="A13" s="2"/>
      <c r="B13" s="91" t="s">
        <v>35</v>
      </c>
      <c r="C13" s="92"/>
      <c r="D13" s="92"/>
      <c r="E13" s="92"/>
      <c r="F13" s="93"/>
      <c r="G13" s="15">
        <f>IF(G12 = 0,0,G11/G12)</f>
        <v>-699481.50440917106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2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99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51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38</v>
      </c>
      <c r="F9" s="100" t="s">
        <v>3</v>
      </c>
      <c r="G9" s="100"/>
      <c r="H9" s="2"/>
    </row>
    <row r="10" spans="1:8" x14ac:dyDescent="0.25">
      <c r="A10" s="2"/>
      <c r="B10" s="43" t="s">
        <v>117</v>
      </c>
      <c r="C10" s="28">
        <v>2016</v>
      </c>
      <c r="D10" s="22">
        <v>25</v>
      </c>
      <c r="E10" s="21">
        <v>8637</v>
      </c>
      <c r="F10" s="9">
        <f>E10/D10</f>
        <v>345.48</v>
      </c>
      <c r="G10" s="17" t="s">
        <v>4</v>
      </c>
      <c r="H10" s="2"/>
    </row>
    <row r="11" spans="1:8" x14ac:dyDescent="0.25">
      <c r="A11" s="2"/>
      <c r="B11" s="43" t="s">
        <v>118</v>
      </c>
      <c r="C11" s="28">
        <v>2016</v>
      </c>
      <c r="D11" s="22">
        <v>8</v>
      </c>
      <c r="E11" s="21">
        <v>21193</v>
      </c>
      <c r="F11" s="9">
        <f t="shared" ref="F11:F17" si="0">E11/D11</f>
        <v>2649.125</v>
      </c>
      <c r="G11" s="17" t="s">
        <v>4</v>
      </c>
      <c r="H11" s="2"/>
    </row>
    <row r="12" spans="1:8" x14ac:dyDescent="0.25">
      <c r="A12" s="2"/>
      <c r="B12" s="43" t="s">
        <v>119</v>
      </c>
      <c r="C12" s="28">
        <v>2016</v>
      </c>
      <c r="D12" s="22">
        <v>75</v>
      </c>
      <c r="E12" s="21">
        <v>15357</v>
      </c>
      <c r="F12" s="9">
        <f t="shared" si="0"/>
        <v>204.76</v>
      </c>
      <c r="G12" s="17" t="s">
        <v>4</v>
      </c>
      <c r="H12" s="2"/>
    </row>
    <row r="13" spans="1:8" x14ac:dyDescent="0.25">
      <c r="A13" s="2"/>
      <c r="B13" s="43" t="s">
        <v>120</v>
      </c>
      <c r="C13" s="28">
        <v>2016</v>
      </c>
      <c r="D13" s="22">
        <v>75</v>
      </c>
      <c r="E13" s="21">
        <v>14526</v>
      </c>
      <c r="F13" s="9">
        <f t="shared" si="0"/>
        <v>193.68</v>
      </c>
      <c r="G13" s="17" t="s">
        <v>4</v>
      </c>
      <c r="H13" s="2"/>
    </row>
    <row r="14" spans="1:8" x14ac:dyDescent="0.25">
      <c r="A14" s="2"/>
      <c r="B14" s="43" t="s">
        <v>121</v>
      </c>
      <c r="C14" s="28">
        <v>2016</v>
      </c>
      <c r="D14" s="22">
        <v>75</v>
      </c>
      <c r="E14" s="21">
        <v>452797</v>
      </c>
      <c r="F14" s="9">
        <f t="shared" si="0"/>
        <v>6037.2933333333331</v>
      </c>
      <c r="G14" s="17" t="s">
        <v>4</v>
      </c>
      <c r="H14" s="2"/>
    </row>
    <row r="15" spans="1:8" ht="26.25" x14ac:dyDescent="0.25">
      <c r="A15" s="2"/>
      <c r="B15" s="43" t="s">
        <v>122</v>
      </c>
      <c r="C15" s="28">
        <v>2016</v>
      </c>
      <c r="D15" s="22">
        <v>25</v>
      </c>
      <c r="E15" s="21">
        <v>30128</v>
      </c>
      <c r="F15" s="9">
        <f t="shared" si="0"/>
        <v>1205.1199999999999</v>
      </c>
      <c r="G15" s="17" t="s">
        <v>4</v>
      </c>
      <c r="H15" s="2"/>
    </row>
    <row r="16" spans="1:8" ht="26.25" x14ac:dyDescent="0.25">
      <c r="A16" s="2"/>
      <c r="B16" s="43" t="s">
        <v>123</v>
      </c>
      <c r="C16" s="28">
        <v>2016</v>
      </c>
      <c r="D16" s="22">
        <v>50</v>
      </c>
      <c r="E16" s="21">
        <v>273225</v>
      </c>
      <c r="F16" s="9">
        <f t="shared" si="0"/>
        <v>5464.5</v>
      </c>
      <c r="G16" s="17" t="s">
        <v>4</v>
      </c>
      <c r="H16" s="2"/>
    </row>
    <row r="17" spans="1:8" x14ac:dyDescent="0.25">
      <c r="A17" s="2"/>
      <c r="B17" s="43" t="s">
        <v>124</v>
      </c>
      <c r="C17" s="28">
        <v>2016</v>
      </c>
      <c r="D17" s="22">
        <v>10</v>
      </c>
      <c r="E17" s="21">
        <v>31000</v>
      </c>
      <c r="F17" s="9">
        <f t="shared" si="0"/>
        <v>3100</v>
      </c>
      <c r="G17" s="17" t="s">
        <v>4</v>
      </c>
      <c r="H17" s="2"/>
    </row>
    <row r="18" spans="1:8" x14ac:dyDescent="0.25">
      <c r="A18" s="2"/>
      <c r="B18" s="91" t="s">
        <v>52</v>
      </c>
      <c r="C18" s="92"/>
      <c r="D18" s="92"/>
      <c r="E18" s="93"/>
      <c r="F18" s="15">
        <f>SUM(F10:F17)</f>
        <v>19199.958333333332</v>
      </c>
      <c r="G18" s="16" t="s">
        <v>4</v>
      </c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</sheetData>
  <sheetProtection password="DFE9" sheet="1" objects="1" scenarios="1"/>
  <mergeCells count="4">
    <mergeCell ref="B18:E18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100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139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53</v>
      </c>
      <c r="C9" s="80"/>
      <c r="D9" s="80"/>
      <c r="E9" s="80"/>
      <c r="F9" s="81"/>
      <c r="G9" s="21">
        <v>1391463</v>
      </c>
      <c r="H9" s="17" t="s">
        <v>4</v>
      </c>
      <c r="I9" s="2"/>
    </row>
    <row r="10" spans="1:9" x14ac:dyDescent="0.25">
      <c r="A10" s="2"/>
      <c r="B10" s="79" t="s">
        <v>54</v>
      </c>
      <c r="C10" s="80"/>
      <c r="D10" s="80"/>
      <c r="E10" s="80"/>
      <c r="F10" s="81"/>
      <c r="G10" s="21">
        <v>1595150</v>
      </c>
      <c r="H10" s="17" t="s">
        <v>4</v>
      </c>
      <c r="I10" s="2"/>
    </row>
    <row r="11" spans="1:9" x14ac:dyDescent="0.25">
      <c r="A11" s="2"/>
      <c r="B11" s="91" t="s">
        <v>140</v>
      </c>
      <c r="C11" s="92"/>
      <c r="D11" s="92"/>
      <c r="E11" s="92"/>
      <c r="F11" s="93"/>
      <c r="G11" s="15">
        <f>G9-G10</f>
        <v>-203687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141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55</v>
      </c>
      <c r="C15" s="80"/>
      <c r="D15" s="80"/>
      <c r="E15" s="80"/>
      <c r="F15" s="81"/>
      <c r="G15" s="21">
        <v>154585</v>
      </c>
      <c r="H15" s="17" t="s">
        <v>4</v>
      </c>
      <c r="I15" s="2"/>
    </row>
    <row r="16" spans="1:9" x14ac:dyDescent="0.25">
      <c r="A16" s="2"/>
      <c r="B16" s="79" t="s">
        <v>56</v>
      </c>
      <c r="C16" s="80"/>
      <c r="D16" s="80"/>
      <c r="E16" s="80"/>
      <c r="F16" s="81"/>
      <c r="G16" s="21">
        <v>77500</v>
      </c>
      <c r="H16" s="17" t="s">
        <v>4</v>
      </c>
      <c r="I16" s="2"/>
    </row>
    <row r="17" spans="1:9" x14ac:dyDescent="0.25">
      <c r="A17" s="2"/>
      <c r="B17" s="91" t="s">
        <v>141</v>
      </c>
      <c r="C17" s="92"/>
      <c r="D17" s="92"/>
      <c r="E17" s="92"/>
      <c r="F17" s="93"/>
      <c r="G17" s="15">
        <f>G15-G16</f>
        <v>77085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142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57</v>
      </c>
      <c r="C21" s="80"/>
      <c r="D21" s="80"/>
      <c r="E21" s="80"/>
      <c r="F21" s="81"/>
      <c r="G21" s="21">
        <v>10746</v>
      </c>
      <c r="H21" s="17" t="s">
        <v>4</v>
      </c>
      <c r="I21" s="2"/>
    </row>
    <row r="22" spans="1:9" x14ac:dyDescent="0.25">
      <c r="A22" s="2"/>
      <c r="B22" s="79" t="s">
        <v>58</v>
      </c>
      <c r="C22" s="80"/>
      <c r="D22" s="80"/>
      <c r="E22" s="80"/>
      <c r="F22" s="81"/>
      <c r="G22" s="21">
        <v>71800</v>
      </c>
      <c r="H22" s="17" t="s">
        <v>4</v>
      </c>
      <c r="I22" s="2"/>
    </row>
    <row r="23" spans="1:9" x14ac:dyDescent="0.25">
      <c r="A23" s="2"/>
      <c r="B23" s="91" t="s">
        <v>142</v>
      </c>
      <c r="C23" s="92"/>
      <c r="D23" s="92"/>
      <c r="E23" s="92"/>
      <c r="F23" s="93"/>
      <c r="G23" s="15">
        <f>G21-G22</f>
        <v>-61054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ht="15" customHeight="1" x14ac:dyDescent="0.25">
      <c r="A26" s="2"/>
      <c r="B26" s="88" t="s">
        <v>143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101" t="s">
        <v>59</v>
      </c>
      <c r="C27" s="102"/>
      <c r="D27" s="102"/>
      <c r="E27" s="102"/>
      <c r="F27" s="103"/>
      <c r="G27" s="21">
        <v>0</v>
      </c>
      <c r="H27" s="17" t="s">
        <v>4</v>
      </c>
      <c r="I27" s="2"/>
    </row>
    <row r="28" spans="1:9" x14ac:dyDescent="0.25">
      <c r="A28" s="2"/>
      <c r="B28" s="79" t="s">
        <v>60</v>
      </c>
      <c r="C28" s="80"/>
      <c r="D28" s="80"/>
      <c r="E28" s="80"/>
      <c r="F28" s="81"/>
      <c r="G28" s="21">
        <v>0</v>
      </c>
      <c r="H28" s="17" t="s">
        <v>4</v>
      </c>
      <c r="I28" s="2"/>
    </row>
    <row r="29" spans="1:9" ht="15" customHeight="1" x14ac:dyDescent="0.25">
      <c r="A29" s="2"/>
      <c r="B29" s="88" t="s">
        <v>143</v>
      </c>
      <c r="C29" s="89"/>
      <c r="D29" s="89"/>
      <c r="E29" s="89"/>
      <c r="F29" s="90"/>
      <c r="G29" s="15">
        <f>G27-G28</f>
        <v>0</v>
      </c>
      <c r="H29" s="16" t="s">
        <v>4</v>
      </c>
      <c r="I29" s="2"/>
    </row>
    <row r="30" spans="1:9" x14ac:dyDescent="0.25">
      <c r="A30" s="2"/>
      <c r="B30" s="18"/>
      <c r="C30" s="18"/>
      <c r="D30" s="18"/>
      <c r="E30" s="18"/>
      <c r="F30" s="18"/>
      <c r="G30" s="18"/>
      <c r="H30" s="18"/>
      <c r="I30" s="2"/>
    </row>
    <row r="31" spans="1:9" x14ac:dyDescent="0.25">
      <c r="A31" s="2"/>
      <c r="B31" s="18"/>
      <c r="C31" s="18"/>
      <c r="D31" s="18"/>
      <c r="E31" s="18"/>
      <c r="F31" s="18"/>
      <c r="G31" s="18"/>
      <c r="H31" s="18"/>
      <c r="I31" s="2"/>
    </row>
    <row r="32" spans="1:9" x14ac:dyDescent="0.25">
      <c r="A32" s="2"/>
      <c r="B32" s="88" t="s">
        <v>61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79" t="s">
        <v>62</v>
      </c>
      <c r="C33" s="80"/>
      <c r="D33" s="80"/>
      <c r="E33" s="80"/>
      <c r="F33" s="81"/>
      <c r="G33" s="9">
        <f>'Fane 6. Gen. inv. i 2016'!F18</f>
        <v>19199.958333333332</v>
      </c>
      <c r="H33" s="17" t="s">
        <v>4</v>
      </c>
      <c r="I33" s="2"/>
    </row>
    <row r="34" spans="1:9" x14ac:dyDescent="0.25">
      <c r="A34" s="2"/>
      <c r="B34" s="79" t="s">
        <v>63</v>
      </c>
      <c r="C34" s="80"/>
      <c r="D34" s="80"/>
      <c r="E34" s="80"/>
      <c r="F34" s="81"/>
      <c r="G34" s="21">
        <v>12183.333333333334</v>
      </c>
      <c r="H34" s="17" t="s">
        <v>4</v>
      </c>
      <c r="I34" s="2"/>
    </row>
    <row r="35" spans="1:9" x14ac:dyDescent="0.25">
      <c r="A35" s="2"/>
      <c r="B35" s="91" t="s">
        <v>61</v>
      </c>
      <c r="C35" s="92"/>
      <c r="D35" s="92"/>
      <c r="E35" s="92"/>
      <c r="F35" s="93"/>
      <c r="G35" s="15">
        <f>G33-G34</f>
        <v>7016.6249999999982</v>
      </c>
      <c r="H35" s="16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3:H4"/>
    <mergeCell ref="B8:H8"/>
    <mergeCell ref="B11:F11"/>
    <mergeCell ref="B10:F10"/>
    <mergeCell ref="B9:F9"/>
    <mergeCell ref="B21:F21"/>
    <mergeCell ref="B22:F22"/>
    <mergeCell ref="B14:H14"/>
    <mergeCell ref="B15:F15"/>
    <mergeCell ref="B16:F16"/>
    <mergeCell ref="B17:F17"/>
    <mergeCell ref="B20:H2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101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2441053.1480965251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16</v>
      </c>
      <c r="C11" s="80"/>
      <c r="D11" s="81"/>
      <c r="E11" s="21">
        <v>573283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206902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16973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53900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17</v>
      </c>
      <c r="C15" s="105"/>
      <c r="D15" s="106"/>
      <c r="E15" s="12">
        <f>SUM(E11:E14)</f>
        <v>851058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18</v>
      </c>
      <c r="C16" s="80"/>
      <c r="D16" s="81"/>
      <c r="E16" s="21">
        <v>20000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19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20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21</v>
      </c>
      <c r="C19" s="105"/>
      <c r="D19" s="106"/>
      <c r="E19" s="12">
        <f>SUM(E16:E18)</f>
        <v>20000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22</v>
      </c>
      <c r="C20" s="102"/>
      <c r="D20" s="103"/>
      <c r="E20" s="21">
        <v>-234639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23</v>
      </c>
      <c r="C21" s="102"/>
      <c r="D21" s="103"/>
      <c r="E21" s="21">
        <v>-636419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24</v>
      </c>
      <c r="C22" s="80"/>
      <c r="D22" s="81"/>
      <c r="E22" s="21">
        <v>0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25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26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27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28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29</v>
      </c>
      <c r="C27" s="105"/>
      <c r="D27" s="106"/>
      <c r="E27" s="12">
        <f>SUM(E20:E26)</f>
        <v>-871058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30</v>
      </c>
      <c r="C28" s="105"/>
      <c r="D28" s="106"/>
      <c r="E28" s="12">
        <f>E15+E19+E27</f>
        <v>0</v>
      </c>
      <c r="F28" s="25" t="s">
        <v>4</v>
      </c>
      <c r="G28" s="1">
        <f>IF(E28&lt;0,0,-E28)</f>
        <v>0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7" t="s">
        <v>44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45</v>
      </c>
      <c r="C32" s="102"/>
      <c r="D32" s="103"/>
      <c r="E32" s="21">
        <v>2328374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31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32</v>
      </c>
      <c r="C34" s="102"/>
      <c r="D34" s="103"/>
      <c r="E34" s="21">
        <v>2469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33</v>
      </c>
      <c r="C35" s="105"/>
      <c r="D35" s="106"/>
      <c r="E35" s="12">
        <f>SUM(E32:E34)</f>
        <v>2330843</v>
      </c>
      <c r="F35" s="25" t="s">
        <v>4</v>
      </c>
      <c r="G35" s="12">
        <f>-E35</f>
        <v>-2330843</v>
      </c>
      <c r="H35" s="25" t="s">
        <v>4</v>
      </c>
      <c r="I35" s="2"/>
    </row>
    <row r="36" spans="1:9" x14ac:dyDescent="0.25">
      <c r="A36" s="2"/>
      <c r="B36" s="91" t="s">
        <v>138</v>
      </c>
      <c r="C36" s="92"/>
      <c r="D36" s="92"/>
      <c r="E36" s="92"/>
      <c r="F36" s="93"/>
      <c r="G36" s="15">
        <f>$G$9+$G$28+$G$30+$G$35</f>
        <v>110210.14809652511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102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136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5" t="s">
        <v>78</v>
      </c>
      <c r="C9" s="87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137</v>
      </c>
      <c r="C10" s="109"/>
      <c r="D10" s="47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146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5" t="s">
        <v>147</v>
      </c>
      <c r="C16" s="86"/>
      <c r="D16" s="86"/>
      <c r="E16" s="87"/>
      <c r="F16" s="100" t="s">
        <v>133</v>
      </c>
      <c r="G16" s="100"/>
      <c r="H16" s="2"/>
    </row>
    <row r="17" spans="1:8" x14ac:dyDescent="0.25">
      <c r="A17" s="2"/>
      <c r="B17" s="79" t="s">
        <v>145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134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135</v>
      </c>
      <c r="C19" s="92"/>
      <c r="D19" s="92"/>
      <c r="E19" s="93"/>
      <c r="F19" s="15">
        <f>F18*(1+'Fane 2. Overblik ØR18-21'!E25/100)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ØR18-21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2017-09-13T12:59:05Z</dcterms:modified>
</cp:coreProperties>
</file>