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D5" i="16"/>
  <c r="E6" i="16"/>
  <c r="D6" i="16"/>
  <c r="J3" i="24"/>
  <c r="M3" i="24" s="1"/>
  <c r="E5" i="16"/>
  <c r="G3" i="16" s="1"/>
  <c r="F3" i="16" l="1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<sst xmlns="http://schemas.openxmlformats.org/spreadsheetml/2006/main" count="112" uniqueCount="75">
  <si>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</si>
  <si>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</si>
  <si>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</si>
  <si>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</si>
  <si>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</si>
  <si>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</si>
  <si>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</si>
  <si>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</si>
  <si>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</si>
  <si>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</si>
  <si>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</si>
  <si>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</si>
  <si>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</si>
  <si>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</si>
  <si>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</si>
  <si>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</si>
  <si>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</si>
  <si>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</si>
  <si>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</si>
  <si>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</si>
  <si>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</si>
  <si>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</si>
  <si>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Grundvandsbeskyttelse</t>
  </si>
  <si>
    <t>Drifts af kulfilteranlæg Bagterp vandværk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</si>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</sst>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13914124.207815999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907571.59099066665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185471.12453333329</v>
      </c>
      <c r="C4" t="s">
        <v>11</v>
      </c>
    </row>
    <row r="5" spans="1:3" s="26" customFormat="1" x14ac:dyDescent="0.25">
      <c r="A5" s="3" t="s">
        <v>12</v>
      </c>
      <c r="B5" s="48">
        <f>SUM(B2:B4)</f>
        <v>15007166.923339998</v>
      </c>
      <c r="C5" s="62" t="s">
        <v>11</v>
      </c>
    </row>
    <row r="6" spans="1:3" x14ac:dyDescent="0.25">
      <c r="A6" s="47" t="s">
        <v>0</v>
      </c>
      <c r="B6" s="38">
        <f>Investeringer!E3</f>
        <v>17453801.172928572</v>
      </c>
      <c r="C6" s="23" t="s">
        <v>11</v>
      </c>
    </row>
    <row r="7" spans="1:3" x14ac:dyDescent="0.25">
      <c r="A7" s="4" t="s">
        <v>1</v>
      </c>
      <c r="B7" s="35">
        <f>Investeringer!F3</f>
        <v>4355130.4732159693</v>
      </c>
      <c r="C7" t="s">
        <v>11</v>
      </c>
    </row>
    <row r="8" spans="1:3" x14ac:dyDescent="0.25">
      <c r="A8" s="4" t="s">
        <v>2</v>
      </c>
      <c r="B8" s="35">
        <f>Investeringer!G3</f>
        <v>688787.26159405755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1072224.5163986667</v>
      </c>
      <c r="C9" t="s">
        <v>11</v>
      </c>
    </row>
    <row r="10" spans="1:3" s="22" customFormat="1" x14ac:dyDescent="0.25">
      <c r="A10" s="3" t="s">
        <v>48</v>
      </c>
      <c r="B10" s="48">
        <f>SUM(B6:B9)</f>
        <v>23569943.424137264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23958227</v>
      </c>
      <c r="C11" t="s">
        <v>11</v>
      </c>
    </row>
    <row r="12" spans="1:3" s="22" customFormat="1" x14ac:dyDescent="0.25">
      <c r="A12" s="3" t="s">
        <v>68</v>
      </c>
      <c r="B12" s="48">
        <f>SUM(B11:B11)</f>
        <v>23958227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62535337.347477265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63088883.894489415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69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12839502</v>
      </c>
      <c r="C2" s="49">
        <v>0</v>
      </c>
      <c r="D2" s="49">
        <f>B2+C2</f>
        <v>12839502</v>
      </c>
      <c r="E2" s="50">
        <f>D2</f>
        <v>12839502</v>
      </c>
      <c r="F2" s="49">
        <v>15670078.643741686</v>
      </c>
      <c r="G2" s="49">
        <v>0</v>
      </c>
      <c r="H2" s="49">
        <f>F2-G2</f>
        <v>15670078.643741686</v>
      </c>
      <c r="I2" s="49">
        <f>AVERAGEIF(E2:E4,"&lt;&gt;0")</f>
        <v>13914124.207815999</v>
      </c>
      <c r="J2" s="49">
        <v>12153488.986043189</v>
      </c>
      <c r="K2" s="39">
        <f>IF(H2&gt;I2,IF(I2&gt;J2,I2,J2),H2)</f>
        <v>13914124.207815999</v>
      </c>
    </row>
    <row r="3" spans="1:11" s="23" customFormat="1" x14ac:dyDescent="0.25">
      <c r="A3" s="28">
        <v>2014</v>
      </c>
      <c r="B3" s="49">
        <v>15271201</v>
      </c>
      <c r="C3" s="49"/>
      <c r="D3" s="49">
        <f t="shared" ref="D3:D4" si="0">B3+C3</f>
        <v>15271201</v>
      </c>
      <c r="E3" s="50">
        <f>D3*Pristalsregulering!C7</f>
        <v>15283417.9608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13407454</v>
      </c>
      <c r="C4" s="49"/>
      <c r="D4" s="49">
        <f t="shared" si="0"/>
        <v>13407454</v>
      </c>
      <c r="E4" s="50">
        <f>D4*Pristalsregulering!$C$6*Pristalsregulering!$C$7</f>
        <v>13619452.662647998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10" max="111" width="0" hidden="1" customWidth="1"/>
    <col min="112" max="112" width="9.140625" hidden="1" customWidth="1"/>
    <col min="113" max="117" width="0" hidden="1" customWidth="1"/>
    <col min="118" max="118" width="9.140625" hidden="1" customWidth="1"/>
    <col min="119" max="216" width="0" hidden="1" customWidth="1"/>
    <col min="217" max="217" width="9.140625" hidden="1" customWidth="1"/>
    <col min="218" max="222" width="0" hidden="1" customWidth="1"/>
    <col min="223" max="223" width="9.140625" hidden="1" customWidth="1"/>
    <col min="224" max="228" width="0" hidden="1" customWidth="1"/>
    <col min="229" max="229" width="9.140625" hidden="1" customWidth="1"/>
    <col min="230" max="321" width="0" hidden="1" customWidth="1"/>
    <col min="322" max="322" width="9.140625" hidden="1" customWidth="1"/>
    <col min="323" max="327" width="0" hidden="1" customWidth="1"/>
    <col min="328" max="328" width="9.140625" hidden="1" customWidth="1"/>
    <col min="329" max="333" width="0" hidden="1" customWidth="1"/>
    <col min="334" max="334" width="9.140625" hidden="1" customWidth="1"/>
    <col min="335" max="339" width="0" hidden="1" customWidth="1"/>
    <col min="340" max="340" width="9.140625" hidden="1" customWidth="1"/>
    <col min="341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71</v>
      </c>
      <c r="C1" s="33"/>
      <c r="D1" s="63" t="s">
        <v>72</v>
      </c>
      <c r="E1" s="10"/>
      <c r="F1" s="73" t="s">
        <v>73</v>
      </c>
      <c r="G1" s="10"/>
      <c r="H1" s="63"/>
    </row>
    <row r="2" spans="1:8" ht="30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>
        <v>0</v>
      </c>
      <c r="C3" s="72">
        <v>0</v>
      </c>
      <c r="D3" s="45">
        <f>B3/Pristalsregulering!$C$8</f>
        <v>0</v>
      </c>
      <c r="E3" s="35">
        <f>C3/Pristalsregulering!$C$8</f>
        <v>0</v>
      </c>
      <c r="F3" s="45">
        <f t="shared" ref="F3" si="0">IF(D4=0,0,AVERAGEIF(D4:D6,"&lt;&gt;0"))+D3</f>
        <v>685951.90158399998</v>
      </c>
      <c r="G3" s="38">
        <f>IF(E4=0,0,AVERAGEIF(E4:E6,"&lt;&gt;0"))+E3</f>
        <v>221619.68940666664</v>
      </c>
      <c r="H3" s="57">
        <f>SUM(F3:G3)</f>
        <v>907571.59099066665</v>
      </c>
    </row>
    <row r="4" spans="1:8" x14ac:dyDescent="0.25">
      <c r="A4" s="28">
        <v>2015</v>
      </c>
      <c r="B4" s="35">
        <v>256710</v>
      </c>
      <c r="C4" s="35">
        <v>171911</v>
      </c>
      <c r="D4" s="45">
        <f t="shared" ref="D4" si="1">B4</f>
        <v>256710</v>
      </c>
      <c r="E4" s="35">
        <f>C4</f>
        <v>171911</v>
      </c>
      <c r="F4" s="45"/>
      <c r="G4" s="38"/>
      <c r="H4" s="54"/>
    </row>
    <row r="5" spans="1:8" x14ac:dyDescent="0.25">
      <c r="A5" s="28">
        <v>2014</v>
      </c>
      <c r="B5" s="35">
        <v>376680</v>
      </c>
      <c r="C5" s="35">
        <v>283530</v>
      </c>
      <c r="D5" s="45">
        <f>B5*Pristalsregulering!$C$7</f>
        <v>376981.34399999998</v>
      </c>
      <c r="E5" s="35">
        <f>C5*Pristalsregulering!$C$7</f>
        <v>283756.82399999996</v>
      </c>
      <c r="F5" s="45"/>
      <c r="G5" s="35"/>
      <c r="H5" s="45"/>
    </row>
    <row r="6" spans="1:8" x14ac:dyDescent="0.25">
      <c r="A6" s="28">
        <v>2013</v>
      </c>
      <c r="B6" s="35">
        <v>1401996</v>
      </c>
      <c r="C6" s="35">
        <v>205935</v>
      </c>
      <c r="D6" s="45">
        <f>B6*Pristalsregulering!$C$7*Pristalsregulering!$C$6</f>
        <v>1424164.3607519998</v>
      </c>
      <c r="E6" s="35">
        <f>C6*Pristalsregulering!$C$7*Pristalsregulering!$C$6</f>
        <v>209191.24421999996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4" t="s">
        <v>25</v>
      </c>
      <c r="C1" s="75"/>
      <c r="D1" s="75"/>
      <c r="E1" s="76" t="s">
        <v>54</v>
      </c>
      <c r="F1" s="77"/>
      <c r="G1" s="78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17000</v>
      </c>
      <c r="C3" s="42">
        <v>181160</v>
      </c>
      <c r="D3" s="42">
        <v>0</v>
      </c>
      <c r="E3" s="41">
        <f>B3</f>
        <v>17000</v>
      </c>
      <c r="F3" s="42">
        <f t="shared" ref="F3:G3" si="0">C3</f>
        <v>181160</v>
      </c>
      <c r="G3" s="43">
        <f t="shared" si="0"/>
        <v>0</v>
      </c>
      <c r="H3" s="44">
        <f>IF(E3=0,0,AVERAGEIF(E3:E5,"&lt;&gt;0"))+IF(F3=0,0,AVERAGEIF(F3:F5,"&lt;&gt;0"))+IF(G3=0,0,AVERAGEIF(G3:G5,"&lt;&gt;0"))</f>
        <v>185471.12453333329</v>
      </c>
    </row>
    <row r="4" spans="1:8" x14ac:dyDescent="0.25">
      <c r="A4" s="31">
        <v>2014</v>
      </c>
      <c r="B4" s="41">
        <v>20700</v>
      </c>
      <c r="C4" s="42">
        <v>156800</v>
      </c>
      <c r="D4" s="42">
        <v>0</v>
      </c>
      <c r="E4" s="41">
        <f>B4*Pristalsregulering!$C$7</f>
        <v>20716.559999999998</v>
      </c>
      <c r="F4" s="42">
        <f>C4*Pristalsregulering!$C$7</f>
        <v>156925.43999999997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27400</v>
      </c>
      <c r="C5" s="42">
        <v>150400</v>
      </c>
      <c r="D5" s="42">
        <v>0</v>
      </c>
      <c r="E5" s="41">
        <f>B5*Pristalsregulering!$C$7*Pristalsregulering!$C$6</f>
        <v>27833.248799999994</v>
      </c>
      <c r="F5" s="42">
        <f>C5*Pristalsregulering!$C$7*Pristalsregulering!$C$6</f>
        <v>152778.12479999996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7" t="s">
        <v>66</v>
      </c>
      <c r="C1" s="77"/>
      <c r="D1" s="78"/>
      <c r="E1" s="79" t="s">
        <v>67</v>
      </c>
      <c r="F1" s="79"/>
      <c r="G1" s="79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70">
        <v>2015</v>
      </c>
      <c r="B3" s="38">
        <v>16031797.340586383</v>
      </c>
      <c r="C3" s="38">
        <v>4223302.1116666673</v>
      </c>
      <c r="D3" s="40">
        <v>686169.87000000011</v>
      </c>
      <c r="E3" s="35">
        <f>B3*Pristalsregulering!C2*Pristalsregulering!C3*Pristalsregulering!C4*Pristalsregulering!C5*Pristalsregulering!C6*Pristalsregulering!C7</f>
        <v>17453801.172928572</v>
      </c>
      <c r="F3" s="35">
        <v>4355130.4732159693</v>
      </c>
      <c r="G3" s="35">
        <f xml:space="preserve"> D3/Pristalsregulering!$C$8</f>
        <v>688787.26159405755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4" t="s">
        <v>41</v>
      </c>
      <c r="C1" s="75"/>
      <c r="D1" s="75"/>
      <c r="E1" s="75"/>
      <c r="F1" s="76" t="s">
        <v>55</v>
      </c>
      <c r="G1" s="77"/>
      <c r="H1" s="77"/>
      <c r="I1" s="77"/>
      <c r="J1" s="80" t="s">
        <v>30</v>
      </c>
      <c r="K1" s="79"/>
      <c r="L1" s="81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70</v>
      </c>
      <c r="M2" s="6" t="s">
        <v>29</v>
      </c>
      <c r="N2" s="32"/>
    </row>
    <row r="3" spans="1:14" x14ac:dyDescent="0.25">
      <c r="A3" s="28">
        <v>2015</v>
      </c>
      <c r="B3" s="45">
        <v>1338887</v>
      </c>
      <c r="C3" s="38">
        <v>566171</v>
      </c>
      <c r="D3" s="38">
        <v>0</v>
      </c>
      <c r="E3" s="40">
        <v>0</v>
      </c>
      <c r="F3" s="38">
        <f>B3</f>
        <v>1338887</v>
      </c>
      <c r="G3" s="38">
        <f>C3</f>
        <v>566171</v>
      </c>
      <c r="H3" s="38">
        <f>D3</f>
        <v>0</v>
      </c>
      <c r="I3" s="40">
        <f>E3</f>
        <v>0</v>
      </c>
      <c r="J3" s="42">
        <f>AVERAGE(F3:F5)</f>
        <v>506053.51639866672</v>
      </c>
      <c r="K3" s="42">
        <f>G3</f>
        <v>566171</v>
      </c>
      <c r="L3" s="43">
        <f>AVERAGE(H3:H5)+AVERAGE(I3:I5)</f>
        <v>0</v>
      </c>
      <c r="M3" s="44">
        <f>SUM(J3:L3)</f>
        <v>1072224.5163986667</v>
      </c>
      <c r="N3" s="23"/>
    </row>
    <row r="4" spans="1:14" x14ac:dyDescent="0.25">
      <c r="A4" s="28">
        <v>2014</v>
      </c>
      <c r="B4" s="45">
        <v>141694</v>
      </c>
      <c r="C4" s="38">
        <v>527034</v>
      </c>
      <c r="D4" s="38">
        <v>0</v>
      </c>
      <c r="E4" s="40">
        <v>0</v>
      </c>
      <c r="F4" s="38">
        <f>IF(B4="","",B4*Pristalsregulering!$C$7)</f>
        <v>141807.35519999999</v>
      </c>
      <c r="G4" s="38">
        <f>IF(C4="","",C4*Pristalsregulering!$C$7)</f>
        <v>527455.62719999999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36883</v>
      </c>
      <c r="C5" s="38">
        <v>534512</v>
      </c>
      <c r="D5" s="38">
        <v>0</v>
      </c>
      <c r="E5" s="40">
        <v>0</v>
      </c>
      <c r="F5" s="38">
        <f>IF(B5="","",B5*Pristalsregulering!$C$7*Pristalsregulering!$C$6)</f>
        <v>37466.193995999995</v>
      </c>
      <c r="G5" s="38">
        <f>IF(C5="","",C5*Pristalsregulering!$C$7*Pristalsregulering!$C$6)</f>
        <v>542963.70374399994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16261</v>
      </c>
      <c r="C2" s="42">
        <v>0</v>
      </c>
      <c r="D2" s="42">
        <v>128135</v>
      </c>
      <c r="E2" s="42">
        <v>0</v>
      </c>
      <c r="F2" s="42">
        <v>2592094</v>
      </c>
      <c r="G2" s="42">
        <v>21221737</v>
      </c>
      <c r="H2" s="42" t="s">
        <v>47</v>
      </c>
      <c r="I2" s="42">
        <v>0</v>
      </c>
      <c r="J2" s="42">
        <v>0</v>
      </c>
      <c r="K2" s="42"/>
      <c r="L2" s="43"/>
      <c r="M2" s="44">
        <f>SUM(B2:L2)</f>
        <v>23958227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2017-09-12T14:53:12Z</dcterms:modified>
</cp:coreProperties>
</file>