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5" i="16"/>
  <c r="C6" i="16"/>
  <c r="J3" i="24"/>
  <c r="M3" i="24" l="1"/>
  <c r="B9" i="12" s="1"/>
  <c r="B10" i="12" s="1"/>
  <c r="D3" i="16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<sst xmlns="http://schemas.openxmlformats.org/spreadsheetml/2006/main" count="109" uniqueCount="74">
  <si>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</si>
  <si>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</si>
  <si>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</si>
  <si>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</si>
  <si>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</si>
  <si>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</si>
  <si>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</si>
  <si>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</si>
  <si>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</si>
  <si>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</si>
  <si>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</si>
  <si>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</si>
  <si>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</si>
  <si>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</si>
  <si>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</si>
  <si>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</si>
  <si>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</si>
  <si>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</si>
  <si>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</si>
  <si>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</si>
  <si>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</si>
  <si>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</si>
  <si>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Grundvandsbeskyttelse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</si>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</sst>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30" xfId="0" applyNumberFormat="1" applyFont="1" applyFill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1178002.5220041368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0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23130.153550666666</v>
      </c>
      <c r="C4" t="s">
        <v>11</v>
      </c>
    </row>
    <row r="5" spans="1:3" s="26" customFormat="1" x14ac:dyDescent="0.25">
      <c r="A5" s="3" t="s">
        <v>12</v>
      </c>
      <c r="B5" s="48">
        <f>SUM(B2:B4)</f>
        <v>1201132.6755548036</v>
      </c>
      <c r="C5" s="62" t="s">
        <v>11</v>
      </c>
    </row>
    <row r="6" spans="1:3" x14ac:dyDescent="0.25">
      <c r="A6" s="47" t="s">
        <v>0</v>
      </c>
      <c r="B6" s="38">
        <f>Investeringer!E3</f>
        <v>1118233.5720890751</v>
      </c>
      <c r="C6" s="23" t="s">
        <v>11</v>
      </c>
    </row>
    <row r="7" spans="1:3" x14ac:dyDescent="0.25">
      <c r="A7" s="4" t="s">
        <v>1</v>
      </c>
      <c r="B7" s="35">
        <f>Investeringer!F3</f>
        <v>453312.08800259023</v>
      </c>
      <c r="C7" t="s">
        <v>11</v>
      </c>
    </row>
    <row r="8" spans="1:3" x14ac:dyDescent="0.25">
      <c r="A8" s="4" t="s">
        <v>2</v>
      </c>
      <c r="B8" s="35">
        <f>Investeringer!G3</f>
        <v>193219.63795757212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3782</v>
      </c>
      <c r="C9" t="s">
        <v>11</v>
      </c>
    </row>
    <row r="10" spans="1:3" s="22" customFormat="1" x14ac:dyDescent="0.25">
      <c r="A10" s="3" t="s">
        <v>47</v>
      </c>
      <c r="B10" s="48">
        <f>SUM(B6:B9)</f>
        <v>1768547.2980492376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1355182</v>
      </c>
      <c r="C11" t="s">
        <v>11</v>
      </c>
    </row>
    <row r="12" spans="1:3" s="22" customFormat="1" x14ac:dyDescent="0.25">
      <c r="A12" s="3" t="s">
        <v>67</v>
      </c>
      <c r="B12" s="48">
        <f>SUM(B11:B11)</f>
        <v>1355182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4324861.9736040412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4363144.527330271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68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960039</v>
      </c>
      <c r="C2" s="49">
        <v>0</v>
      </c>
      <c r="D2" s="49">
        <f>B2+C2</f>
        <v>960039</v>
      </c>
      <c r="E2" s="50">
        <f>D2</f>
        <v>960039</v>
      </c>
      <c r="F2" s="49">
        <v>1178002.9971304256</v>
      </c>
      <c r="G2" s="49">
        <v>0</v>
      </c>
      <c r="H2" s="49">
        <f>F2-G2</f>
        <v>1178002.9971304256</v>
      </c>
      <c r="I2" s="49">
        <f>AVERAGEIF(E2:E4,"&lt;&gt;0")</f>
        <v>911010.52341599995</v>
      </c>
      <c r="J2" s="49">
        <v>1178002.5220041368</v>
      </c>
      <c r="K2" s="39">
        <f>IF(H2&gt;I2,IF(I2&gt;J2,I2,J2),H2)</f>
        <v>1178002.5220041368</v>
      </c>
    </row>
    <row r="3" spans="1:11" s="23" customFormat="1" x14ac:dyDescent="0.25">
      <c r="A3" s="28">
        <v>2014</v>
      </c>
      <c r="B3" s="49">
        <v>886339</v>
      </c>
      <c r="C3" s="49"/>
      <c r="D3" s="49">
        <f t="shared" ref="D3:D4" si="0">B3+C3</f>
        <v>886339</v>
      </c>
      <c r="E3" s="50">
        <f>D3*Pristalsregulering!C7</f>
        <v>887048.07119999989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872154</v>
      </c>
      <c r="C4" s="49"/>
      <c r="D4" s="49">
        <f t="shared" si="0"/>
        <v>872154</v>
      </c>
      <c r="E4" s="50">
        <f>D4*Pristalsregulering!$C$6*Pristalsregulering!$C$7</f>
        <v>885944.49904799985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76" customWidth="1"/>
    <col min="5" max="5" width="30.7109375" style="55" customWidth="1"/>
    <col min="6" max="6" width="9.140625" hidden="1" customWidth="1"/>
    <col min="7" max="115" width="0" hidden="1" customWidth="1"/>
    <col min="116" max="116" width="9.140625" hidden="1" customWidth="1"/>
    <col min="117" max="117" width="0" hidden="1" customWidth="1"/>
    <col min="118" max="118" width="9.140625" hidden="1" customWidth="1"/>
    <col min="119" max="227" width="0" hidden="1" customWidth="1"/>
    <col min="228" max="228" width="9.140625" hidden="1" customWidth="1"/>
    <col min="229" max="229" width="0" hidden="1" customWidth="1"/>
    <col min="230" max="230" width="9.140625" hidden="1" customWidth="1"/>
    <col min="231" max="339" width="0" hidden="1" customWidth="1"/>
    <col min="340" max="340" width="9.140625" hidden="1" customWidth="1"/>
    <col min="341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70</v>
      </c>
      <c r="C1" s="63" t="s">
        <v>71</v>
      </c>
      <c r="D1" s="73" t="s">
        <v>72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74" t="s">
        <v>22</v>
      </c>
      <c r="E2" s="53" t="s">
        <v>23</v>
      </c>
    </row>
    <row r="3" spans="1:5" s="22" customFormat="1" x14ac:dyDescent="0.25">
      <c r="A3" s="28">
        <v>2016</v>
      </c>
      <c r="B3" s="72">
        <v>0</v>
      </c>
      <c r="C3" s="45">
        <f>B3/Pristalsregulering!$C$8</f>
        <v>0</v>
      </c>
      <c r="D3" s="75">
        <f>IF(C4=0,0,AVERAGEIF(C4:C6,"&lt;&gt;0"))+C3</f>
        <v>0</v>
      </c>
      <c r="E3" s="57">
        <f>SUM(D3:D3)</f>
        <v>0</v>
      </c>
    </row>
    <row r="4" spans="1:5" x14ac:dyDescent="0.25">
      <c r="A4" s="28">
        <v>2015</v>
      </c>
      <c r="B4" s="35"/>
      <c r="C4" s="45">
        <f>B4</f>
        <v>0</v>
      </c>
      <c r="D4" s="75"/>
      <c r="E4" s="54"/>
    </row>
    <row r="5" spans="1:5" x14ac:dyDescent="0.25">
      <c r="A5" s="28">
        <v>2014</v>
      </c>
      <c r="B5" s="35"/>
      <c r="C5" s="45">
        <f>B5*Pristalsregulering!$C$7</f>
        <v>0</v>
      </c>
      <c r="D5" s="75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75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53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8000</v>
      </c>
      <c r="C3" s="42">
        <v>12485</v>
      </c>
      <c r="D3" s="42">
        <v>0</v>
      </c>
      <c r="E3" s="41">
        <f>B3</f>
        <v>8000</v>
      </c>
      <c r="F3" s="42">
        <f t="shared" ref="F3:G3" si="0">C3</f>
        <v>12485</v>
      </c>
      <c r="G3" s="43">
        <f t="shared" si="0"/>
        <v>0</v>
      </c>
      <c r="H3" s="44">
        <f>IF(E3=0,0,AVERAGEIF(E3:E5,"&lt;&gt;0"))+IF(F3=0,0,AVERAGEIF(F3:F5,"&lt;&gt;0"))+IF(G3=0,0,AVERAGEIF(G3:G5,"&lt;&gt;0"))</f>
        <v>23130.153550666666</v>
      </c>
    </row>
    <row r="4" spans="1:8" x14ac:dyDescent="0.25">
      <c r="A4" s="31">
        <v>2014</v>
      </c>
      <c r="B4" s="41">
        <v>8000</v>
      </c>
      <c r="C4" s="42">
        <v>15238</v>
      </c>
      <c r="D4" s="42">
        <v>0</v>
      </c>
      <c r="E4" s="41">
        <f>B4*Pristalsregulering!$C$7</f>
        <v>8006.4</v>
      </c>
      <c r="F4" s="42">
        <f>C4*Pristalsregulering!$C$7</f>
        <v>15250.190399999999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0</v>
      </c>
      <c r="C5" s="42">
        <v>17371</v>
      </c>
      <c r="D5" s="42">
        <v>0</v>
      </c>
      <c r="E5" s="41">
        <f>B5*Pristalsregulering!$C$7*Pristalsregulering!$C$6</f>
        <v>0</v>
      </c>
      <c r="F5" s="42">
        <f>C5*Pristalsregulering!$C$7*Pristalsregulering!$C$6</f>
        <v>17645.670251999996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80" t="s">
        <v>65</v>
      </c>
      <c r="C1" s="80"/>
      <c r="D1" s="81"/>
      <c r="E1" s="82" t="s">
        <v>66</v>
      </c>
      <c r="F1" s="82"/>
      <c r="G1" s="82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73</v>
      </c>
      <c r="E2" s="22" t="s">
        <v>0</v>
      </c>
      <c r="F2" s="22" t="s">
        <v>1</v>
      </c>
      <c r="G2" s="22" t="s">
        <v>73</v>
      </c>
    </row>
    <row r="3" spans="1:7" s="22" customFormat="1" x14ac:dyDescent="0.25">
      <c r="A3" s="70">
        <v>2015</v>
      </c>
      <c r="B3" s="38">
        <v>1027128.3504121657</v>
      </c>
      <c r="C3" s="38">
        <v>451413.96602695301</v>
      </c>
      <c r="D3" s="40">
        <v>192485.40333333335</v>
      </c>
      <c r="E3" s="35">
        <f>B3*Pristalsregulering!C2*Pristalsregulering!C3*Pristalsregulering!C4*Pristalsregulering!C5*Pristalsregulering!C6*Pristalsregulering!C7</f>
        <v>1118233.5720890751</v>
      </c>
      <c r="F3" s="35">
        <v>453312.08800259023</v>
      </c>
      <c r="G3" s="35">
        <f xml:space="preserve"> D3/Pristalsregulering!$C$8</f>
        <v>193219.63795757212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40</v>
      </c>
      <c r="C1" s="78"/>
      <c r="D1" s="78"/>
      <c r="E1" s="78"/>
      <c r="F1" s="79" t="s">
        <v>54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69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3782</v>
      </c>
      <c r="D3" s="38">
        <v>0</v>
      </c>
      <c r="E3" s="40">
        <v>0</v>
      </c>
      <c r="F3" s="38">
        <f>B3</f>
        <v>0</v>
      </c>
      <c r="G3" s="38">
        <f>C3</f>
        <v>3782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3782</v>
      </c>
      <c r="L3" s="43">
        <f>AVERAGE(H3:H5)+AVERAGE(I3:I5)</f>
        <v>0</v>
      </c>
      <c r="M3" s="44">
        <f>SUM(J3:L3)</f>
        <v>3782</v>
      </c>
      <c r="N3" s="23"/>
    </row>
    <row r="4" spans="1:14" x14ac:dyDescent="0.25">
      <c r="A4" s="28">
        <v>2014</v>
      </c>
      <c r="B4" s="45">
        <v>0</v>
      </c>
      <c r="C4" s="38">
        <v>0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0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0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0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0</v>
      </c>
      <c r="E2" s="42">
        <v>0</v>
      </c>
      <c r="F2" s="42">
        <v>0</v>
      </c>
      <c r="G2" s="42">
        <v>1322659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1355182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2017-09-13T13:01:34Z</dcterms:modified>
</cp:coreProperties>
</file>