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5" i="22" l="1"/>
  <c r="G24" i="22"/>
  <c r="G18" i="19"/>
  <c r="G19" i="19" s="1"/>
  <c r="E15" i="22" s="1"/>
  <c r="G12" i="7"/>
  <c r="G15" i="22" l="1"/>
  <c r="E23" i="22"/>
  <c r="E27" i="22" s="1"/>
  <c r="E15" i="13"/>
  <c r="G23" i="22" l="1"/>
  <c r="G30" i="13"/>
  <c r="E35" i="13" l="1"/>
  <c r="G35" i="13" s="1"/>
  <c r="E27" i="13"/>
  <c r="E19" i="13"/>
  <c r="G11" i="12"/>
  <c r="G23" i="12"/>
  <c r="G17" i="12"/>
  <c r="F11" i="1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<sst xmlns="http://schemas.openxmlformats.org/spreadsheetml/2006/main" count="293" uniqueCount="146">
  <si>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</si>
  <si>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</si>
  <si>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</si>
  <si>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</si>
  <si>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</si>
  <si>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</si>
  <si>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</si>
  <si>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</si>
  <si>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</si>
  <si>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</si>
  <si>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</si>
  <si>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</si>
  <si>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</si>
  <si>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</si>
  <si>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</si>
  <si>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</si>
  <si>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</si>
  <si>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</si>
  <si>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</si>
  <si>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</si>
  <si>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</si>
  <si>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</si>
  <si>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</si>
  <si>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</si>
  <si>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</si>
  <si>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</si>
  <si>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</si>
  <si>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</si>
  <si>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</si>
  <si>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</si>
  <si>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</si>
  <si>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</si>
  <si>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</si>
  <si>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</si>
  <si>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</si>
  <si>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</si>
  <si>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</si>
  <si>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</si>
  <si>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</si>
  <si>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</si>
  <si>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</si>
  <si>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</si>
  <si>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</si>
  <si>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</si>
  <si>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</si>
  <si>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</si>
  <si>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</si>
  <si>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</si>
  <si>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</si>
  <si>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</si>
  <si>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</si>
  <si>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</si>
  <si>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</si>
  <si>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</si>
  <si>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</si>
  <si>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</si>
  <si>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</si>
  <si>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</si>
  <si>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</si>
  <si>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</si>
  <si>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</si>
  <si>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</si>
  <si>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</si>
  <si>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</si>
  <si>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</si>
  <si>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</si>
  <si>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</si>
  <si>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</si>
  <si>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</si>
  <si>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</si>
  <si>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</si>
  <si>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</si>
  <si>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</si>
  <si>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</si>
  <si>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</si>
  <si>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</si>
  <si>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</si>
  <si>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</si>
  <si>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</si>
  <si>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</si>
  <si>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</si>
  <si>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</si>
  <si>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</si>
  <si>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</si>
  <si>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</si>
  <si>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</si>
  <si>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</si>
  <si>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</si>
  <si>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</si>
  <si>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</si>
  <si>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</si>
  <si>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</si>
  <si>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</si>
  <si>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</si>
  <si>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</si>
  <si>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</si>
  <si>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</si>
  <si>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</si>
  <si>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</si>
  <si>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</si>
  <si>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</si>
  <si>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</si>
  <si>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</si>
  <si>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</si>
  <si>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</si>
  <si>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</si>
  <si>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</si>
  <si>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</si>
  <si>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</si>
  <si>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</si>
  <si>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</si>
  <si>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</si>
  <si>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</si>
  <si>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</si>
  <si>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</si>
  <si>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</si>
  <si>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</si>
  <si>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</si>
  <si>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</si>
  <si>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</si>
  <si>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</si>
  <si>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</si>
  <si>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</si>
  <si>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</si>
  <si>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</si>
  <si>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</si>
  <si>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Ingen gennemførte investeringer i 2016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</si>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</sst>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3" t="s">
        <v>80</v>
      </c>
      <c r="C9" s="34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4" t="s">
        <v>141</v>
      </c>
      <c r="C10" s="25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>
      <selection activeCell="A26" sqref="A26:XFD26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8"/>
      <c r="C8" s="39"/>
      <c r="D8" s="39"/>
      <c r="E8" s="39">
        <v>2018</v>
      </c>
      <c r="F8" s="40"/>
      <c r="G8" s="39">
        <v>2019</v>
      </c>
      <c r="H8" s="40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30219347.985299062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1" t="s">
        <v>101</v>
      </c>
      <c r="F10" s="8" t="s">
        <v>4</v>
      </c>
      <c r="G10" s="42">
        <f>'Fane 3. Korrigeret grundlag'!G9*(1+'Fane 2. Overblik ØR18-19'!E30/100)</f>
        <v>5485335.1294492418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1" t="s">
        <v>101</v>
      </c>
      <c r="F11" s="8" t="s">
        <v>4</v>
      </c>
      <c r="G11" s="42">
        <f>'Fane 3. Korrigeret grundlag'!G10*(1+'Fane 2. Overblik ØR18-19'!E30/100)</f>
        <v>2081068.8859352937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1" t="s">
        <v>101</v>
      </c>
      <c r="F12" s="8" t="s">
        <v>4</v>
      </c>
      <c r="G12" s="42">
        <f>'Fane 3. Korrigeret grundlag'!G11*(1+'Fane 2. Overblik ØR18-19'!E30/100)</f>
        <v>22066929.352489583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144</v>
      </c>
      <c r="C13" s="43"/>
      <c r="D13" s="44"/>
      <c r="E13" s="41" t="s">
        <v>101</v>
      </c>
      <c r="F13" s="8" t="s">
        <v>4</v>
      </c>
      <c r="G13" s="42">
        <v>-215227.24468251999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143</v>
      </c>
      <c r="C14" s="55"/>
      <c r="D14" s="56"/>
      <c r="E14" s="41" t="s">
        <v>101</v>
      </c>
      <c r="F14" s="8" t="s">
        <v>4</v>
      </c>
      <c r="G14" s="42">
        <v>-55068.874959416498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2">
        <f>'Fane 4. Ikke-påvirkelige omk.'!G19</f>
        <v>42185.579914498463</v>
      </c>
      <c r="F15" s="8" t="s">
        <v>4</v>
      </c>
      <c r="G15" s="47">
        <f>E15*(1+E30/100)</f>
        <v>42923.827563002189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1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-1682320.6666666667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1" t="s">
        <v>101</v>
      </c>
      <c r="F17" s="8" t="s">
        <v>4</v>
      </c>
      <c r="G17" s="42">
        <f>'Fane 8. Kontrol af PL2016'!G36</f>
        <v>5283429.9341853857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2">
        <f>'Fane 9. Tillæg'!D12</f>
        <v>0</v>
      </c>
      <c r="F18" s="8" t="s">
        <v>4</v>
      </c>
      <c r="G18" s="4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7" t="s">
        <v>127</v>
      </c>
      <c r="C20" s="35"/>
      <c r="D20" s="36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1" t="s">
        <v>101</v>
      </c>
      <c r="F21" s="8" t="s">
        <v>4</v>
      </c>
      <c r="G21" s="4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1" t="s">
        <v>101</v>
      </c>
      <c r="F22" s="8" t="s">
        <v>4</v>
      </c>
      <c r="G22" s="4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2">
        <f>SUM(E15:E20)*E30/100</f>
        <v>738.24764850372298</v>
      </c>
      <c r="F23" s="8" t="s">
        <v>4</v>
      </c>
      <c r="G23" s="42">
        <f>SUM(G10:G15,G18:G22)*$E$30/100</f>
        <v>514604.31882641575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2">
        <f>-SUM(E18)*(1+E30/100)*$E$32/100-E19*(1+E30/100)*$E$33/100</f>
        <v>0</v>
      </c>
      <c r="F24" s="8" t="s">
        <v>4</v>
      </c>
      <c r="G24" s="42">
        <f>-(G10+G18+G21+G13)*(1+E30/100)*$E$32/100-(G11+G19+G22+G14)*(1+E30/100)*E33/100</f>
        <v>-143734.44915267563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2">
        <f>-(SUM(E18:E19))*(1+E30)*$E$31/100</f>
        <v>0</v>
      </c>
      <c r="F25" s="8" t="s">
        <v>4</v>
      </c>
      <c r="G25" s="42">
        <f>-(SUM(G10:G11)+SUM(G13:G14)+SUM(G18:G19)+SUM(G21:G22))*(1+E30/100)*$E$31/100</f>
        <v>0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1" t="s">
        <v>101</v>
      </c>
      <c r="F26" s="8" t="s">
        <v>4</v>
      </c>
      <c r="G26" s="42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8" t="s">
        <v>107</v>
      </c>
      <c r="C27" s="39"/>
      <c r="D27" s="39"/>
      <c r="E27" s="48">
        <f>SUM(E9:E25)</f>
        <v>30262271.812862065</v>
      </c>
      <c r="F27" s="39" t="s">
        <v>4</v>
      </c>
      <c r="G27" s="51">
        <f>SUM(G10:G26)</f>
        <v>33377940.212987643</v>
      </c>
      <c r="H27" s="4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8" t="s">
        <v>108</v>
      </c>
      <c r="C29" s="39"/>
      <c r="D29" s="39"/>
      <c r="E29" s="39"/>
      <c r="F29" s="40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134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135</v>
      </c>
      <c r="C31" s="80"/>
      <c r="D31" s="81"/>
      <c r="E31" s="52">
        <v>0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136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5390992.7562154708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2045276.5463737529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21687399.855026618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29123669.15761584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118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119</v>
      </c>
      <c r="C11" s="96"/>
      <c r="D11" s="96"/>
      <c r="E11" s="53">
        <v>52580.432199999996</v>
      </c>
      <c r="F11" s="17" t="s">
        <v>4</v>
      </c>
      <c r="G11" s="21">
        <v>54337</v>
      </c>
      <c r="H11" s="17" t="s">
        <v>4</v>
      </c>
      <c r="I11" s="2"/>
    </row>
    <row r="12" spans="1:9" x14ac:dyDescent="0.25">
      <c r="A12" s="2"/>
      <c r="B12" s="95" t="s">
        <v>120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121</v>
      </c>
      <c r="C13" s="96"/>
      <c r="D13" s="96"/>
      <c r="E13" s="53">
        <v>32399.4126</v>
      </c>
      <c r="F13" s="17" t="s">
        <v>4</v>
      </c>
      <c r="G13" s="21">
        <v>73579</v>
      </c>
      <c r="H13" s="17" t="s">
        <v>4</v>
      </c>
      <c r="I13" s="2"/>
    </row>
    <row r="14" spans="1:9" x14ac:dyDescent="0.25">
      <c r="A14" s="2"/>
      <c r="B14" s="95" t="s">
        <v>122</v>
      </c>
      <c r="C14" s="96"/>
      <c r="D14" s="96"/>
      <c r="E14" s="53">
        <v>20560131.479600001</v>
      </c>
      <c r="F14" s="17" t="s">
        <v>4</v>
      </c>
      <c r="G14" s="21">
        <v>20256180</v>
      </c>
      <c r="H14" s="17" t="s">
        <v>4</v>
      </c>
      <c r="I14" s="2"/>
    </row>
    <row r="15" spans="1:9" x14ac:dyDescent="0.25">
      <c r="A15" s="2"/>
      <c r="B15" s="95" t="s">
        <v>123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124</v>
      </c>
      <c r="C16" s="96"/>
      <c r="D16" s="96"/>
      <c r="E16" s="53">
        <v>770312.64619999996</v>
      </c>
      <c r="F16" s="17" t="s">
        <v>4</v>
      </c>
      <c r="G16" s="21">
        <v>1072788</v>
      </c>
      <c r="H16" s="17" t="s">
        <v>4</v>
      </c>
      <c r="I16" s="2"/>
    </row>
    <row r="17" spans="1:9" x14ac:dyDescent="0.25">
      <c r="A17" s="2"/>
      <c r="B17" s="95" t="s">
        <v>125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41460.029399998486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42185.579914498463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1962557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1962556.7666666666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0.2333333333954215</v>
      </c>
      <c r="H11" s="27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8" t="s">
        <v>0</v>
      </c>
      <c r="C9" s="13" t="s">
        <v>1</v>
      </c>
      <c r="D9" s="28" t="s">
        <v>2</v>
      </c>
      <c r="E9" s="28" t="s">
        <v>40</v>
      </c>
      <c r="F9" s="100" t="s">
        <v>3</v>
      </c>
      <c r="G9" s="100"/>
      <c r="H9" s="2"/>
    </row>
    <row r="10" spans="1:8" x14ac:dyDescent="0.25">
      <c r="A10" s="2"/>
      <c r="B10" s="23" t="s">
        <v>126</v>
      </c>
      <c r="C10" s="29"/>
      <c r="D10" s="22"/>
      <c r="E10" s="21"/>
      <c r="F10" s="9"/>
      <c r="G10" s="17" t="s">
        <v>4</v>
      </c>
      <c r="H10" s="2"/>
    </row>
    <row r="11" spans="1:8" x14ac:dyDescent="0.25">
      <c r="A11" s="2"/>
      <c r="B11" s="91" t="s">
        <v>54</v>
      </c>
      <c r="C11" s="92"/>
      <c r="D11" s="92"/>
      <c r="E11" s="93"/>
      <c r="F11" s="15">
        <f>SUM(F10:F10)</f>
        <v>0</v>
      </c>
      <c r="G11" s="16" t="s">
        <v>4</v>
      </c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137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21512884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23701000</v>
      </c>
      <c r="H10" s="17" t="s">
        <v>4</v>
      </c>
      <c r="I10" s="2"/>
    </row>
    <row r="11" spans="1:9" x14ac:dyDescent="0.25">
      <c r="A11" s="2"/>
      <c r="B11" s="91" t="s">
        <v>138</v>
      </c>
      <c r="C11" s="92"/>
      <c r="D11" s="92"/>
      <c r="E11" s="92"/>
      <c r="F11" s="93"/>
      <c r="G11" s="15">
        <f>G9-G10</f>
        <v>-2188116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139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105870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975000</v>
      </c>
      <c r="H16" s="17" t="s">
        <v>4</v>
      </c>
      <c r="I16" s="2"/>
    </row>
    <row r="17" spans="1:9" x14ac:dyDescent="0.25">
      <c r="A17" s="2"/>
      <c r="B17" s="91" t="s">
        <v>139</v>
      </c>
      <c r="C17" s="92"/>
      <c r="D17" s="92"/>
      <c r="E17" s="92"/>
      <c r="F17" s="93"/>
      <c r="G17" s="15">
        <f>G15-G16</f>
        <v>-869130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140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2401592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60000</v>
      </c>
      <c r="H22" s="17" t="s">
        <v>4</v>
      </c>
      <c r="I22" s="2"/>
    </row>
    <row r="23" spans="1:9" x14ac:dyDescent="0.25">
      <c r="A23" s="2"/>
      <c r="B23" s="91" t="s">
        <v>140</v>
      </c>
      <c r="C23" s="92"/>
      <c r="D23" s="92"/>
      <c r="E23" s="92"/>
      <c r="F23" s="93"/>
      <c r="G23" s="15">
        <f>G21-G22</f>
        <v>2341592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2016'!F11</f>
        <v>0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966666.66666666674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-966666.66666666674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34879196.934185386</v>
      </c>
      <c r="H9" s="26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1277337</v>
      </c>
      <c r="F11" s="17" t="s">
        <v>4</v>
      </c>
      <c r="G11" s="14"/>
      <c r="H11" s="30"/>
      <c r="I11" s="2"/>
    </row>
    <row r="12" spans="1:9" x14ac:dyDescent="0.25">
      <c r="A12" s="2"/>
      <c r="B12" s="79" t="s">
        <v>67</v>
      </c>
      <c r="C12" s="80"/>
      <c r="D12" s="81"/>
      <c r="E12" s="21">
        <v>413284</v>
      </c>
      <c r="F12" s="17" t="s">
        <v>4</v>
      </c>
      <c r="G12" s="10"/>
      <c r="H12" s="31"/>
      <c r="I12" s="2"/>
    </row>
    <row r="13" spans="1:9" x14ac:dyDescent="0.25">
      <c r="A13" s="2"/>
      <c r="B13" s="79" t="s">
        <v>68</v>
      </c>
      <c r="C13" s="80"/>
      <c r="D13" s="81"/>
      <c r="E13" s="21">
        <v>332392</v>
      </c>
      <c r="F13" s="17" t="s">
        <v>4</v>
      </c>
      <c r="G13" s="10"/>
      <c r="H13" s="31"/>
      <c r="I13" s="2"/>
    </row>
    <row r="14" spans="1:9" x14ac:dyDescent="0.25">
      <c r="A14" s="2"/>
      <c r="B14" s="79" t="s">
        <v>69</v>
      </c>
      <c r="C14" s="80"/>
      <c r="D14" s="81"/>
      <c r="E14" s="21">
        <v>1991667</v>
      </c>
      <c r="F14" s="17" t="s">
        <v>4</v>
      </c>
      <c r="G14" s="10"/>
      <c r="H14" s="31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4014680</v>
      </c>
      <c r="F15" s="26" t="s">
        <v>4</v>
      </c>
      <c r="G15" s="10"/>
      <c r="H15" s="31"/>
      <c r="I15" s="2"/>
    </row>
    <row r="16" spans="1:9" x14ac:dyDescent="0.25">
      <c r="A16" s="2"/>
      <c r="B16" s="79" t="s">
        <v>19</v>
      </c>
      <c r="C16" s="80"/>
      <c r="D16" s="81"/>
      <c r="E16" s="21">
        <v>0</v>
      </c>
      <c r="F16" s="17" t="s">
        <v>4</v>
      </c>
      <c r="G16" s="10"/>
      <c r="H16" s="31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1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1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0</v>
      </c>
      <c r="F19" s="26" t="s">
        <v>4</v>
      </c>
      <c r="G19" s="10"/>
      <c r="H19" s="31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-772262</v>
      </c>
      <c r="F20" s="17" t="s">
        <v>4</v>
      </c>
      <c r="G20" s="10"/>
      <c r="H20" s="31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0</v>
      </c>
      <c r="F21" s="17" t="s">
        <v>4</v>
      </c>
      <c r="G21" s="10"/>
      <c r="H21" s="31"/>
      <c r="I21" s="2"/>
    </row>
    <row r="22" spans="1:9" x14ac:dyDescent="0.25">
      <c r="A22" s="2"/>
      <c r="B22" s="79" t="s">
        <v>25</v>
      </c>
      <c r="C22" s="80"/>
      <c r="D22" s="81"/>
      <c r="E22" s="21">
        <v>-12027762</v>
      </c>
      <c r="F22" s="17" t="s">
        <v>4</v>
      </c>
      <c r="G22" s="10"/>
      <c r="H22" s="31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1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-56175</v>
      </c>
      <c r="F24" s="17" t="s">
        <v>4</v>
      </c>
      <c r="G24" s="10"/>
      <c r="H24" s="31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1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1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-12856199</v>
      </c>
      <c r="F27" s="26" t="s">
        <v>4</v>
      </c>
      <c r="G27" s="11"/>
      <c r="H27" s="32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-8841519</v>
      </c>
      <c r="F28" s="26" t="s">
        <v>4</v>
      </c>
      <c r="G28" s="1">
        <f>IF(E28&lt;0,0,-E28)</f>
        <v>0</v>
      </c>
      <c r="H28" s="26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419305</v>
      </c>
      <c r="F30" s="26" t="s">
        <v>4</v>
      </c>
      <c r="G30" s="12">
        <f>-$E$30</f>
        <v>-419305</v>
      </c>
      <c r="H30" s="26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29176462</v>
      </c>
      <c r="F32" s="17" t="s">
        <v>4</v>
      </c>
      <c r="G32" s="14"/>
      <c r="H32" s="30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1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0</v>
      </c>
      <c r="F34" s="17" t="s">
        <v>4</v>
      </c>
      <c r="G34" s="11"/>
      <c r="H34" s="32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29176462</v>
      </c>
      <c r="F35" s="26" t="s">
        <v>4</v>
      </c>
      <c r="G35" s="12">
        <f>-E35</f>
        <v>-29176462</v>
      </c>
      <c r="H35" s="26" t="s">
        <v>4</v>
      </c>
      <c r="I35" s="2"/>
    </row>
    <row r="36" spans="1:9" x14ac:dyDescent="0.25">
      <c r="A36" s="2"/>
      <c r="B36" s="91" t="s">
        <v>133</v>
      </c>
      <c r="C36" s="92"/>
      <c r="D36" s="92"/>
      <c r="E36" s="92"/>
      <c r="F36" s="93"/>
      <c r="G36" s="15">
        <f>$G$9+$G$28+$G$30+$G$35</f>
        <v>5283429.9341853857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132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127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145</v>
      </c>
      <c r="C16" s="85"/>
      <c r="D16" s="85"/>
      <c r="E16" s="86"/>
      <c r="F16" s="100" t="s">
        <v>128</v>
      </c>
      <c r="G16" s="100"/>
      <c r="H16" s="2"/>
    </row>
    <row r="17" spans="1:8" x14ac:dyDescent="0.25">
      <c r="A17" s="2"/>
      <c r="B17" s="79" t="s">
        <v>142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130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2017-09-12T17:03:12Z</dcterms:modified>
</cp:coreProperties>
</file>