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11700" tabRatio="746"/>
  </bookViews>
  <sheets>
    <sheet name="1. Forside" sheetId="1" r:id="rId1"/>
    <sheet name="Fane 2. Overblik ØR18-19" sheetId="22" r:id="rId2"/>
    <sheet name="Fane 3. Korrigeret grundlag" sheetId="7" r:id="rId3"/>
    <sheet name="Fane 4. Ikke-påvirkelige omk." sheetId="19" r:id="rId4"/>
    <sheet name="Fane 5. Hist. over el. underdæk" sheetId="10" r:id="rId5"/>
    <sheet name="Fane 6. Gen. inv. i 2016" sheetId="11" r:id="rId6"/>
    <sheet name="Fane 7. Korrektion af PL2016" sheetId="12" r:id="rId7"/>
    <sheet name="Fane 8. Kontrol af PL2016" sheetId="13" r:id="rId8"/>
    <sheet name="Fane 9. Tillæg" sheetId="20" r:id="rId9"/>
    <sheet name="Fane 10. Bortfald" sheetId="21" r:id="rId10"/>
  </sheets>
  <calcPr calcId="145621"/>
</workbook>
</file>

<file path=xl/calcChain.xml><?xml version="1.0" encoding="utf-8"?>
<calcChain xmlns="http://schemas.openxmlformats.org/spreadsheetml/2006/main">
  <c r="G26" i="22" l="1"/>
  <c r="G13" i="10" l="1"/>
  <c r="G11" i="10" l="1"/>
  <c r="G12" i="22"/>
  <c r="G11" i="22"/>
  <c r="G10" i="22"/>
  <c r="F18" i="20"/>
  <c r="F19" i="20" s="1"/>
  <c r="E20" i="22" s="1"/>
  <c r="G20" i="22" s="1"/>
  <c r="F19" i="11" l="1"/>
  <c r="F18" i="11"/>
  <c r="F17" i="11"/>
  <c r="F16" i="11"/>
  <c r="F15" i="11"/>
  <c r="F14" i="11"/>
  <c r="F13" i="11"/>
  <c r="F12" i="11"/>
  <c r="F11" i="21" l="1"/>
  <c r="D11" i="21"/>
  <c r="D12" i="21" l="1"/>
  <c r="G21" i="22" s="1"/>
  <c r="F12" i="21"/>
  <c r="G22" i="22" s="1"/>
  <c r="F11" i="20"/>
  <c r="F12" i="20" s="1"/>
  <c r="E19" i="22" s="1"/>
  <c r="G19" i="22" s="1"/>
  <c r="D11" i="20"/>
  <c r="D12" i="20" s="1"/>
  <c r="E18" i="22" s="1"/>
  <c r="G18" i="22" l="1"/>
  <c r="E25" i="22"/>
  <c r="E24" i="22"/>
  <c r="G25" i="22" l="1"/>
  <c r="G24" i="22"/>
  <c r="G18" i="19"/>
  <c r="G19" i="19" s="1"/>
  <c r="E15" i="22" s="1"/>
  <c r="G12" i="7"/>
  <c r="G15" i="22" l="1"/>
  <c r="E23" i="22"/>
  <c r="E27" i="22" s="1"/>
  <c r="E15" i="13"/>
  <c r="F11" i="11"/>
  <c r="F20" i="11"/>
  <c r="G23" i="22" l="1"/>
  <c r="G30" i="13"/>
  <c r="E35" i="13" l="1"/>
  <c r="G35" i="13" s="1"/>
  <c r="E27" i="13"/>
  <c r="E19" i="13"/>
  <c r="G11" i="12"/>
  <c r="G23" i="12"/>
  <c r="G17" i="12"/>
  <c r="F10" i="11"/>
  <c r="F21" i="11" s="1"/>
  <c r="G27" i="12" l="1"/>
  <c r="G29" i="12" s="1"/>
  <c r="G16" i="22" s="1"/>
  <c r="G27" i="22" s="1"/>
  <c r="E28" i="13"/>
  <c r="G28" i="13" s="1"/>
  <c r="G36" i="13" s="1"/>
  <c r="G17" i="22" s="1"/>
</calcChain>
</file>

<file path=xl/sharedStrings.xml><?xml version="1.0" encoding="utf-8"?>
<sst xmlns="http://schemas.openxmlformats.org/spreadsheetml/2006/main" count="313" uniqueCount="156">
  <si>
    <t>Beskrivelse af investeringen</t>
  </si>
  <si>
    <t>Årstal</t>
  </si>
  <si>
    <t>Std. levetid (år)</t>
  </si>
  <si>
    <t>Afskrivning</t>
  </si>
  <si>
    <t>kr.</t>
  </si>
  <si>
    <t>Bilag A</t>
  </si>
  <si>
    <t>Indholdsfortegnelse</t>
  </si>
  <si>
    <t>Fane 3</t>
  </si>
  <si>
    <t>Fane 4</t>
  </si>
  <si>
    <t>Fane 5</t>
  </si>
  <si>
    <t>Fane 6</t>
  </si>
  <si>
    <t>Fane 7</t>
  </si>
  <si>
    <t>Fane 8</t>
  </si>
  <si>
    <t>Fane 9</t>
  </si>
  <si>
    <t>Individuelt effektiviseringskrav</t>
  </si>
  <si>
    <t>Generelt effektiviseringskrav</t>
  </si>
  <si>
    <t>Historisk over- eller underdækning</t>
  </si>
  <si>
    <t>Tillæg for historiske investeringer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</si>
  <si>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</si>
  <si>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</si>
  <si>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</si>
  <si>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</si>
  <si>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</si>
  <si>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</si>
  <si>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</si>
  <si>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</si>
  <si>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</si>
  <si>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</si>
  <si>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</si>
  <si>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</si>
  <si>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</si>
  <si>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</si>
  <si>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</si>
  <si>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</si>
  <si>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</si>
  <si>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pct.</t>
  </si>
  <si>
    <t>Generelt effektiviseringskrav på drift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</si>
  <si>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</si>
  <si>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</si>
  <si>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</si>
  <si>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</si>
  <si>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</si>
  <si>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</si>
  <si>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</si>
  <si>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Beregningen af de enkelte komponenter i grundlaget fremgår af bilag B.</t>
  </si>
  <si>
    <t>Tillæg/fradrag for historisk over- eller underdækning til og med 2010</t>
  </si>
  <si>
    <t>Indtægter fra primære aktiviteter</t>
  </si>
  <si>
    <t>Indtægter fra kubikmetertakster, faste takster, særbidrag, målergebyrer samt andre takster og gebyrer</t>
  </si>
  <si>
    <t>Fane 10</t>
  </si>
  <si>
    <t>Prisudvikling</t>
  </si>
  <si>
    <t>Korrektion af grundlag</t>
  </si>
  <si>
    <t>Bortfald af omkostninger</t>
  </si>
  <si>
    <t>Tillæg</t>
  </si>
  <si>
    <t>Gennemførte investeringer i 2016</t>
  </si>
  <si>
    <t>Faktiske afskrivninger på gennemførte investeringer i 2016</t>
  </si>
  <si>
    <t>Selskabets faktiske 1:1 omkostninger mv. i 2016, jf. reguleringsregnskabet</t>
  </si>
  <si>
    <t>Tillæg for budgetterede 1:1 omkostninger mv. i prisloft 2016</t>
  </si>
  <si>
    <t>Selskabets faktiske nettofinansielle poster i 2016, jf. reguleringsregnskabet</t>
  </si>
  <si>
    <t>Tillæg for budgetterede nettofinansielle poster i prisloft 2016</t>
  </si>
  <si>
    <t>Selskabets faktiske omk. til miljø- og servicemål i 2016, jf. reguleringsregnskabet</t>
  </si>
  <si>
    <t>Tillæg for budgetterede omk. til miljø- og servicemål i prisloft 2016</t>
  </si>
  <si>
    <t>Korrektion af tillæg for planlagte investeringer vedr. 2016</t>
  </si>
  <si>
    <t>Selskabets faktiske afskrivninger på gennemførte investeringer i 2016</t>
  </si>
  <si>
    <t>Tillæg for planlagte investeringer i 2016 i prisloft 2016</t>
  </si>
  <si>
    <t>Samlet opgørelse vedrørende overholdelse af indtægtsrammen i prisloft for 2016</t>
  </si>
  <si>
    <t>Indtægtsramme i prisloft 2016</t>
  </si>
  <si>
    <t>Ikke anvendt likviditet vedrørende investeringer i 2016</t>
  </si>
  <si>
    <t>Tillæg for gennemførte investeringer i 2010-2014</t>
  </si>
  <si>
    <t>Korrektion af tillæg for planlagte investeringer i 2014</t>
  </si>
  <si>
    <t>Tillæg for planlagte investeringer i 2015 og 2016</t>
  </si>
  <si>
    <t>Korrektion af ikke opkrævet tillæg fra 2014 i prisloft 2016</t>
  </si>
  <si>
    <t>Korrektion af prisloft 2016</t>
  </si>
  <si>
    <t>Nyt niveau for driftsomkostninger</t>
  </si>
  <si>
    <t>Nyt niveau for anlægsomkostninger inkl. finansielle omkostninger</t>
  </si>
  <si>
    <t>Fane 4: Korrektion af ikke-påvirkelige omkostninger</t>
  </si>
  <si>
    <t>Korrektion af ikke-påvirkelige omkostninger</t>
  </si>
  <si>
    <t>Beløb i økonomisk ramme for 2017</t>
  </si>
  <si>
    <t>Beskrivelse af ikke-påvirkelige omkostning</t>
  </si>
  <si>
    <t>Beskrivelse af tillæg</t>
  </si>
  <si>
    <t>Bortfald eller nedsættelse</t>
  </si>
  <si>
    <t>Beskrivelse af bortfald eller nedsættelse</t>
  </si>
  <si>
    <t>Heraf beløb indregnet i prislofterne for 2011-2017</t>
  </si>
  <si>
    <t>år</t>
  </si>
  <si>
    <t>Anlægsomkost-ninger</t>
  </si>
  <si>
    <t>Bortfald eller nedsættelse i alt i 2016-niveau</t>
  </si>
  <si>
    <t>Nye tillæg i alt i 2016-niveau</t>
  </si>
  <si>
    <t>Korrektion af ikke-påvirkelige omkostninger i 2016-niveau</t>
  </si>
  <si>
    <t>Korrektion af ikke-påvirkelige omkostninger i 2017-niveau</t>
  </si>
  <si>
    <t>Bemærk desuden, at korrektion af ikke-påvirkelige omkostninger ikke er medtaget i denne opgørelse,</t>
  </si>
  <si>
    <t>men fremgår af fane 4.</t>
  </si>
  <si>
    <t>Ikke-påvirkelige omkostninger (korrektion i henhold til fane 4 er ikke medregnet)</t>
  </si>
  <si>
    <t>Faktisk beløb i 2016</t>
  </si>
  <si>
    <t>Kontrol af prisloft 2016</t>
  </si>
  <si>
    <t>Korrigeret grundlag (i 2017-niveau)</t>
  </si>
  <si>
    <t>Bortfald eller nedsættelse i alt i 2017-niveau</t>
  </si>
  <si>
    <t>Nye tillæg i alt i 2017-niveau</t>
  </si>
  <si>
    <t>Fane 3: Korrigeret grundlag til brug for den økonomiske ramme for 2019 og frem</t>
  </si>
  <si>
    <t>Korrigeret grundlag til brug for den økonomiske ramme for 2019 og frem  (i 2017-niveau)</t>
  </si>
  <si>
    <t>Fane 2: Overblik over økonomiske rammer for 2018-2019</t>
  </si>
  <si>
    <t>Bemærk, at den økonomiske ramme for 2019 kun er vejledende.</t>
  </si>
  <si>
    <t>Tidligere fastsat økonomisk ramme</t>
  </si>
  <si>
    <t>-</t>
  </si>
  <si>
    <t>Korrektion af ikke-påvirkelig omkostning</t>
  </si>
  <si>
    <t>Korrektion i forhold til tidligere indtægtsramme i prisloft 2016</t>
  </si>
  <si>
    <t>Nye tillæg - driftsomkostninger</t>
  </si>
  <si>
    <t>Nye tillæg - anlægsomkostninger</t>
  </si>
  <si>
    <t>Bortfald eller nedsættelse - driftsomkostninger</t>
  </si>
  <si>
    <t>Korrigeret økonomiske ramme</t>
  </si>
  <si>
    <t>Prisudvikling og generelt krav anvendt i de økonomiske rammer for 2018-2019</t>
  </si>
  <si>
    <t>Fane 2</t>
  </si>
  <si>
    <t>Overblik over økonomiske ramme for 2018 og 2019</t>
  </si>
  <si>
    <t>Fane 5: Historisk over- eller underdækning</t>
  </si>
  <si>
    <t>Fane 6: Gennemførte investeringer i 2016</t>
  </si>
  <si>
    <t>Fane 7: Korrektion af budgetterede omkostninger i prisloftet for 2016</t>
  </si>
  <si>
    <t>Fane 8: Korrektion for overholdelse af indtægtsrammen i prisloft for 2016</t>
  </si>
  <si>
    <t>Fane 9: Tillæg</t>
  </si>
  <si>
    <t>Fane 10: Bortfald eller nedsættelse af omkostninger til mål, medfinansiering eller udvidelse</t>
  </si>
  <si>
    <t>Til statusmeddelelse udmeldt i 2017</t>
  </si>
  <si>
    <t>Filteranlæg, åbne filtre, enkelt filtrering, Kontruktioner</t>
  </si>
  <si>
    <t>Udpumpningsanlæg, rentvandspumper på vandværk</t>
  </si>
  <si>
    <t>SRO-anlæg, vandværk</t>
  </si>
  <si>
    <t>Ledningsnet ≤ Ø50 mm</t>
  </si>
  <si>
    <t>Ø 50mm &lt; Ledningsnet ≤ Ø110 mm</t>
  </si>
  <si>
    <t>Ø110 mm &lt; Ledningsnet ≤ Ø 250 mm</t>
  </si>
  <si>
    <t>Skelbrønd, Konstruktioner</t>
  </si>
  <si>
    <t>Beholderanlæg - vandtårn</t>
  </si>
  <si>
    <t>Afregningsmålere, elektroniske ≤ Ø 110mm (Qn 10)</t>
  </si>
  <si>
    <t>Afregningsmålere, elektroniske &gt; Ø110 mm</t>
  </si>
  <si>
    <t>Arbejdsplads</t>
  </si>
  <si>
    <t>Tjenestemandspensioner</t>
  </si>
  <si>
    <t>Ejendomsskatter</t>
  </si>
  <si>
    <t>Selskabsskatter</t>
  </si>
  <si>
    <t>Betalinger til Forsyningssekretariatet</t>
  </si>
  <si>
    <t>Afgift til ledningsført vand</t>
  </si>
  <si>
    <t>Spildevandsafgift</t>
  </si>
  <si>
    <t>Køb af ydelser og produkter</t>
  </si>
  <si>
    <t>Vandsamarbejde</t>
  </si>
  <si>
    <t>Nye ikke-påvirkelige omkostninger</t>
  </si>
  <si>
    <t>Omkostninger</t>
  </si>
  <si>
    <t>Nye ikke-påvirkelige omkostninger i alt i 2016-niveau</t>
  </si>
  <si>
    <t>Nye ikke-påvirkelige omkostninger i alt i 2017-niveau</t>
  </si>
  <si>
    <t>Nye påvirkelige tillæg</t>
  </si>
  <si>
    <t>Intet nyt tillæg i år</t>
  </si>
  <si>
    <t>Tillæg/fradrag i den økonomiske ramme for 2019 i alt</t>
  </si>
  <si>
    <t>Niveau for prisudvikling beregnet til brug for økonomisk ramme for 2018</t>
  </si>
  <si>
    <t>Individuelt effektiviseringskrav stillet til de økonomiske rammer for 2017 og 2018</t>
  </si>
  <si>
    <t>Generelt effektiviseringskrav på anlæg forventet til økonomisk ramme for 2019</t>
  </si>
  <si>
    <t>Korrektion af tillæg for 1:1 omkostninger (inkl. revisorerklæringer og ordinært medlemskab af DANVA og Danske Vandværker) i 2016</t>
  </si>
  <si>
    <t>Korrektion af tillæg for 1:1 omkostninger mv. i 2016</t>
  </si>
  <si>
    <t>Korrektion af tillæg for nettofinansielle poster i 2016</t>
  </si>
  <si>
    <t>Korrektion af tillæg for miljø- og servicemål i 2016</t>
  </si>
  <si>
    <t>Intet bortfald</t>
  </si>
  <si>
    <t>Ingen nye ikke-påvirkelige omkostninger i år</t>
  </si>
  <si>
    <t>Tidligere stillet effektiviseringskrav på anlæg</t>
  </si>
  <si>
    <t>Tidligere stillet effektiviseringskrav på drift</t>
  </si>
  <si>
    <t>Beskrivelse af ikke-påvirkelig omkostning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</si>
</sst>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* #,##0.00_ ;_ * \-#,##0.00_ ;_ * &quot;-&quot;??_ ;_ @_ "/>
  </numFmts>
  <fonts count="1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2121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</cellStyleXfs>
  <cellXfs count="110">
    <xf numFmtId="0" fontId="0" fillId="0" borderId="0" xfId="0"/>
    <xf numFmtId="3" fontId="8" fillId="10" borderId="11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0" fontId="8" fillId="9" borderId="1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3" fontId="8" fillId="4" borderId="1" xfId="0" applyNumberFormat="1" applyFont="1" applyFill="1" applyBorder="1" applyProtection="1">
      <protection locked="0"/>
    </xf>
    <xf numFmtId="3" fontId="8" fillId="9" borderId="1" xfId="0" applyNumberFormat="1" applyFont="1" applyFill="1" applyBorder="1" applyProtection="1">
      <protection locked="0"/>
    </xf>
    <xf numFmtId="1" fontId="8" fillId="9" borderId="1" xfId="0" applyNumberFormat="1" applyFont="1" applyFill="1" applyBorder="1" applyProtection="1">
      <protection locked="0"/>
    </xf>
    <xf numFmtId="49" fontId="8" fillId="9" borderId="2" xfId="0" applyNumberFormat="1" applyFont="1" applyFill="1" applyBorder="1" applyAlignment="1" applyProtection="1">
      <protection locked="0"/>
    </xf>
    <xf numFmtId="49" fontId="8" fillId="9" borderId="10" xfId="0" applyNumberFormat="1" applyFont="1" applyFill="1" applyBorder="1" applyAlignment="1" applyProtection="1">
      <protection locked="0"/>
    </xf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1" fontId="8" fillId="9" borderId="1" xfId="0" applyNumberFormat="1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9" borderId="9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3" fontId="8" fillId="9" borderId="1" xfId="0" quotePrefix="1" applyNumberFormat="1" applyFont="1" applyFill="1" applyBorder="1" applyAlignment="1" applyProtection="1">
      <alignment horizontal="center"/>
    </xf>
    <xf numFmtId="3" fontId="8" fillId="9" borderId="1" xfId="0" quotePrefix="1" applyNumberFormat="1" applyFont="1" applyFill="1" applyBorder="1" applyAlignment="1" applyProtection="1">
      <alignment horizontal="right"/>
    </xf>
    <xf numFmtId="49" fontId="8" fillId="9" borderId="2" xfId="0" applyNumberFormat="1" applyFont="1" applyFill="1" applyBorder="1" applyAlignment="1" applyProtection="1">
      <alignment horizontal="left" wrapText="1"/>
      <protection locked="0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3" fontId="8" fillId="9" borderId="1" xfId="0" applyNumberFormat="1" applyFont="1" applyFill="1" applyBorder="1" applyAlignment="1" applyProtection="1">
      <protection locked="0"/>
    </xf>
    <xf numFmtId="3" fontId="8" fillId="9" borderId="1" xfId="0" applyNumberFormat="1" applyFont="1" applyFill="1" applyBorder="1" applyAlignment="1" applyProtection="1">
      <alignment horizontal="right"/>
    </xf>
    <xf numFmtId="3" fontId="7" fillId="3" borderId="10" xfId="0" applyNumberFormat="1" applyFont="1" applyFill="1" applyBorder="1" applyAlignment="1" applyProtection="1"/>
    <xf numFmtId="3" fontId="8" fillId="4" borderId="1" xfId="0" applyNumberFormat="1" applyFont="1" applyFill="1" applyBorder="1" applyAlignment="1" applyProtection="1">
      <alignment wrapText="1"/>
    </xf>
    <xf numFmtId="3" fontId="8" fillId="4" borderId="1" xfId="0" quotePrefix="1" applyNumberFormat="1" applyFont="1" applyFill="1" applyBorder="1" applyAlignment="1" applyProtection="1">
      <alignment horizontal="center" wrapText="1"/>
    </xf>
    <xf numFmtId="3" fontId="7" fillId="3" borderId="10" xfId="0" applyNumberFormat="1" applyFont="1" applyFill="1" applyBorder="1" applyAlignment="1" applyProtection="1">
      <alignment horizontal="right"/>
    </xf>
    <xf numFmtId="4" fontId="8" fillId="9" borderId="1" xfId="0" quotePrefix="1" applyNumberFormat="1" applyFont="1" applyFill="1" applyBorder="1" applyAlignment="1" applyProtection="1">
      <alignment horizontal="right"/>
    </xf>
    <xf numFmtId="3" fontId="8" fillId="9" borderId="1" xfId="1" applyNumberFormat="1" applyFont="1" applyFill="1" applyBorder="1" applyAlignment="1" applyProtection="1">
      <protection locked="0"/>
    </xf>
    <xf numFmtId="3" fontId="10" fillId="4" borderId="1" xfId="0" applyNumberFormat="1" applyFont="1" applyFill="1" applyBorder="1" applyProtection="1"/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0" fontId="1" fillId="8" borderId="6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7" xfId="2" applyFont="1" applyFill="1" applyBorder="1" applyAlignment="1" applyProtection="1">
      <alignment horizontal="center"/>
    </xf>
    <xf numFmtId="0" fontId="1" fillId="11" borderId="6" xfId="2" applyFont="1" applyFill="1" applyBorder="1" applyAlignment="1" applyProtection="1">
      <alignment horizontal="center"/>
    </xf>
    <xf numFmtId="0" fontId="1" fillId="11" borderId="0" xfId="2" applyFont="1" applyFill="1" applyBorder="1" applyAlignment="1" applyProtection="1">
      <alignment horizontal="center"/>
    </xf>
    <xf numFmtId="0" fontId="1" fillId="11" borderId="7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7" borderId="6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7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3" fillId="6" borderId="6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7" xfId="2" applyFont="1" applyFill="1" applyBorder="1" applyAlignment="1" applyProtection="1">
      <alignment horizontal="center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/>
    </xf>
    <xf numFmtId="0" fontId="0" fillId="2" borderId="0" xfId="0" applyFill="1" applyAlignment="1" applyProtection="1">
      <alignment horizontal="center"/>
    </xf>
    <xf numFmtId="0" fontId="8" fillId="4" borderId="2" xfId="0" applyFont="1" applyFill="1" applyBorder="1" applyAlignment="1" applyProtection="1">
      <alignment horizontal="left" wrapText="1"/>
    </xf>
    <xf numFmtId="0" fontId="8" fillId="4" borderId="10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9" borderId="2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 wrapText="1"/>
    </xf>
    <xf numFmtId="0" fontId="7" fillId="3" borderId="10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applyFont="1" applyFill="1" applyBorder="1" applyAlignment="1" applyProtection="1">
      <alignment horizontal="left"/>
      <protection locked="0"/>
    </xf>
    <xf numFmtId="0" fontId="8" fillId="9" borderId="10" xfId="0" applyFont="1" applyFill="1" applyBorder="1" applyAlignment="1" applyProtection="1">
      <alignment horizontal="left"/>
      <protection locked="0"/>
    </xf>
    <xf numFmtId="0" fontId="10" fillId="4" borderId="2" xfId="0" applyFont="1" applyFill="1" applyBorder="1" applyAlignment="1" applyProtection="1">
      <alignment horizontal="left"/>
    </xf>
    <xf numFmtId="0" fontId="10" fillId="4" borderId="10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8" fillId="9" borderId="2" xfId="0" applyFont="1" applyFill="1" applyBorder="1" applyAlignment="1" applyProtection="1">
      <alignment horizontal="left" wrapText="1"/>
    </xf>
    <xf numFmtId="0" fontId="8" fillId="9" borderId="10" xfId="0" applyFont="1" applyFill="1" applyBorder="1" applyAlignment="1" applyProtection="1">
      <alignment horizontal="left" wrapText="1"/>
    </xf>
    <xf numFmtId="0" fontId="8" fillId="9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quotePrefix="1" applyFont="1" applyFill="1" applyBorder="1" applyAlignment="1" applyProtection="1">
      <alignment horizontal="left"/>
    </xf>
    <xf numFmtId="49" fontId="8" fillId="9" borderId="2" xfId="0" applyNumberFormat="1" applyFont="1" applyFill="1" applyBorder="1" applyAlignment="1" applyProtection="1">
      <alignment horizontal="left"/>
      <protection locked="0"/>
    </xf>
    <xf numFmtId="49" fontId="8" fillId="9" borderId="3" xfId="0" applyNumberFormat="1" applyFont="1" applyFill="1" applyBorder="1" applyAlignment="1" applyProtection="1">
      <alignment horizontal="left"/>
      <protection locked="0"/>
    </xf>
  </cellXfs>
  <cellStyles count="4">
    <cellStyle name="Komma" xfId="1" builtinId="3"/>
    <cellStyle name="Link" xfId="2" builtinId="8"/>
    <cellStyle name="Normal" xfId="0" builtinId="0"/>
    <cellStyle name="Normal 12" xfId="3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31"/>
  <sheetViews>
    <sheetView showGridLines="0" tabSelected="1" view="pageLayout" zoomScaleNormal="100" workbookViewId="0"/>
  </sheetViews>
  <sheetFormatPr defaultColWidth="9.140625"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64" t="s">
        <v>5</v>
      </c>
      <c r="E6" s="64"/>
      <c r="F6" s="64"/>
      <c r="G6" s="64"/>
      <c r="H6" s="4"/>
      <c r="I6" s="2"/>
    </row>
    <row r="7" spans="1:9" ht="15" customHeight="1" x14ac:dyDescent="0.25">
      <c r="A7" s="2"/>
      <c r="B7" s="2"/>
      <c r="C7" s="4"/>
      <c r="D7" s="64"/>
      <c r="E7" s="64"/>
      <c r="F7" s="64"/>
      <c r="G7" s="64"/>
      <c r="H7" s="4"/>
      <c r="I7" s="2"/>
    </row>
    <row r="8" spans="1:9" ht="15.75" x14ac:dyDescent="0.25">
      <c r="A8" s="2"/>
      <c r="B8" s="2"/>
      <c r="C8" s="5"/>
      <c r="D8" s="69" t="s">
        <v>117</v>
      </c>
      <c r="E8" s="69"/>
      <c r="F8" s="69"/>
      <c r="G8" s="69"/>
      <c r="H8" s="5"/>
      <c r="I8" s="2"/>
    </row>
    <row r="9" spans="1:9" x14ac:dyDescent="0.25">
      <c r="A9" s="2"/>
      <c r="B9" s="2"/>
      <c r="C9" s="6"/>
      <c r="D9" s="6"/>
      <c r="E9" s="6"/>
      <c r="F9" s="6"/>
      <c r="G9" s="6"/>
      <c r="H9" s="6"/>
      <c r="I9" s="2"/>
    </row>
    <row r="10" spans="1:9" x14ac:dyDescent="0.25">
      <c r="A10" s="2"/>
      <c r="B10" s="6"/>
      <c r="C10" s="6"/>
      <c r="D10" s="6"/>
      <c r="E10" s="6"/>
      <c r="F10" s="6"/>
      <c r="G10" s="6"/>
      <c r="H10" s="6"/>
      <c r="I10" s="2"/>
    </row>
    <row r="11" spans="1:9" x14ac:dyDescent="0.25">
      <c r="A11" s="2"/>
      <c r="B11" s="6"/>
      <c r="C11" s="6"/>
      <c r="D11" s="68" t="s">
        <v>6</v>
      </c>
      <c r="E11" s="68"/>
      <c r="F11" s="68"/>
      <c r="G11" s="68"/>
      <c r="H11" s="6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7" t="s">
        <v>109</v>
      </c>
      <c r="D13" s="76" t="s">
        <v>110</v>
      </c>
      <c r="E13" s="77"/>
      <c r="F13" s="77"/>
      <c r="G13" s="78"/>
      <c r="H13" s="2"/>
      <c r="I13" s="2"/>
    </row>
    <row r="14" spans="1:9" x14ac:dyDescent="0.25">
      <c r="A14" s="2"/>
      <c r="B14" s="2"/>
      <c r="C14" s="7" t="s">
        <v>7</v>
      </c>
      <c r="D14" s="70" t="s">
        <v>50</v>
      </c>
      <c r="E14" s="71"/>
      <c r="F14" s="71"/>
      <c r="G14" s="72"/>
      <c r="H14" s="2"/>
      <c r="I14" s="2"/>
    </row>
    <row r="15" spans="1:9" x14ac:dyDescent="0.25">
      <c r="A15" s="2"/>
      <c r="B15" s="2"/>
      <c r="C15" s="7" t="s">
        <v>8</v>
      </c>
      <c r="D15" s="70" t="s">
        <v>43</v>
      </c>
      <c r="E15" s="71"/>
      <c r="F15" s="71"/>
      <c r="G15" s="72"/>
      <c r="H15" s="2"/>
      <c r="I15" s="2"/>
    </row>
    <row r="16" spans="1:9" x14ac:dyDescent="0.25">
      <c r="A16" s="2"/>
      <c r="B16" s="2"/>
      <c r="C16" s="7" t="s">
        <v>9</v>
      </c>
      <c r="D16" s="73" t="s">
        <v>16</v>
      </c>
      <c r="E16" s="74"/>
      <c r="F16" s="74"/>
      <c r="G16" s="75"/>
      <c r="H16" s="2"/>
      <c r="I16" s="2"/>
    </row>
    <row r="17" spans="1:9" x14ac:dyDescent="0.25">
      <c r="A17" s="2"/>
      <c r="B17" s="2"/>
      <c r="C17" s="7" t="s">
        <v>10</v>
      </c>
      <c r="D17" s="65" t="s">
        <v>53</v>
      </c>
      <c r="E17" s="66"/>
      <c r="F17" s="66"/>
      <c r="G17" s="67"/>
      <c r="H17" s="2"/>
      <c r="I17" s="2"/>
    </row>
    <row r="18" spans="1:9" x14ac:dyDescent="0.25">
      <c r="A18" s="2"/>
      <c r="B18" s="2"/>
      <c r="C18" s="7" t="s">
        <v>11</v>
      </c>
      <c r="D18" s="65" t="s">
        <v>71</v>
      </c>
      <c r="E18" s="66"/>
      <c r="F18" s="66"/>
      <c r="G18" s="67"/>
      <c r="H18" s="2"/>
      <c r="I18" s="2"/>
    </row>
    <row r="19" spans="1:9" x14ac:dyDescent="0.25">
      <c r="A19" s="2"/>
      <c r="B19" s="2"/>
      <c r="C19" s="7" t="s">
        <v>12</v>
      </c>
      <c r="D19" s="58" t="s">
        <v>92</v>
      </c>
      <c r="E19" s="59"/>
      <c r="F19" s="59"/>
      <c r="G19" s="60"/>
      <c r="H19" s="2"/>
      <c r="I19" s="2"/>
    </row>
    <row r="20" spans="1:9" x14ac:dyDescent="0.25">
      <c r="A20" s="2"/>
      <c r="B20" s="2"/>
      <c r="C20" s="7" t="s">
        <v>13</v>
      </c>
      <c r="D20" s="61" t="s">
        <v>52</v>
      </c>
      <c r="E20" s="62"/>
      <c r="F20" s="62"/>
      <c r="G20" s="63"/>
      <c r="H20" s="2"/>
      <c r="I20" s="2"/>
    </row>
    <row r="21" spans="1:9" x14ac:dyDescent="0.25">
      <c r="A21" s="2"/>
      <c r="B21" s="2"/>
      <c r="C21" s="7" t="s">
        <v>48</v>
      </c>
      <c r="D21" s="61" t="s">
        <v>51</v>
      </c>
      <c r="E21" s="62"/>
      <c r="F21" s="62"/>
      <c r="G21" s="63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</sheetData>
  <sheetProtection password="DFE9" sheet="1" objects="1" scenarios="1"/>
  <mergeCells count="12">
    <mergeCell ref="D19:G19"/>
    <mergeCell ref="D20:G20"/>
    <mergeCell ref="D21:G21"/>
    <mergeCell ref="D6:G7"/>
    <mergeCell ref="D17:G17"/>
    <mergeCell ref="D18:G18"/>
    <mergeCell ref="D11:G11"/>
    <mergeCell ref="D8:G8"/>
    <mergeCell ref="D14:G14"/>
    <mergeCell ref="D15:G15"/>
    <mergeCell ref="D16:G16"/>
    <mergeCell ref="D13:G13"/>
  </mergeCells>
  <hyperlinks>
    <hyperlink ref="D14:G14" location="'Fane 3. Korrigeret grundlag'!A1" display="Korrektion af grundlag"/>
    <hyperlink ref="D15:G15" location="'Fane 4. Ikke-påvirkelige omk.'!A1" display="Ikke-påvirkelige omkostninger"/>
    <hyperlink ref="D20:G20" location="'Fane 9. Tillæg'!A1" display="Tillæg"/>
    <hyperlink ref="D21:G21" location="'Fane 10. Bortfald'!A1" display="Bortfald af omkostninger"/>
    <hyperlink ref="D13:G13" location="'Fane 2. Overblik ØR18-19'!A1" display="Overblik over økonomiske ramme for 2018 og 2019"/>
    <hyperlink ref="D19:G19" location="'Fane 8. Kontrol af PL2016'!A1" display="Kontrol af prisloft 2016"/>
    <hyperlink ref="D18:G18" location="'Fane 7. Korrektion af PL2016'!A1" display="Korrektion af prisloft 2016"/>
    <hyperlink ref="D17:G17" location="'Fane 6. Gen. inv. i 2016'!A1" display="Gennemførte investeringer i 2016"/>
    <hyperlink ref="D16:G16" location="'Fane 5. Hist. over el. underdæk'!A1" display="Historisk over- eller underdækning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15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94" t="s">
        <v>116</v>
      </c>
      <c r="C3" s="94"/>
      <c r="D3" s="94"/>
      <c r="E3" s="94"/>
      <c r="F3" s="94"/>
      <c r="G3" s="94"/>
      <c r="H3" s="2"/>
    </row>
    <row r="4" spans="1:8" ht="25.5" customHeight="1" x14ac:dyDescent="0.25">
      <c r="A4" s="2"/>
      <c r="B4" s="94"/>
      <c r="C4" s="94"/>
      <c r="D4" s="94"/>
      <c r="E4" s="94"/>
      <c r="F4" s="94"/>
      <c r="G4" s="94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79</v>
      </c>
      <c r="C8" s="92"/>
      <c r="D8" s="92"/>
      <c r="E8" s="92"/>
      <c r="F8" s="92"/>
      <c r="G8" s="93"/>
      <c r="H8" s="2"/>
    </row>
    <row r="9" spans="1:8" ht="29.25" customHeight="1" x14ac:dyDescent="0.25">
      <c r="A9" s="2"/>
      <c r="B9" s="32" t="s">
        <v>80</v>
      </c>
      <c r="C9" s="33"/>
      <c r="D9" s="100" t="s">
        <v>42</v>
      </c>
      <c r="E9" s="100"/>
      <c r="F9" s="100" t="s">
        <v>83</v>
      </c>
      <c r="G9" s="100"/>
      <c r="H9" s="2"/>
    </row>
    <row r="10" spans="1:8" x14ac:dyDescent="0.25">
      <c r="A10" s="2"/>
      <c r="B10" s="23" t="s">
        <v>151</v>
      </c>
      <c r="C10" s="24"/>
      <c r="D10" s="21">
        <v>0</v>
      </c>
      <c r="E10" s="17" t="s">
        <v>4</v>
      </c>
      <c r="F10" s="21">
        <v>0</v>
      </c>
      <c r="G10" s="17" t="s">
        <v>4</v>
      </c>
      <c r="H10" s="2"/>
    </row>
    <row r="11" spans="1:8" x14ac:dyDescent="0.25">
      <c r="A11" s="2"/>
      <c r="B11" s="91" t="s">
        <v>84</v>
      </c>
      <c r="C11" s="93"/>
      <c r="D11" s="15">
        <f>-SUM(D10:D10)</f>
        <v>0</v>
      </c>
      <c r="E11" s="16" t="s">
        <v>4</v>
      </c>
      <c r="F11" s="15">
        <f>-SUM(F10:F10)</f>
        <v>0</v>
      </c>
      <c r="G11" s="16" t="s">
        <v>4</v>
      </c>
      <c r="H11" s="2"/>
    </row>
    <row r="12" spans="1:8" x14ac:dyDescent="0.25">
      <c r="A12" s="2"/>
      <c r="B12" s="91" t="s">
        <v>94</v>
      </c>
      <c r="C12" s="93"/>
      <c r="D12" s="15">
        <f>D11*(1+'Fane 2. Overblik ØR18-19'!E30/100)</f>
        <v>0</v>
      </c>
      <c r="E12" s="16" t="s">
        <v>4</v>
      </c>
      <c r="F12" s="15">
        <f>F11*(1+'Fane 2. Overblik ØR18-19'!E30/100)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</sheetData>
  <sheetProtection password="DFE9" sheet="1" objects="1" scenarios="1"/>
  <mergeCells count="6">
    <mergeCell ref="B12:C12"/>
    <mergeCell ref="B3:G4"/>
    <mergeCell ref="B8:G8"/>
    <mergeCell ref="F9:G9"/>
    <mergeCell ref="D9:E9"/>
    <mergeCell ref="B11: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K33"/>
  <sheetViews>
    <sheetView showGridLines="0" view="pageLayout" zoomScaleNormal="100" workbookViewId="0">
      <selection activeCell="A26" sqref="A26:XFD26"/>
    </sheetView>
  </sheetViews>
  <sheetFormatPr defaultColWidth="9.140625" defaultRowHeight="15" x14ac:dyDescent="0.25"/>
  <cols>
    <col min="1" max="1" width="13.5703125" style="3" customWidth="1"/>
    <col min="2" max="3" width="9.140625" style="3"/>
    <col min="4" max="4" width="38.7109375" style="3" customWidth="1"/>
    <col min="5" max="5" width="10.5703125" style="3" customWidth="1"/>
    <col min="6" max="6" width="4.42578125" style="3" customWidth="1"/>
    <col min="7" max="7" width="10.5703125" style="3" customWidth="1"/>
    <col min="8" max="8" width="3.28515625" style="3" customWidth="1"/>
    <col min="9" max="9" width="10.42578125" style="3" customWidth="1"/>
    <col min="10" max="10" width="3.28515625" style="3" customWidth="1"/>
    <col min="11" max="16384" width="9.140625" style="3"/>
  </cols>
  <sheetData>
    <row r="1" spans="1:11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ht="15" customHeight="1" x14ac:dyDescent="0.25">
      <c r="A3" s="2"/>
      <c r="B3" s="82" t="s">
        <v>98</v>
      </c>
      <c r="C3" s="82"/>
      <c r="D3" s="82"/>
      <c r="E3" s="82"/>
      <c r="F3" s="82"/>
      <c r="G3" s="82"/>
      <c r="H3" s="82"/>
      <c r="I3" s="82"/>
      <c r="J3" s="82"/>
      <c r="K3" s="2"/>
    </row>
    <row r="4" spans="1:11" ht="15" customHeight="1" x14ac:dyDescent="0.25">
      <c r="A4" s="2"/>
      <c r="B4" s="82"/>
      <c r="C4" s="82"/>
      <c r="D4" s="82"/>
      <c r="E4" s="82"/>
      <c r="F4" s="82"/>
      <c r="G4" s="82"/>
      <c r="H4" s="82"/>
      <c r="I4" s="82"/>
      <c r="J4" s="82"/>
      <c r="K4" s="2"/>
    </row>
    <row r="5" spans="1:11" x14ac:dyDescent="0.25">
      <c r="A5" s="2"/>
      <c r="B5" s="83" t="s">
        <v>99</v>
      </c>
      <c r="C5" s="83"/>
      <c r="D5" s="83"/>
      <c r="E5" s="83"/>
      <c r="F5" s="83"/>
      <c r="G5" s="83"/>
      <c r="H5" s="83"/>
      <c r="I5" s="83"/>
      <c r="J5" s="83"/>
      <c r="K5" s="2"/>
    </row>
    <row r="6" spans="1:11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</row>
    <row r="7" spans="1:11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</row>
    <row r="8" spans="1:11" x14ac:dyDescent="0.25">
      <c r="A8" s="2"/>
      <c r="B8" s="37"/>
      <c r="C8" s="38"/>
      <c r="D8" s="38"/>
      <c r="E8" s="38">
        <v>2018</v>
      </c>
      <c r="F8" s="39"/>
      <c r="G8" s="38">
        <v>2019</v>
      </c>
      <c r="H8" s="39"/>
      <c r="I8" s="2"/>
      <c r="J8" s="2"/>
      <c r="K8" s="2"/>
    </row>
    <row r="9" spans="1:11" ht="15" customHeight="1" x14ac:dyDescent="0.25">
      <c r="A9" s="2"/>
      <c r="B9" s="84" t="s">
        <v>100</v>
      </c>
      <c r="C9" s="85"/>
      <c r="D9" s="86"/>
      <c r="E9" s="49">
        <v>20469228.548528153</v>
      </c>
      <c r="F9" s="13" t="s">
        <v>4</v>
      </c>
      <c r="G9" s="50" t="s">
        <v>101</v>
      </c>
      <c r="H9" s="13" t="s">
        <v>4</v>
      </c>
      <c r="I9" s="2"/>
      <c r="J9" s="2"/>
      <c r="K9" s="2"/>
    </row>
    <row r="10" spans="1:11" x14ac:dyDescent="0.25">
      <c r="A10" s="2"/>
      <c r="B10" s="87" t="s">
        <v>72</v>
      </c>
      <c r="C10" s="80"/>
      <c r="D10" s="81"/>
      <c r="E10" s="40" t="s">
        <v>101</v>
      </c>
      <c r="F10" s="8" t="s">
        <v>4</v>
      </c>
      <c r="G10" s="41">
        <f>'Fane 3. Korrigeret grundlag'!G9*(1+'Fane 2. Overblik ØR18-19'!E30/100)</f>
        <v>6839393.5422731079</v>
      </c>
      <c r="H10" s="8" t="s">
        <v>4</v>
      </c>
      <c r="I10" s="2"/>
      <c r="J10" s="2"/>
      <c r="K10" s="2"/>
    </row>
    <row r="11" spans="1:11" x14ac:dyDescent="0.25">
      <c r="A11" s="2"/>
      <c r="B11" s="45" t="s">
        <v>73</v>
      </c>
      <c r="C11" s="43"/>
      <c r="D11" s="44"/>
      <c r="E11" s="40" t="s">
        <v>101</v>
      </c>
      <c r="F11" s="8" t="s">
        <v>4</v>
      </c>
      <c r="G11" s="41">
        <f>'Fane 3. Korrigeret grundlag'!G10*(1+'Fane 2. Overblik ØR18-19'!E30/100)</f>
        <v>7128175.5977958273</v>
      </c>
      <c r="H11" s="8" t="s">
        <v>4</v>
      </c>
      <c r="I11" s="2"/>
      <c r="J11" s="2"/>
      <c r="K11" s="2"/>
    </row>
    <row r="12" spans="1:11" x14ac:dyDescent="0.25">
      <c r="A12" s="2"/>
      <c r="B12" s="45" t="s">
        <v>90</v>
      </c>
      <c r="C12" s="43"/>
      <c r="D12" s="44"/>
      <c r="E12" s="40" t="s">
        <v>101</v>
      </c>
      <c r="F12" s="8" t="s">
        <v>4</v>
      </c>
      <c r="G12" s="41">
        <f>'Fane 3. Korrigeret grundlag'!G11*(1+'Fane 2. Overblik ØR18-19'!E30/100)</f>
        <v>7804143.0323510151</v>
      </c>
      <c r="H12" s="8" t="s">
        <v>4</v>
      </c>
      <c r="I12" s="2"/>
      <c r="J12" s="2"/>
      <c r="K12" s="2"/>
    </row>
    <row r="13" spans="1:11" x14ac:dyDescent="0.25">
      <c r="A13" s="2"/>
      <c r="B13" s="45" t="s">
        <v>154</v>
      </c>
      <c r="C13" s="43"/>
      <c r="D13" s="44"/>
      <c r="E13" s="40" t="s">
        <v>101</v>
      </c>
      <c r="F13" s="8" t="s">
        <v>4</v>
      </c>
      <c r="G13" s="41">
        <v>-482316.79338429309</v>
      </c>
      <c r="H13" s="8" t="s">
        <v>4</v>
      </c>
      <c r="I13" s="2"/>
      <c r="J13" s="2"/>
      <c r="K13" s="2"/>
    </row>
    <row r="14" spans="1:11" x14ac:dyDescent="0.25">
      <c r="A14" s="2"/>
      <c r="B14" s="57" t="s">
        <v>153</v>
      </c>
      <c r="C14" s="55"/>
      <c r="D14" s="56"/>
      <c r="E14" s="40" t="s">
        <v>101</v>
      </c>
      <c r="F14" s="8" t="s">
        <v>4</v>
      </c>
      <c r="G14" s="41">
        <v>-333680.36237198213</v>
      </c>
      <c r="H14" s="8" t="s">
        <v>4</v>
      </c>
      <c r="I14" s="2"/>
      <c r="J14" s="2"/>
      <c r="K14" s="2"/>
    </row>
    <row r="15" spans="1:11" x14ac:dyDescent="0.25">
      <c r="A15" s="2"/>
      <c r="B15" s="87" t="s">
        <v>102</v>
      </c>
      <c r="C15" s="80"/>
      <c r="D15" s="81"/>
      <c r="E15" s="41">
        <f>'Fane 4. Ikke-påvirkelige omk.'!G19</f>
        <v>-16514.05817050051</v>
      </c>
      <c r="F15" s="8" t="s">
        <v>4</v>
      </c>
      <c r="G15" s="47">
        <f>E15*(1+E30/100)</f>
        <v>-16803.054188484271</v>
      </c>
      <c r="H15" s="8" t="s">
        <v>4</v>
      </c>
      <c r="I15" s="2"/>
      <c r="J15" s="2"/>
      <c r="K15" s="2"/>
    </row>
    <row r="16" spans="1:11" x14ac:dyDescent="0.25">
      <c r="A16" s="2"/>
      <c r="B16" s="87" t="s">
        <v>71</v>
      </c>
      <c r="C16" s="80"/>
      <c r="D16" s="81"/>
      <c r="E16" s="40" t="s">
        <v>101</v>
      </c>
      <c r="F16" s="8" t="s">
        <v>4</v>
      </c>
      <c r="G16" s="47">
        <f>SUM('Fane 7. Korrektion af PL2016'!G11,'Fane 7. Korrektion af PL2016'!G17,'Fane 7. Korrektion af PL2016'!G23,'Fane 7. Korrektion af PL2016'!G29)</f>
        <v>-234170.12666666671</v>
      </c>
      <c r="H16" s="8" t="s">
        <v>4</v>
      </c>
      <c r="I16" s="2"/>
      <c r="J16" s="2"/>
      <c r="K16" s="2"/>
    </row>
    <row r="17" spans="1:11" x14ac:dyDescent="0.25">
      <c r="A17" s="2"/>
      <c r="B17" s="87" t="s">
        <v>103</v>
      </c>
      <c r="C17" s="80"/>
      <c r="D17" s="81"/>
      <c r="E17" s="40" t="s">
        <v>101</v>
      </c>
      <c r="F17" s="8" t="s">
        <v>4</v>
      </c>
      <c r="G17" s="41">
        <f>'Fane 8. Kontrol af PL2016'!G36</f>
        <v>2358697.5400251448</v>
      </c>
      <c r="H17" s="8" t="s">
        <v>4</v>
      </c>
      <c r="I17" s="2"/>
      <c r="J17" s="2"/>
      <c r="K17" s="2"/>
    </row>
    <row r="18" spans="1:11" x14ac:dyDescent="0.25">
      <c r="A18" s="2"/>
      <c r="B18" s="79" t="s">
        <v>104</v>
      </c>
      <c r="C18" s="80"/>
      <c r="D18" s="81"/>
      <c r="E18" s="41">
        <f>'Fane 9. Tillæg'!D12</f>
        <v>0</v>
      </c>
      <c r="F18" s="8" t="s">
        <v>4</v>
      </c>
      <c r="G18" s="41">
        <f>E18*(1+E30/100)*(1-E32/100)</f>
        <v>0</v>
      </c>
      <c r="H18" s="8" t="s">
        <v>4</v>
      </c>
      <c r="I18" s="2"/>
      <c r="J18" s="2"/>
      <c r="K18" s="2"/>
    </row>
    <row r="19" spans="1:11" x14ac:dyDescent="0.25">
      <c r="A19" s="2"/>
      <c r="B19" s="79" t="s">
        <v>105</v>
      </c>
      <c r="C19" s="80"/>
      <c r="D19" s="81"/>
      <c r="E19" s="47">
        <f>'Fane 9. Tillæg'!F12</f>
        <v>0</v>
      </c>
      <c r="F19" s="8" t="s">
        <v>4</v>
      </c>
      <c r="G19" s="47">
        <f>E19*(1+E30/100)*(1-E33/100)</f>
        <v>0</v>
      </c>
      <c r="H19" s="8" t="s">
        <v>4</v>
      </c>
      <c r="I19" s="2"/>
      <c r="J19" s="2"/>
      <c r="K19" s="2"/>
    </row>
    <row r="20" spans="1:11" x14ac:dyDescent="0.25">
      <c r="A20" s="2"/>
      <c r="B20" s="36" t="s">
        <v>137</v>
      </c>
      <c r="C20" s="34"/>
      <c r="D20" s="35"/>
      <c r="E20" s="47">
        <f>'Fane 9. Tillæg'!F19</f>
        <v>0</v>
      </c>
      <c r="F20" s="8" t="s">
        <v>4</v>
      </c>
      <c r="G20" s="47">
        <f>E20*(1+E30/100)</f>
        <v>0</v>
      </c>
      <c r="H20" s="8" t="s">
        <v>4</v>
      </c>
      <c r="I20" s="2"/>
      <c r="J20" s="2"/>
      <c r="K20" s="2"/>
    </row>
    <row r="21" spans="1:11" x14ac:dyDescent="0.25">
      <c r="A21" s="2"/>
      <c r="B21" s="79" t="s">
        <v>106</v>
      </c>
      <c r="C21" s="80"/>
      <c r="D21" s="81"/>
      <c r="E21" s="40" t="s">
        <v>101</v>
      </c>
      <c r="F21" s="8" t="s">
        <v>4</v>
      </c>
      <c r="G21" s="41">
        <f>'Fane 10. Bortfald'!D12</f>
        <v>0</v>
      </c>
      <c r="H21" s="8" t="s">
        <v>4</v>
      </c>
      <c r="I21" s="2"/>
      <c r="J21" s="2"/>
      <c r="K21" s="2"/>
    </row>
    <row r="22" spans="1:11" x14ac:dyDescent="0.25">
      <c r="A22" s="2"/>
      <c r="B22" s="79" t="s">
        <v>106</v>
      </c>
      <c r="C22" s="80"/>
      <c r="D22" s="81"/>
      <c r="E22" s="40" t="s">
        <v>101</v>
      </c>
      <c r="F22" s="8" t="s">
        <v>4</v>
      </c>
      <c r="G22" s="41">
        <f>'Fane 10. Bortfald'!F12</f>
        <v>0</v>
      </c>
      <c r="H22" s="8" t="s">
        <v>4</v>
      </c>
      <c r="I22" s="2"/>
      <c r="J22" s="2"/>
      <c r="K22" s="2"/>
    </row>
    <row r="23" spans="1:11" x14ac:dyDescent="0.25">
      <c r="A23" s="2"/>
      <c r="B23" s="79" t="s">
        <v>49</v>
      </c>
      <c r="C23" s="80"/>
      <c r="D23" s="81"/>
      <c r="E23" s="41">
        <f>SUM(E15:E20)*E30/100</f>
        <v>-288.99601798375892</v>
      </c>
      <c r="F23" s="8" t="s">
        <v>4</v>
      </c>
      <c r="G23" s="41">
        <f>SUM(G10:G15,G18:G22)*$E$30/100</f>
        <v>366430.95934331598</v>
      </c>
      <c r="H23" s="8" t="s">
        <v>4</v>
      </c>
      <c r="I23" s="2"/>
      <c r="J23" s="2"/>
      <c r="K23" s="2"/>
    </row>
    <row r="24" spans="1:11" x14ac:dyDescent="0.25">
      <c r="A24" s="2"/>
      <c r="B24" s="79" t="s">
        <v>15</v>
      </c>
      <c r="C24" s="80"/>
      <c r="D24" s="81"/>
      <c r="E24" s="41">
        <f>-SUM(E18)*(1+E30/100)*$E$32/100-E19*(1+E30/100)*$E$33/100</f>
        <v>0</v>
      </c>
      <c r="F24" s="8" t="s">
        <v>4</v>
      </c>
      <c r="G24" s="41">
        <f>-(G10+G18+G21+G13)*(1+E30/100)*$E$32/100-(G11+G19+G22+G14)*(1+E30/100)*E33/100</f>
        <v>-251733.67240606199</v>
      </c>
      <c r="H24" s="8" t="s">
        <v>4</v>
      </c>
      <c r="I24" s="2"/>
      <c r="J24" s="2"/>
      <c r="K24" s="2"/>
    </row>
    <row r="25" spans="1:11" x14ac:dyDescent="0.25">
      <c r="A25" s="2"/>
      <c r="B25" s="79" t="s">
        <v>14</v>
      </c>
      <c r="C25" s="80"/>
      <c r="D25" s="81"/>
      <c r="E25" s="41">
        <f>-(SUM(E18:E19))*(1+E30)*$E$31/100</f>
        <v>0</v>
      </c>
      <c r="F25" s="8" t="s">
        <v>4</v>
      </c>
      <c r="G25" s="41">
        <f>-(SUM(G10:G11)+SUM(G13:G14)+SUM(G18:G19)+SUM(G21:G22))*(1+E30/100)*$E$31/100</f>
        <v>-216058.33102864484</v>
      </c>
      <c r="H25" s="8" t="s">
        <v>4</v>
      </c>
      <c r="I25" s="2"/>
      <c r="J25" s="2"/>
      <c r="K25" s="2"/>
    </row>
    <row r="26" spans="1:11" x14ac:dyDescent="0.25">
      <c r="A26" s="2"/>
      <c r="B26" s="79" t="s">
        <v>16</v>
      </c>
      <c r="C26" s="80"/>
      <c r="D26" s="81"/>
      <c r="E26" s="40" t="s">
        <v>101</v>
      </c>
      <c r="F26" s="8" t="s">
        <v>4</v>
      </c>
      <c r="G26" s="41">
        <f>'Fane 5. Hist. over el. underdæk'!G13</f>
        <v>0</v>
      </c>
      <c r="H26" s="8" t="s">
        <v>4</v>
      </c>
      <c r="I26" s="2"/>
      <c r="J26" s="2"/>
      <c r="K26" s="2"/>
    </row>
    <row r="27" spans="1:11" x14ac:dyDescent="0.25">
      <c r="A27" s="2"/>
      <c r="B27" s="37" t="s">
        <v>107</v>
      </c>
      <c r="C27" s="38"/>
      <c r="D27" s="38"/>
      <c r="E27" s="48">
        <f>SUM(E9:E25)</f>
        <v>20452425.494339667</v>
      </c>
      <c r="F27" s="38" t="s">
        <v>4</v>
      </c>
      <c r="G27" s="51">
        <f>SUM(G10:G26)</f>
        <v>22962078.331742283</v>
      </c>
      <c r="H27" s="39" t="s">
        <v>4</v>
      </c>
      <c r="I27" s="2"/>
      <c r="J27" s="2"/>
      <c r="K27" s="2"/>
    </row>
    <row r="28" spans="1:1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11" x14ac:dyDescent="0.25">
      <c r="A29" s="2"/>
      <c r="B29" s="37" t="s">
        <v>108</v>
      </c>
      <c r="C29" s="38"/>
      <c r="D29" s="38"/>
      <c r="E29" s="38"/>
      <c r="F29" s="39"/>
      <c r="G29" s="2"/>
      <c r="H29" s="2"/>
      <c r="I29" s="2"/>
      <c r="J29" s="2"/>
      <c r="K29" s="2"/>
    </row>
    <row r="30" spans="1:11" ht="15" customHeight="1" x14ac:dyDescent="0.25">
      <c r="A30" s="2"/>
      <c r="B30" s="79" t="s">
        <v>144</v>
      </c>
      <c r="C30" s="80"/>
      <c r="D30" s="81"/>
      <c r="E30" s="52">
        <v>1.75</v>
      </c>
      <c r="F30" s="8" t="s">
        <v>35</v>
      </c>
      <c r="G30" s="2"/>
      <c r="H30" s="2"/>
      <c r="I30" s="2"/>
      <c r="J30" s="2"/>
      <c r="K30" s="2"/>
    </row>
    <row r="31" spans="1:11" ht="15" customHeight="1" x14ac:dyDescent="0.25">
      <c r="A31" s="2"/>
      <c r="B31" s="79" t="s">
        <v>145</v>
      </c>
      <c r="C31" s="80"/>
      <c r="D31" s="81"/>
      <c r="E31" s="52">
        <v>1.6145776362747852</v>
      </c>
      <c r="F31" s="8" t="s">
        <v>35</v>
      </c>
      <c r="G31" s="2"/>
      <c r="H31" s="2"/>
      <c r="I31" s="2"/>
      <c r="J31" s="2"/>
      <c r="K31" s="2"/>
    </row>
    <row r="32" spans="1:11" ht="15" customHeight="1" x14ac:dyDescent="0.25">
      <c r="A32" s="2"/>
      <c r="B32" s="79" t="s">
        <v>36</v>
      </c>
      <c r="C32" s="80"/>
      <c r="D32" s="81"/>
      <c r="E32" s="52">
        <v>2</v>
      </c>
      <c r="F32" s="8" t="s">
        <v>35</v>
      </c>
      <c r="G32" s="2"/>
      <c r="H32" s="2"/>
      <c r="I32" s="2"/>
      <c r="J32" s="2"/>
      <c r="K32" s="2"/>
    </row>
    <row r="33" spans="1:11" ht="15" customHeight="1" x14ac:dyDescent="0.25">
      <c r="A33" s="2"/>
      <c r="B33" s="79" t="s">
        <v>146</v>
      </c>
      <c r="C33" s="80"/>
      <c r="D33" s="81"/>
      <c r="E33" s="52">
        <v>1.77</v>
      </c>
      <c r="F33" s="8" t="s">
        <v>35</v>
      </c>
      <c r="G33" s="2"/>
      <c r="H33" s="2"/>
      <c r="I33" s="2"/>
      <c r="J33" s="2"/>
      <c r="K33" s="2"/>
    </row>
  </sheetData>
  <sheetProtection password="DFE9" sheet="1" objects="1" scenarios="1"/>
  <mergeCells count="19">
    <mergeCell ref="B23:D23"/>
    <mergeCell ref="B3:J4"/>
    <mergeCell ref="B5:J5"/>
    <mergeCell ref="B9:D9"/>
    <mergeCell ref="B10:D10"/>
    <mergeCell ref="B15:D15"/>
    <mergeCell ref="B16:D16"/>
    <mergeCell ref="B17:D17"/>
    <mergeCell ref="B18:D18"/>
    <mergeCell ref="B19:D19"/>
    <mergeCell ref="B21:D21"/>
    <mergeCell ref="B22:D22"/>
    <mergeCell ref="B33:D33"/>
    <mergeCell ref="B24:D24"/>
    <mergeCell ref="B25:D25"/>
    <mergeCell ref="B30:D30"/>
    <mergeCell ref="B31:D31"/>
    <mergeCell ref="B32:D32"/>
    <mergeCell ref="B26:D26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1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57031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4" t="s">
        <v>96</v>
      </c>
      <c r="C3" s="94"/>
      <c r="D3" s="94"/>
      <c r="E3" s="94"/>
      <c r="F3" s="94"/>
      <c r="G3" s="94"/>
      <c r="H3" s="94"/>
      <c r="I3" s="2"/>
    </row>
    <row r="4" spans="1:9" ht="29.2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97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79" t="s">
        <v>72</v>
      </c>
      <c r="C9" s="80"/>
      <c r="D9" s="80"/>
      <c r="E9" s="80"/>
      <c r="F9" s="81"/>
      <c r="G9" s="21">
        <v>6721762.6951087052</v>
      </c>
      <c r="H9" s="17" t="s">
        <v>4</v>
      </c>
      <c r="I9" s="2"/>
    </row>
    <row r="10" spans="1:9" x14ac:dyDescent="0.25">
      <c r="A10" s="2"/>
      <c r="B10" s="79" t="s">
        <v>73</v>
      </c>
      <c r="C10" s="80"/>
      <c r="D10" s="80"/>
      <c r="E10" s="80"/>
      <c r="F10" s="81"/>
      <c r="G10" s="21">
        <v>7005577.9830917213</v>
      </c>
      <c r="H10" s="17" t="s">
        <v>4</v>
      </c>
      <c r="I10" s="2"/>
    </row>
    <row r="11" spans="1:9" x14ac:dyDescent="0.25">
      <c r="A11" s="2"/>
      <c r="B11" s="79" t="s">
        <v>90</v>
      </c>
      <c r="C11" s="80"/>
      <c r="D11" s="80"/>
      <c r="E11" s="80"/>
      <c r="F11" s="81"/>
      <c r="G11" s="21">
        <v>7669919.4421140188</v>
      </c>
      <c r="H11" s="17" t="s">
        <v>4</v>
      </c>
      <c r="I11" s="2"/>
    </row>
    <row r="12" spans="1:9" ht="17.25" customHeight="1" x14ac:dyDescent="0.25">
      <c r="A12" s="2"/>
      <c r="B12" s="88" t="s">
        <v>93</v>
      </c>
      <c r="C12" s="89"/>
      <c r="D12" s="89"/>
      <c r="E12" s="89"/>
      <c r="F12" s="90"/>
      <c r="G12" s="15">
        <f>SUM(G9:G11)</f>
        <v>21397260.120314445</v>
      </c>
      <c r="H12" s="16" t="s">
        <v>4</v>
      </c>
      <c r="I12" s="2"/>
    </row>
    <row r="13" spans="1:9" x14ac:dyDescent="0.25">
      <c r="A13" s="2"/>
      <c r="B13" s="18"/>
      <c r="C13" s="18"/>
      <c r="D13" s="18"/>
      <c r="E13" s="18"/>
      <c r="F13" s="18"/>
      <c r="G13" s="18"/>
      <c r="H13" s="18"/>
      <c r="I13" s="2"/>
    </row>
    <row r="14" spans="1:9" x14ac:dyDescent="0.25">
      <c r="A14" s="2"/>
      <c r="B14" s="19" t="s">
        <v>44</v>
      </c>
      <c r="C14" s="18"/>
      <c r="D14" s="18"/>
      <c r="E14" s="18"/>
      <c r="F14" s="18"/>
      <c r="G14" s="18"/>
      <c r="H14" s="18"/>
      <c r="I14" s="2"/>
    </row>
    <row r="15" spans="1:9" x14ac:dyDescent="0.25">
      <c r="A15" s="2"/>
      <c r="B15" s="19" t="s">
        <v>88</v>
      </c>
      <c r="C15" s="18"/>
      <c r="D15" s="18"/>
      <c r="E15" s="18"/>
      <c r="F15" s="18"/>
      <c r="G15" s="18"/>
      <c r="H15" s="18"/>
      <c r="I15" s="2"/>
    </row>
    <row r="16" spans="1:9" x14ac:dyDescent="0.25">
      <c r="A16" s="2"/>
      <c r="B16" s="19" t="s">
        <v>89</v>
      </c>
      <c r="C16" s="2"/>
      <c r="D16" s="2"/>
      <c r="E16" s="2"/>
      <c r="F16" s="2"/>
      <c r="G16" s="18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</sheetData>
  <sheetProtection password="DFE9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24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21.140625" style="3" customWidth="1"/>
    <col min="5" max="5" width="12" style="3" customWidth="1"/>
    <col min="6" max="6" width="3.28515625" style="3" customWidth="1"/>
    <col min="7" max="7" width="12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2" t="s">
        <v>74</v>
      </c>
      <c r="C3" s="82"/>
      <c r="D3" s="82"/>
      <c r="E3" s="82"/>
      <c r="F3" s="82"/>
      <c r="G3" s="82"/>
      <c r="H3" s="82"/>
      <c r="I3" s="2"/>
    </row>
    <row r="4" spans="1:9" ht="15" customHeight="1" x14ac:dyDescent="0.25">
      <c r="A4" s="2"/>
      <c r="B4" s="82"/>
      <c r="C4" s="82"/>
      <c r="D4" s="82"/>
      <c r="E4" s="82"/>
      <c r="F4" s="82"/>
      <c r="G4" s="82"/>
      <c r="H4" s="8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75</v>
      </c>
      <c r="C8" s="92"/>
      <c r="D8" s="92"/>
      <c r="E8" s="92"/>
      <c r="F8" s="92"/>
      <c r="G8" s="92"/>
      <c r="H8" s="93"/>
      <c r="I8" s="2"/>
    </row>
    <row r="9" spans="1:9" ht="51.75" customHeight="1" x14ac:dyDescent="0.25">
      <c r="A9" s="2"/>
      <c r="B9" s="84" t="s">
        <v>77</v>
      </c>
      <c r="C9" s="85"/>
      <c r="D9" s="86"/>
      <c r="E9" s="13" t="s">
        <v>76</v>
      </c>
      <c r="F9" s="13"/>
      <c r="G9" s="13" t="s">
        <v>91</v>
      </c>
      <c r="H9" s="13"/>
      <c r="I9" s="2"/>
    </row>
    <row r="10" spans="1:9" x14ac:dyDescent="0.25">
      <c r="A10" s="2"/>
      <c r="B10" s="95" t="s">
        <v>129</v>
      </c>
      <c r="C10" s="96"/>
      <c r="D10" s="96"/>
      <c r="E10" s="53">
        <v>0</v>
      </c>
      <c r="F10" s="17" t="s">
        <v>4</v>
      </c>
      <c r="G10" s="21">
        <v>0</v>
      </c>
      <c r="H10" s="17" t="s">
        <v>4</v>
      </c>
      <c r="I10" s="2"/>
    </row>
    <row r="11" spans="1:9" x14ac:dyDescent="0.25">
      <c r="A11" s="2"/>
      <c r="B11" s="95" t="s">
        <v>130</v>
      </c>
      <c r="C11" s="96"/>
      <c r="D11" s="96"/>
      <c r="E11" s="53">
        <v>26872.494999999999</v>
      </c>
      <c r="F11" s="17" t="s">
        <v>4</v>
      </c>
      <c r="G11" s="21">
        <v>24889</v>
      </c>
      <c r="H11" s="17" t="s">
        <v>4</v>
      </c>
      <c r="I11" s="2"/>
    </row>
    <row r="12" spans="1:9" x14ac:dyDescent="0.25">
      <c r="A12" s="2"/>
      <c r="B12" s="95" t="s">
        <v>131</v>
      </c>
      <c r="C12" s="96"/>
      <c r="D12" s="96"/>
      <c r="E12" s="53">
        <v>0</v>
      </c>
      <c r="F12" s="17" t="s">
        <v>4</v>
      </c>
      <c r="G12" s="21">
        <v>0</v>
      </c>
      <c r="H12" s="17" t="s">
        <v>4</v>
      </c>
      <c r="I12" s="2"/>
    </row>
    <row r="13" spans="1:9" x14ac:dyDescent="0.25">
      <c r="A13" s="2"/>
      <c r="B13" s="95" t="s">
        <v>132</v>
      </c>
      <c r="C13" s="96"/>
      <c r="D13" s="96"/>
      <c r="E13" s="53">
        <v>16200.204399999999</v>
      </c>
      <c r="F13" s="17" t="s">
        <v>4</v>
      </c>
      <c r="G13" s="21">
        <v>14408</v>
      </c>
      <c r="H13" s="17" t="s">
        <v>4</v>
      </c>
      <c r="I13" s="2"/>
    </row>
    <row r="14" spans="1:9" x14ac:dyDescent="0.25">
      <c r="A14" s="2"/>
      <c r="B14" s="95" t="s">
        <v>133</v>
      </c>
      <c r="C14" s="96"/>
      <c r="D14" s="96"/>
      <c r="E14" s="53">
        <v>7530660.3332000002</v>
      </c>
      <c r="F14" s="17" t="s">
        <v>4</v>
      </c>
      <c r="G14" s="21">
        <v>7518206</v>
      </c>
      <c r="H14" s="17" t="s">
        <v>4</v>
      </c>
      <c r="I14" s="2"/>
    </row>
    <row r="15" spans="1:9" x14ac:dyDescent="0.25">
      <c r="A15" s="2"/>
      <c r="B15" s="95" t="s">
        <v>134</v>
      </c>
      <c r="C15" s="96"/>
      <c r="D15" s="96"/>
      <c r="E15" s="53">
        <v>0</v>
      </c>
      <c r="F15" s="17" t="s">
        <v>4</v>
      </c>
      <c r="G15" s="21">
        <v>0</v>
      </c>
      <c r="H15" s="17" t="s">
        <v>4</v>
      </c>
      <c r="I15" s="2"/>
    </row>
    <row r="16" spans="1:9" x14ac:dyDescent="0.25">
      <c r="A16" s="2"/>
      <c r="B16" s="95" t="s">
        <v>135</v>
      </c>
      <c r="C16" s="96"/>
      <c r="D16" s="96"/>
      <c r="E16" s="53">
        <v>0</v>
      </c>
      <c r="F16" s="17" t="s">
        <v>4</v>
      </c>
      <c r="G16" s="21">
        <v>0</v>
      </c>
      <c r="H16" s="17" t="s">
        <v>4</v>
      </c>
      <c r="I16" s="2"/>
    </row>
    <row r="17" spans="1:9" x14ac:dyDescent="0.25">
      <c r="A17" s="2"/>
      <c r="B17" s="95" t="s">
        <v>136</v>
      </c>
      <c r="C17" s="96"/>
      <c r="D17" s="96"/>
      <c r="E17" s="53">
        <v>0</v>
      </c>
      <c r="F17" s="17" t="s">
        <v>4</v>
      </c>
      <c r="G17" s="21">
        <v>0</v>
      </c>
      <c r="H17" s="17" t="s">
        <v>4</v>
      </c>
      <c r="I17" s="2"/>
    </row>
    <row r="18" spans="1:9" x14ac:dyDescent="0.25">
      <c r="A18" s="2"/>
      <c r="B18" s="91" t="s">
        <v>86</v>
      </c>
      <c r="C18" s="92"/>
      <c r="D18" s="92"/>
      <c r="E18" s="92"/>
      <c r="F18" s="93"/>
      <c r="G18" s="15">
        <f>SUM(G10:G17)-SUM(E10:E17)</f>
        <v>-16230.032600000501</v>
      </c>
      <c r="H18" s="16" t="s">
        <v>4</v>
      </c>
      <c r="I18" s="2"/>
    </row>
    <row r="19" spans="1:9" x14ac:dyDescent="0.25">
      <c r="A19" s="2"/>
      <c r="B19" s="91" t="s">
        <v>87</v>
      </c>
      <c r="C19" s="92"/>
      <c r="D19" s="92"/>
      <c r="E19" s="92"/>
      <c r="F19" s="93"/>
      <c r="G19" s="15">
        <f>G18*(1+'Fane 2. Overblik ØR18-19'!E30/100)</f>
        <v>-16514.05817050051</v>
      </c>
      <c r="H19" s="16" t="s">
        <v>4</v>
      </c>
      <c r="I19" s="2"/>
    </row>
    <row r="20" spans="1:9" x14ac:dyDescent="0.25">
      <c r="A20" s="2"/>
      <c r="B20" s="19"/>
      <c r="C20" s="18"/>
      <c r="D20" s="18"/>
      <c r="E20" s="18"/>
      <c r="F20" s="18"/>
      <c r="G20" s="18"/>
      <c r="H20" s="18"/>
      <c r="I20" s="2"/>
    </row>
    <row r="21" spans="1:9" x14ac:dyDescent="0.25">
      <c r="A21" s="2"/>
      <c r="B21" s="18"/>
      <c r="C21" s="18"/>
      <c r="D21" s="18"/>
      <c r="E21" s="18"/>
      <c r="F21" s="18"/>
      <c r="G21" s="18"/>
      <c r="H21" s="18"/>
      <c r="I21" s="2"/>
    </row>
    <row r="22" spans="1:9" x14ac:dyDescent="0.25">
      <c r="A22" s="2"/>
      <c r="B22" s="2"/>
      <c r="C22" s="2"/>
      <c r="D22" s="2"/>
      <c r="E22" s="2"/>
      <c r="F22" s="2"/>
      <c r="G22" s="18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</sheetData>
  <sheetProtection password="DFE9" sheet="1" objects="1" scenarios="1"/>
  <mergeCells count="13">
    <mergeCell ref="B19:F19"/>
    <mergeCell ref="B3:H4"/>
    <mergeCell ref="B8:H8"/>
    <mergeCell ref="B18:F18"/>
    <mergeCell ref="B9:D9"/>
    <mergeCell ref="B10:D10"/>
    <mergeCell ref="B11:D11"/>
    <mergeCell ref="B17:D17"/>
    <mergeCell ref="B12:D12"/>
    <mergeCell ref="B13:D13"/>
    <mergeCell ref="B14:D14"/>
    <mergeCell ref="B15:D15"/>
    <mergeCell ref="B16:D1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17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140625" style="3" customWidth="1"/>
    <col min="7" max="7" width="10.28515625" style="3" customWidth="1"/>
    <col min="8" max="8" width="3.140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2" t="s">
        <v>111</v>
      </c>
      <c r="C3" s="82"/>
      <c r="D3" s="82"/>
      <c r="E3" s="82"/>
      <c r="F3" s="82"/>
      <c r="G3" s="82"/>
      <c r="H3" s="82"/>
      <c r="I3" s="2"/>
    </row>
    <row r="4" spans="1:9" ht="15" customHeight="1" x14ac:dyDescent="0.25">
      <c r="A4" s="2"/>
      <c r="B4" s="82"/>
      <c r="C4" s="82"/>
      <c r="D4" s="82"/>
      <c r="E4" s="82"/>
      <c r="F4" s="82"/>
      <c r="G4" s="82"/>
      <c r="H4" s="8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45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79" t="s">
        <v>38</v>
      </c>
      <c r="C9" s="80"/>
      <c r="D9" s="80"/>
      <c r="E9" s="80"/>
      <c r="F9" s="81"/>
      <c r="G9" s="21">
        <v>-1419960</v>
      </c>
      <c r="H9" s="17" t="s">
        <v>4</v>
      </c>
      <c r="I9" s="2"/>
    </row>
    <row r="10" spans="1:9" x14ac:dyDescent="0.25">
      <c r="A10" s="2"/>
      <c r="B10" s="79" t="s">
        <v>81</v>
      </c>
      <c r="C10" s="80"/>
      <c r="D10" s="80"/>
      <c r="E10" s="80"/>
      <c r="F10" s="81"/>
      <c r="G10" s="21">
        <v>-1419959.6666666667</v>
      </c>
      <c r="H10" s="17" t="s">
        <v>4</v>
      </c>
      <c r="I10" s="2"/>
    </row>
    <row r="11" spans="1:9" x14ac:dyDescent="0.25">
      <c r="A11" s="2"/>
      <c r="B11" s="97" t="s">
        <v>41</v>
      </c>
      <c r="C11" s="98"/>
      <c r="D11" s="98"/>
      <c r="E11" s="98"/>
      <c r="F11" s="99"/>
      <c r="G11" s="54">
        <f>G9-G10</f>
        <v>-0.33333333325572312</v>
      </c>
      <c r="H11" s="26" t="s">
        <v>4</v>
      </c>
      <c r="I11" s="2"/>
    </row>
    <row r="12" spans="1:9" x14ac:dyDescent="0.25">
      <c r="A12" s="2"/>
      <c r="B12" s="79" t="s">
        <v>39</v>
      </c>
      <c r="C12" s="80"/>
      <c r="D12" s="80"/>
      <c r="E12" s="80"/>
      <c r="F12" s="81"/>
      <c r="G12" s="21">
        <v>0</v>
      </c>
      <c r="H12" s="17" t="s">
        <v>82</v>
      </c>
      <c r="I12" s="2"/>
    </row>
    <row r="13" spans="1:9" x14ac:dyDescent="0.25">
      <c r="A13" s="2"/>
      <c r="B13" s="91" t="s">
        <v>37</v>
      </c>
      <c r="C13" s="92"/>
      <c r="D13" s="92"/>
      <c r="E13" s="92"/>
      <c r="F13" s="93"/>
      <c r="G13" s="15">
        <f>IF(G12 = 0,0,G11/G12)</f>
        <v>0</v>
      </c>
      <c r="H13" s="16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25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2" t="s">
        <v>112</v>
      </c>
      <c r="C3" s="82"/>
      <c r="D3" s="82"/>
      <c r="E3" s="82"/>
      <c r="F3" s="82"/>
      <c r="G3" s="82"/>
      <c r="H3" s="2"/>
    </row>
    <row r="4" spans="1:8" ht="15" customHeight="1" x14ac:dyDescent="0.25">
      <c r="A4" s="2"/>
      <c r="B4" s="82"/>
      <c r="C4" s="82"/>
      <c r="D4" s="82"/>
      <c r="E4" s="82"/>
      <c r="F4" s="82"/>
      <c r="G4" s="82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53</v>
      </c>
      <c r="C8" s="92"/>
      <c r="D8" s="92"/>
      <c r="E8" s="92"/>
      <c r="F8" s="92"/>
      <c r="G8" s="93"/>
      <c r="H8" s="2"/>
    </row>
    <row r="9" spans="1:8" ht="39" customHeight="1" x14ac:dyDescent="0.25">
      <c r="A9" s="2"/>
      <c r="B9" s="27" t="s">
        <v>0</v>
      </c>
      <c r="C9" s="13" t="s">
        <v>1</v>
      </c>
      <c r="D9" s="27" t="s">
        <v>2</v>
      </c>
      <c r="E9" s="27" t="s">
        <v>40</v>
      </c>
      <c r="F9" s="100" t="s">
        <v>3</v>
      </c>
      <c r="G9" s="100"/>
      <c r="H9" s="2"/>
    </row>
    <row r="10" spans="1:8" ht="26.25" x14ac:dyDescent="0.25">
      <c r="A10" s="2"/>
      <c r="B10" s="42" t="s">
        <v>118</v>
      </c>
      <c r="C10" s="28">
        <v>2016</v>
      </c>
      <c r="D10" s="22">
        <v>50</v>
      </c>
      <c r="E10" s="21">
        <v>247821</v>
      </c>
      <c r="F10" s="9">
        <f>E10/D10</f>
        <v>4956.42</v>
      </c>
      <c r="G10" s="17" t="s">
        <v>4</v>
      </c>
      <c r="H10" s="2"/>
    </row>
    <row r="11" spans="1:8" ht="26.25" x14ac:dyDescent="0.25">
      <c r="A11" s="2"/>
      <c r="B11" s="42" t="s">
        <v>119</v>
      </c>
      <c r="C11" s="28">
        <v>2016</v>
      </c>
      <c r="D11" s="22">
        <v>25</v>
      </c>
      <c r="E11" s="21">
        <v>292920</v>
      </c>
      <c r="F11" s="9">
        <f t="shared" ref="F11:F20" si="0">E11/D11</f>
        <v>11716.8</v>
      </c>
      <c r="G11" s="17" t="s">
        <v>4</v>
      </c>
      <c r="H11" s="2"/>
    </row>
    <row r="12" spans="1:8" x14ac:dyDescent="0.25">
      <c r="A12" s="2"/>
      <c r="B12" s="42" t="s">
        <v>120</v>
      </c>
      <c r="C12" s="28">
        <v>2016</v>
      </c>
      <c r="D12" s="22">
        <v>10</v>
      </c>
      <c r="E12" s="21">
        <v>263068</v>
      </c>
      <c r="F12" s="9">
        <f t="shared" si="0"/>
        <v>26306.799999999999</v>
      </c>
      <c r="G12" s="17" t="s">
        <v>4</v>
      </c>
      <c r="H12" s="2"/>
    </row>
    <row r="13" spans="1:8" x14ac:dyDescent="0.25">
      <c r="A13" s="2"/>
      <c r="B13" s="42" t="s">
        <v>121</v>
      </c>
      <c r="C13" s="28">
        <v>2016</v>
      </c>
      <c r="D13" s="22">
        <v>75</v>
      </c>
      <c r="E13" s="21">
        <v>209893</v>
      </c>
      <c r="F13" s="9">
        <f t="shared" si="0"/>
        <v>2798.5733333333333</v>
      </c>
      <c r="G13" s="17" t="s">
        <v>4</v>
      </c>
      <c r="H13" s="2"/>
    </row>
    <row r="14" spans="1:8" x14ac:dyDescent="0.25">
      <c r="A14" s="2"/>
      <c r="B14" s="42" t="s">
        <v>122</v>
      </c>
      <c r="C14" s="28">
        <v>2016</v>
      </c>
      <c r="D14" s="22">
        <v>75</v>
      </c>
      <c r="E14" s="21">
        <v>3840656</v>
      </c>
      <c r="F14" s="9">
        <f t="shared" si="0"/>
        <v>51208.746666666666</v>
      </c>
      <c r="G14" s="17" t="s">
        <v>4</v>
      </c>
      <c r="H14" s="2"/>
    </row>
    <row r="15" spans="1:8" x14ac:dyDescent="0.25">
      <c r="A15" s="2"/>
      <c r="B15" s="42" t="s">
        <v>123</v>
      </c>
      <c r="C15" s="28">
        <v>2016</v>
      </c>
      <c r="D15" s="22">
        <v>75</v>
      </c>
      <c r="E15" s="21">
        <v>951177</v>
      </c>
      <c r="F15" s="9">
        <f t="shared" si="0"/>
        <v>12682.36</v>
      </c>
      <c r="G15" s="17" t="s">
        <v>4</v>
      </c>
      <c r="H15" s="2"/>
    </row>
    <row r="16" spans="1:8" x14ac:dyDescent="0.25">
      <c r="A16" s="2"/>
      <c r="B16" s="42" t="s">
        <v>124</v>
      </c>
      <c r="C16" s="28">
        <v>2016</v>
      </c>
      <c r="D16" s="22">
        <v>50</v>
      </c>
      <c r="E16" s="21">
        <v>45568</v>
      </c>
      <c r="F16" s="9">
        <f t="shared" si="0"/>
        <v>911.36</v>
      </c>
      <c r="G16" s="17" t="s">
        <v>4</v>
      </c>
      <c r="H16" s="2"/>
    </row>
    <row r="17" spans="1:8" x14ac:dyDescent="0.25">
      <c r="A17" s="2"/>
      <c r="B17" s="42" t="s">
        <v>125</v>
      </c>
      <c r="C17" s="28">
        <v>2016</v>
      </c>
      <c r="D17" s="22">
        <v>50</v>
      </c>
      <c r="E17" s="21">
        <v>1088844</v>
      </c>
      <c r="F17" s="9">
        <f t="shared" si="0"/>
        <v>21776.880000000001</v>
      </c>
      <c r="G17" s="17" t="s">
        <v>4</v>
      </c>
      <c r="H17" s="2"/>
    </row>
    <row r="18" spans="1:8" ht="26.25" x14ac:dyDescent="0.25">
      <c r="A18" s="2"/>
      <c r="B18" s="42" t="s">
        <v>126</v>
      </c>
      <c r="C18" s="28">
        <v>2016</v>
      </c>
      <c r="D18" s="22">
        <v>10</v>
      </c>
      <c r="E18" s="21">
        <v>20568</v>
      </c>
      <c r="F18" s="9">
        <f t="shared" si="0"/>
        <v>2056.8000000000002</v>
      </c>
      <c r="G18" s="17" t="s">
        <v>4</v>
      </c>
      <c r="H18" s="2"/>
    </row>
    <row r="19" spans="1:8" x14ac:dyDescent="0.25">
      <c r="A19" s="2"/>
      <c r="B19" s="42" t="s">
        <v>127</v>
      </c>
      <c r="C19" s="28">
        <v>2016</v>
      </c>
      <c r="D19" s="22">
        <v>10</v>
      </c>
      <c r="E19" s="21">
        <v>1291808</v>
      </c>
      <c r="F19" s="9">
        <f t="shared" si="0"/>
        <v>129180.8</v>
      </c>
      <c r="G19" s="17" t="s">
        <v>4</v>
      </c>
      <c r="H19" s="2"/>
    </row>
    <row r="20" spans="1:8" x14ac:dyDescent="0.25">
      <c r="A20" s="2"/>
      <c r="B20" s="42" t="s">
        <v>128</v>
      </c>
      <c r="C20" s="28">
        <v>2016</v>
      </c>
      <c r="D20" s="22">
        <v>5</v>
      </c>
      <c r="E20" s="21">
        <v>710320</v>
      </c>
      <c r="F20" s="9">
        <f t="shared" si="0"/>
        <v>142064</v>
      </c>
      <c r="G20" s="17" t="s">
        <v>4</v>
      </c>
      <c r="H20" s="2"/>
    </row>
    <row r="21" spans="1:8" x14ac:dyDescent="0.25">
      <c r="A21" s="2"/>
      <c r="B21" s="91" t="s">
        <v>54</v>
      </c>
      <c r="C21" s="92"/>
      <c r="D21" s="92"/>
      <c r="E21" s="93"/>
      <c r="F21" s="15">
        <f>SUM(F10:F20)</f>
        <v>405659.54</v>
      </c>
      <c r="G21" s="16" t="s">
        <v>4</v>
      </c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  <row r="25" spans="1:8" x14ac:dyDescent="0.25">
      <c r="A25" s="2"/>
      <c r="B25" s="2"/>
      <c r="C25" s="2"/>
      <c r="D25" s="2"/>
      <c r="E25" s="2"/>
      <c r="F25" s="2"/>
      <c r="G25" s="2"/>
      <c r="H25" s="2"/>
    </row>
  </sheetData>
  <sheetProtection password="DFE9" sheet="1" objects="1" scenarios="1"/>
  <mergeCells count="4">
    <mergeCell ref="B21:E21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38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94" t="s">
        <v>113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88" t="s">
        <v>147</v>
      </c>
      <c r="C8" s="89"/>
      <c r="D8" s="89"/>
      <c r="E8" s="89"/>
      <c r="F8" s="89"/>
      <c r="G8" s="89"/>
      <c r="H8" s="90"/>
      <c r="I8" s="2"/>
    </row>
    <row r="9" spans="1:9" x14ac:dyDescent="0.25">
      <c r="A9" s="2"/>
      <c r="B9" s="79" t="s">
        <v>55</v>
      </c>
      <c r="C9" s="80"/>
      <c r="D9" s="80"/>
      <c r="E9" s="80"/>
      <c r="F9" s="81"/>
      <c r="G9" s="21">
        <v>7638253</v>
      </c>
      <c r="H9" s="17" t="s">
        <v>4</v>
      </c>
      <c r="I9" s="2"/>
    </row>
    <row r="10" spans="1:9" x14ac:dyDescent="0.25">
      <c r="A10" s="2"/>
      <c r="B10" s="79" t="s">
        <v>56</v>
      </c>
      <c r="C10" s="80"/>
      <c r="D10" s="80"/>
      <c r="E10" s="80"/>
      <c r="F10" s="81"/>
      <c r="G10" s="21">
        <v>7670500</v>
      </c>
      <c r="H10" s="17" t="s">
        <v>4</v>
      </c>
      <c r="I10" s="2"/>
    </row>
    <row r="11" spans="1:9" x14ac:dyDescent="0.25">
      <c r="A11" s="2"/>
      <c r="B11" s="91" t="s">
        <v>148</v>
      </c>
      <c r="C11" s="92"/>
      <c r="D11" s="92"/>
      <c r="E11" s="92"/>
      <c r="F11" s="93"/>
      <c r="G11" s="15">
        <f>G9-G10</f>
        <v>-32247</v>
      </c>
      <c r="H11" s="16" t="s">
        <v>4</v>
      </c>
      <c r="I11" s="2"/>
    </row>
    <row r="12" spans="1:9" x14ac:dyDescent="0.25">
      <c r="A12" s="2"/>
      <c r="B12" s="18"/>
      <c r="C12" s="18"/>
      <c r="D12" s="18"/>
      <c r="E12" s="18"/>
      <c r="F12" s="18"/>
      <c r="G12" s="18"/>
      <c r="H12" s="18"/>
      <c r="I12" s="2"/>
    </row>
    <row r="13" spans="1:9" x14ac:dyDescent="0.25">
      <c r="A13" s="2"/>
      <c r="B13" s="18"/>
      <c r="C13" s="18"/>
      <c r="D13" s="18"/>
      <c r="E13" s="18"/>
      <c r="F13" s="18"/>
      <c r="G13" s="18"/>
      <c r="H13" s="18"/>
      <c r="I13" s="2"/>
    </row>
    <row r="14" spans="1:9" x14ac:dyDescent="0.25">
      <c r="A14" s="2"/>
      <c r="B14" s="88" t="s">
        <v>149</v>
      </c>
      <c r="C14" s="89"/>
      <c r="D14" s="89"/>
      <c r="E14" s="89"/>
      <c r="F14" s="89"/>
      <c r="G14" s="89"/>
      <c r="H14" s="90"/>
      <c r="I14" s="2"/>
    </row>
    <row r="15" spans="1:9" x14ac:dyDescent="0.25">
      <c r="A15" s="2"/>
      <c r="B15" s="79" t="s">
        <v>57</v>
      </c>
      <c r="C15" s="80"/>
      <c r="D15" s="80"/>
      <c r="E15" s="80"/>
      <c r="F15" s="81"/>
      <c r="G15" s="21">
        <v>163633</v>
      </c>
      <c r="H15" s="17" t="s">
        <v>4</v>
      </c>
      <c r="I15" s="2"/>
    </row>
    <row r="16" spans="1:9" x14ac:dyDescent="0.25">
      <c r="A16" s="2"/>
      <c r="B16" s="79" t="s">
        <v>58</v>
      </c>
      <c r="C16" s="80"/>
      <c r="D16" s="80"/>
      <c r="E16" s="80"/>
      <c r="F16" s="81"/>
      <c r="G16" s="21">
        <v>176500</v>
      </c>
      <c r="H16" s="17" t="s">
        <v>4</v>
      </c>
      <c r="I16" s="2"/>
    </row>
    <row r="17" spans="1:9" x14ac:dyDescent="0.25">
      <c r="A17" s="2"/>
      <c r="B17" s="91" t="s">
        <v>149</v>
      </c>
      <c r="C17" s="92"/>
      <c r="D17" s="92"/>
      <c r="E17" s="92"/>
      <c r="F17" s="93"/>
      <c r="G17" s="15">
        <f>G15-G16</f>
        <v>-12867</v>
      </c>
      <c r="H17" s="16" t="s">
        <v>4</v>
      </c>
      <c r="I17" s="2"/>
    </row>
    <row r="18" spans="1:9" x14ac:dyDescent="0.25">
      <c r="A18" s="2"/>
      <c r="B18" s="18"/>
      <c r="C18" s="18"/>
      <c r="D18" s="18"/>
      <c r="E18" s="18"/>
      <c r="F18" s="18"/>
      <c r="G18" s="18"/>
      <c r="H18" s="18"/>
      <c r="I18" s="2"/>
    </row>
    <row r="19" spans="1:9" x14ac:dyDescent="0.25">
      <c r="A19" s="2"/>
      <c r="B19" s="18"/>
      <c r="C19" s="18"/>
      <c r="D19" s="18"/>
      <c r="E19" s="18"/>
      <c r="F19" s="18"/>
      <c r="G19" s="18"/>
      <c r="H19" s="18"/>
      <c r="I19" s="2"/>
    </row>
    <row r="20" spans="1:9" x14ac:dyDescent="0.25">
      <c r="A20" s="2"/>
      <c r="B20" s="88" t="s">
        <v>150</v>
      </c>
      <c r="C20" s="89"/>
      <c r="D20" s="89"/>
      <c r="E20" s="89"/>
      <c r="F20" s="89"/>
      <c r="G20" s="89"/>
      <c r="H20" s="90"/>
      <c r="I20" s="2"/>
    </row>
    <row r="21" spans="1:9" x14ac:dyDescent="0.25">
      <c r="A21" s="2"/>
      <c r="B21" s="79" t="s">
        <v>59</v>
      </c>
      <c r="C21" s="80"/>
      <c r="D21" s="80"/>
      <c r="E21" s="80"/>
      <c r="F21" s="81"/>
      <c r="G21" s="21">
        <v>451951</v>
      </c>
      <c r="H21" s="17" t="s">
        <v>4</v>
      </c>
      <c r="I21" s="2"/>
    </row>
    <row r="22" spans="1:9" x14ac:dyDescent="0.25">
      <c r="A22" s="2"/>
      <c r="B22" s="79" t="s">
        <v>60</v>
      </c>
      <c r="C22" s="80"/>
      <c r="D22" s="80"/>
      <c r="E22" s="80"/>
      <c r="F22" s="81"/>
      <c r="G22" s="21">
        <v>1010000</v>
      </c>
      <c r="H22" s="17" t="s">
        <v>4</v>
      </c>
      <c r="I22" s="2"/>
    </row>
    <row r="23" spans="1:9" x14ac:dyDescent="0.25">
      <c r="A23" s="2"/>
      <c r="B23" s="91" t="s">
        <v>150</v>
      </c>
      <c r="C23" s="92"/>
      <c r="D23" s="92"/>
      <c r="E23" s="92"/>
      <c r="F23" s="93"/>
      <c r="G23" s="15">
        <f>G21-G22</f>
        <v>-558049</v>
      </c>
      <c r="H23" s="16" t="s">
        <v>4</v>
      </c>
      <c r="I23" s="2"/>
    </row>
    <row r="24" spans="1:9" ht="15" customHeight="1" x14ac:dyDescent="0.25">
      <c r="A24" s="2"/>
      <c r="B24" s="18"/>
      <c r="C24" s="18"/>
      <c r="D24" s="18"/>
      <c r="E24" s="18"/>
      <c r="F24" s="18"/>
      <c r="G24" s="18"/>
      <c r="H24" s="18"/>
      <c r="I24" s="2"/>
    </row>
    <row r="25" spans="1:9" x14ac:dyDescent="0.25">
      <c r="A25" s="2"/>
      <c r="B25" s="18"/>
      <c r="C25" s="18"/>
      <c r="D25" s="18"/>
      <c r="E25" s="18"/>
      <c r="F25" s="18"/>
      <c r="G25" s="18"/>
      <c r="H25" s="18"/>
      <c r="I25" s="2"/>
    </row>
    <row r="26" spans="1:9" x14ac:dyDescent="0.25">
      <c r="A26" s="2"/>
      <c r="B26" s="88" t="s">
        <v>61</v>
      </c>
      <c r="C26" s="89"/>
      <c r="D26" s="89"/>
      <c r="E26" s="89"/>
      <c r="F26" s="89"/>
      <c r="G26" s="89"/>
      <c r="H26" s="90"/>
      <c r="I26" s="2"/>
    </row>
    <row r="27" spans="1:9" x14ac:dyDescent="0.25">
      <c r="A27" s="2"/>
      <c r="B27" s="79" t="s">
        <v>62</v>
      </c>
      <c r="C27" s="80"/>
      <c r="D27" s="80"/>
      <c r="E27" s="80"/>
      <c r="F27" s="81"/>
      <c r="G27" s="9">
        <f>'Fane 6. Gen. inv. i 2016'!F21</f>
        <v>405659.54</v>
      </c>
      <c r="H27" s="17" t="s">
        <v>4</v>
      </c>
      <c r="I27" s="2"/>
    </row>
    <row r="28" spans="1:9" x14ac:dyDescent="0.25">
      <c r="A28" s="2"/>
      <c r="B28" s="79" t="s">
        <v>63</v>
      </c>
      <c r="C28" s="80"/>
      <c r="D28" s="80"/>
      <c r="E28" s="80"/>
      <c r="F28" s="81"/>
      <c r="G28" s="21">
        <v>36666.666666666672</v>
      </c>
      <c r="H28" s="17" t="s">
        <v>4</v>
      </c>
      <c r="I28" s="2"/>
    </row>
    <row r="29" spans="1:9" x14ac:dyDescent="0.25">
      <c r="A29" s="2"/>
      <c r="B29" s="91" t="s">
        <v>61</v>
      </c>
      <c r="C29" s="92"/>
      <c r="D29" s="92"/>
      <c r="E29" s="92"/>
      <c r="F29" s="93"/>
      <c r="G29" s="15">
        <f>G27-G28</f>
        <v>368992.87333333329</v>
      </c>
      <c r="H29" s="16" t="s">
        <v>4</v>
      </c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</sheetData>
  <sheetProtection password="DFE9" sheet="1" objects="1" scenarios="1"/>
  <mergeCells count="17">
    <mergeCell ref="B21:F21"/>
    <mergeCell ref="B22:F22"/>
    <mergeCell ref="B28:F28"/>
    <mergeCell ref="B29:F29"/>
    <mergeCell ref="B23:F23"/>
    <mergeCell ref="B26:H26"/>
    <mergeCell ref="B27:F27"/>
    <mergeCell ref="B14:H14"/>
    <mergeCell ref="B15:F15"/>
    <mergeCell ref="B16:F16"/>
    <mergeCell ref="B17:F17"/>
    <mergeCell ref="B20:H20"/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0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94" t="s">
        <v>114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64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104" t="s">
        <v>65</v>
      </c>
      <c r="C9" s="105"/>
      <c r="D9" s="105"/>
      <c r="E9" s="105"/>
      <c r="F9" s="106"/>
      <c r="G9" s="20">
        <v>27017200.761415746</v>
      </c>
      <c r="H9" s="25" t="s">
        <v>4</v>
      </c>
      <c r="I9" s="2"/>
    </row>
    <row r="10" spans="1:9" x14ac:dyDescent="0.25">
      <c r="A10" s="2"/>
      <c r="B10" s="91" t="s">
        <v>66</v>
      </c>
      <c r="C10" s="92"/>
      <c r="D10" s="92"/>
      <c r="E10" s="92"/>
      <c r="F10" s="92"/>
      <c r="G10" s="92"/>
      <c r="H10" s="93"/>
      <c r="I10" s="2"/>
    </row>
    <row r="11" spans="1:9" x14ac:dyDescent="0.25">
      <c r="A11" s="2"/>
      <c r="B11" s="79" t="s">
        <v>17</v>
      </c>
      <c r="C11" s="80"/>
      <c r="D11" s="81"/>
      <c r="E11" s="21">
        <v>4322240.5547239361</v>
      </c>
      <c r="F11" s="17" t="s">
        <v>4</v>
      </c>
      <c r="G11" s="14"/>
      <c r="H11" s="29"/>
      <c r="I11" s="2"/>
    </row>
    <row r="12" spans="1:9" x14ac:dyDescent="0.25">
      <c r="A12" s="2"/>
      <c r="B12" s="79" t="s">
        <v>67</v>
      </c>
      <c r="C12" s="80"/>
      <c r="D12" s="81"/>
      <c r="E12" s="21">
        <v>1124894</v>
      </c>
      <c r="F12" s="17" t="s">
        <v>4</v>
      </c>
      <c r="G12" s="10"/>
      <c r="H12" s="30"/>
      <c r="I12" s="2"/>
    </row>
    <row r="13" spans="1:9" x14ac:dyDescent="0.25">
      <c r="A13" s="2"/>
      <c r="B13" s="79" t="s">
        <v>68</v>
      </c>
      <c r="C13" s="80"/>
      <c r="D13" s="81"/>
      <c r="E13" s="21">
        <v>33148</v>
      </c>
      <c r="F13" s="17" t="s">
        <v>4</v>
      </c>
      <c r="G13" s="10"/>
      <c r="H13" s="30"/>
      <c r="I13" s="2"/>
    </row>
    <row r="14" spans="1:9" x14ac:dyDescent="0.25">
      <c r="A14" s="2"/>
      <c r="B14" s="79" t="s">
        <v>69</v>
      </c>
      <c r="C14" s="80"/>
      <c r="D14" s="81"/>
      <c r="E14" s="21">
        <v>218666.66666666669</v>
      </c>
      <c r="F14" s="17" t="s">
        <v>4</v>
      </c>
      <c r="G14" s="10"/>
      <c r="H14" s="30"/>
      <c r="I14" s="2"/>
    </row>
    <row r="15" spans="1:9" x14ac:dyDescent="0.25">
      <c r="A15" s="2"/>
      <c r="B15" s="104" t="s">
        <v>18</v>
      </c>
      <c r="C15" s="105"/>
      <c r="D15" s="106"/>
      <c r="E15" s="12">
        <f>SUM(E11:E14)</f>
        <v>5698949.2213906031</v>
      </c>
      <c r="F15" s="25" t="s">
        <v>4</v>
      </c>
      <c r="G15" s="10"/>
      <c r="H15" s="30"/>
      <c r="I15" s="2"/>
    </row>
    <row r="16" spans="1:9" x14ac:dyDescent="0.25">
      <c r="A16" s="2"/>
      <c r="B16" s="79" t="s">
        <v>19</v>
      </c>
      <c r="C16" s="80"/>
      <c r="D16" s="81"/>
      <c r="E16" s="21">
        <v>2199114</v>
      </c>
      <c r="F16" s="17" t="s">
        <v>4</v>
      </c>
      <c r="G16" s="10"/>
      <c r="H16" s="30"/>
      <c r="I16" s="2"/>
    </row>
    <row r="17" spans="1:9" x14ac:dyDescent="0.25">
      <c r="A17" s="2"/>
      <c r="B17" s="79" t="s">
        <v>20</v>
      </c>
      <c r="C17" s="80"/>
      <c r="D17" s="81"/>
      <c r="E17" s="21">
        <v>1301051</v>
      </c>
      <c r="F17" s="17" t="s">
        <v>4</v>
      </c>
      <c r="G17" s="10"/>
      <c r="H17" s="30"/>
      <c r="I17" s="2"/>
    </row>
    <row r="18" spans="1:9" x14ac:dyDescent="0.25">
      <c r="A18" s="2"/>
      <c r="B18" s="79" t="s">
        <v>21</v>
      </c>
      <c r="C18" s="80"/>
      <c r="D18" s="81"/>
      <c r="E18" s="21">
        <v>0</v>
      </c>
      <c r="F18" s="17" t="s">
        <v>4</v>
      </c>
      <c r="G18" s="10"/>
      <c r="H18" s="30"/>
      <c r="I18" s="2"/>
    </row>
    <row r="19" spans="1:9" x14ac:dyDescent="0.25">
      <c r="A19" s="2"/>
      <c r="B19" s="104" t="s">
        <v>22</v>
      </c>
      <c r="C19" s="105"/>
      <c r="D19" s="106"/>
      <c r="E19" s="12">
        <f>SUM(E16:E18)</f>
        <v>3500165</v>
      </c>
      <c r="F19" s="25" t="s">
        <v>4</v>
      </c>
      <c r="G19" s="10"/>
      <c r="H19" s="30"/>
      <c r="I19" s="2"/>
    </row>
    <row r="20" spans="1:9" ht="29.25" customHeight="1" x14ac:dyDescent="0.25">
      <c r="A20" s="2"/>
      <c r="B20" s="101" t="s">
        <v>23</v>
      </c>
      <c r="C20" s="102"/>
      <c r="D20" s="103"/>
      <c r="E20" s="21">
        <v>-409082</v>
      </c>
      <c r="F20" s="17" t="s">
        <v>4</v>
      </c>
      <c r="G20" s="10"/>
      <c r="H20" s="30"/>
      <c r="I20" s="2"/>
    </row>
    <row r="21" spans="1:9" ht="30.75" customHeight="1" x14ac:dyDescent="0.25">
      <c r="A21" s="2"/>
      <c r="B21" s="101" t="s">
        <v>24</v>
      </c>
      <c r="C21" s="102"/>
      <c r="D21" s="103"/>
      <c r="E21" s="21">
        <v>-4962643</v>
      </c>
      <c r="F21" s="17" t="s">
        <v>4</v>
      </c>
      <c r="G21" s="10"/>
      <c r="H21" s="30"/>
      <c r="I21" s="2"/>
    </row>
    <row r="22" spans="1:9" x14ac:dyDescent="0.25">
      <c r="A22" s="2"/>
      <c r="B22" s="79" t="s">
        <v>25</v>
      </c>
      <c r="C22" s="80"/>
      <c r="D22" s="81"/>
      <c r="E22" s="21">
        <v>-798085</v>
      </c>
      <c r="F22" s="17" t="s">
        <v>4</v>
      </c>
      <c r="G22" s="10"/>
      <c r="H22" s="30"/>
      <c r="I22" s="2"/>
    </row>
    <row r="23" spans="1:9" x14ac:dyDescent="0.25">
      <c r="A23" s="2"/>
      <c r="B23" s="79" t="s">
        <v>26</v>
      </c>
      <c r="C23" s="80"/>
      <c r="D23" s="81"/>
      <c r="E23" s="21">
        <v>0</v>
      </c>
      <c r="F23" s="17" t="s">
        <v>4</v>
      </c>
      <c r="G23" s="10"/>
      <c r="H23" s="30"/>
      <c r="I23" s="2"/>
    </row>
    <row r="24" spans="1:9" ht="30" customHeight="1" x14ac:dyDescent="0.25">
      <c r="A24" s="2"/>
      <c r="B24" s="101" t="s">
        <v>27</v>
      </c>
      <c r="C24" s="102"/>
      <c r="D24" s="103"/>
      <c r="E24" s="21">
        <v>0</v>
      </c>
      <c r="F24" s="17" t="s">
        <v>4</v>
      </c>
      <c r="G24" s="10"/>
      <c r="H24" s="30"/>
      <c r="I24" s="2"/>
    </row>
    <row r="25" spans="1:9" ht="30" customHeight="1" x14ac:dyDescent="0.25">
      <c r="A25" s="2"/>
      <c r="B25" s="101" t="s">
        <v>28</v>
      </c>
      <c r="C25" s="102"/>
      <c r="D25" s="103"/>
      <c r="E25" s="21">
        <v>0</v>
      </c>
      <c r="F25" s="17" t="s">
        <v>4</v>
      </c>
      <c r="G25" s="10"/>
      <c r="H25" s="30"/>
      <c r="I25" s="2"/>
    </row>
    <row r="26" spans="1:9" ht="30" customHeight="1" x14ac:dyDescent="0.25">
      <c r="A26" s="2"/>
      <c r="B26" s="101" t="s">
        <v>29</v>
      </c>
      <c r="C26" s="102"/>
      <c r="D26" s="103"/>
      <c r="E26" s="21">
        <v>0</v>
      </c>
      <c r="F26" s="17" t="s">
        <v>4</v>
      </c>
      <c r="G26" s="10"/>
      <c r="H26" s="30"/>
      <c r="I26" s="2"/>
    </row>
    <row r="27" spans="1:9" x14ac:dyDescent="0.25">
      <c r="A27" s="2"/>
      <c r="B27" s="104" t="s">
        <v>30</v>
      </c>
      <c r="C27" s="105"/>
      <c r="D27" s="106"/>
      <c r="E27" s="12">
        <f>SUM(E20:E26)</f>
        <v>-6169810</v>
      </c>
      <c r="F27" s="25" t="s">
        <v>4</v>
      </c>
      <c r="G27" s="11"/>
      <c r="H27" s="31"/>
      <c r="I27" s="2"/>
    </row>
    <row r="28" spans="1:9" x14ac:dyDescent="0.25">
      <c r="A28" s="2"/>
      <c r="B28" s="104" t="s">
        <v>31</v>
      </c>
      <c r="C28" s="105"/>
      <c r="D28" s="106"/>
      <c r="E28" s="12">
        <f>E15+E19+E27</f>
        <v>3029304.2213906031</v>
      </c>
      <c r="F28" s="25" t="s">
        <v>4</v>
      </c>
      <c r="G28" s="1">
        <f>IF(E28&lt;0,0,-E28)</f>
        <v>-3029304.2213906031</v>
      </c>
      <c r="H28" s="25" t="s">
        <v>4</v>
      </c>
      <c r="I28" s="2"/>
    </row>
    <row r="29" spans="1:9" x14ac:dyDescent="0.25">
      <c r="A29" s="2"/>
      <c r="B29" s="91" t="s">
        <v>70</v>
      </c>
      <c r="C29" s="92"/>
      <c r="D29" s="92"/>
      <c r="E29" s="92"/>
      <c r="F29" s="92"/>
      <c r="G29" s="92"/>
      <c r="H29" s="93"/>
      <c r="I29" s="2"/>
    </row>
    <row r="30" spans="1:9" x14ac:dyDescent="0.25">
      <c r="A30" s="2"/>
      <c r="B30" s="104" t="s">
        <v>70</v>
      </c>
      <c r="C30" s="105"/>
      <c r="D30" s="106"/>
      <c r="E30" s="20">
        <v>5862290</v>
      </c>
      <c r="F30" s="25" t="s">
        <v>4</v>
      </c>
      <c r="G30" s="12">
        <f>-$E$30</f>
        <v>-5862290</v>
      </c>
      <c r="H30" s="25" t="s">
        <v>4</v>
      </c>
      <c r="I30" s="2"/>
    </row>
    <row r="31" spans="1:9" x14ac:dyDescent="0.25">
      <c r="A31" s="2"/>
      <c r="B31" s="107" t="s">
        <v>46</v>
      </c>
      <c r="C31" s="92"/>
      <c r="D31" s="92"/>
      <c r="E31" s="92"/>
      <c r="F31" s="92"/>
      <c r="G31" s="92"/>
      <c r="H31" s="93"/>
      <c r="I31" s="2"/>
    </row>
    <row r="32" spans="1:9" ht="30" customHeight="1" x14ac:dyDescent="0.25">
      <c r="A32" s="2"/>
      <c r="B32" s="101" t="s">
        <v>47</v>
      </c>
      <c r="C32" s="102"/>
      <c r="D32" s="103"/>
      <c r="E32" s="21">
        <v>15541875</v>
      </c>
      <c r="F32" s="17" t="s">
        <v>4</v>
      </c>
      <c r="G32" s="14"/>
      <c r="H32" s="29"/>
      <c r="I32" s="2"/>
    </row>
    <row r="33" spans="1:9" x14ac:dyDescent="0.25">
      <c r="A33" s="2"/>
      <c r="B33" s="79" t="s">
        <v>32</v>
      </c>
      <c r="C33" s="80"/>
      <c r="D33" s="81"/>
      <c r="E33" s="21">
        <v>0</v>
      </c>
      <c r="F33" s="17" t="s">
        <v>4</v>
      </c>
      <c r="G33" s="10"/>
      <c r="H33" s="30"/>
      <c r="I33" s="2"/>
    </row>
    <row r="34" spans="1:9" ht="43.5" customHeight="1" x14ac:dyDescent="0.25">
      <c r="A34" s="2"/>
      <c r="B34" s="101" t="s">
        <v>33</v>
      </c>
      <c r="C34" s="102"/>
      <c r="D34" s="103"/>
      <c r="E34" s="21">
        <v>225034</v>
      </c>
      <c r="F34" s="17" t="s">
        <v>4</v>
      </c>
      <c r="G34" s="11"/>
      <c r="H34" s="31"/>
      <c r="I34" s="2"/>
    </row>
    <row r="35" spans="1:9" x14ac:dyDescent="0.25">
      <c r="A35" s="2"/>
      <c r="B35" s="104" t="s">
        <v>34</v>
      </c>
      <c r="C35" s="105"/>
      <c r="D35" s="106"/>
      <c r="E35" s="12">
        <f>SUM(E32:E34)</f>
        <v>15766909</v>
      </c>
      <c r="F35" s="25" t="s">
        <v>4</v>
      </c>
      <c r="G35" s="12">
        <f>-E35</f>
        <v>-15766909</v>
      </c>
      <c r="H35" s="25" t="s">
        <v>4</v>
      </c>
      <c r="I35" s="2"/>
    </row>
    <row r="36" spans="1:9" x14ac:dyDescent="0.25">
      <c r="A36" s="2"/>
      <c r="B36" s="91" t="s">
        <v>143</v>
      </c>
      <c r="C36" s="92"/>
      <c r="D36" s="92"/>
      <c r="E36" s="92"/>
      <c r="F36" s="93"/>
      <c r="G36" s="15">
        <f>$G$9+$G$28+$G$30+$G$35</f>
        <v>2358697.5400251448</v>
      </c>
      <c r="H36" s="16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</sheetData>
  <sheetProtection password="DFE9" sheet="1" objects="1" scenarios="1"/>
  <mergeCells count="30"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24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2" t="s">
        <v>115</v>
      </c>
      <c r="C3" s="82"/>
      <c r="D3" s="82"/>
      <c r="E3" s="82"/>
      <c r="F3" s="82"/>
      <c r="G3" s="82"/>
      <c r="H3" s="2"/>
    </row>
    <row r="4" spans="1:8" ht="15" customHeight="1" x14ac:dyDescent="0.25">
      <c r="A4" s="2"/>
      <c r="B4" s="82"/>
      <c r="C4" s="82"/>
      <c r="D4" s="82"/>
      <c r="E4" s="82"/>
      <c r="F4" s="82"/>
      <c r="G4" s="82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141</v>
      </c>
      <c r="C8" s="92"/>
      <c r="D8" s="92"/>
      <c r="E8" s="92"/>
      <c r="F8" s="92"/>
      <c r="G8" s="93"/>
      <c r="H8" s="2"/>
    </row>
    <row r="9" spans="1:8" ht="29.25" customHeight="1" x14ac:dyDescent="0.25">
      <c r="A9" s="2"/>
      <c r="B9" s="84" t="s">
        <v>78</v>
      </c>
      <c r="C9" s="86"/>
      <c r="D9" s="100" t="s">
        <v>42</v>
      </c>
      <c r="E9" s="100"/>
      <c r="F9" s="100" t="s">
        <v>83</v>
      </c>
      <c r="G9" s="100"/>
      <c r="H9" s="2"/>
    </row>
    <row r="10" spans="1:8" x14ac:dyDescent="0.25">
      <c r="A10" s="2"/>
      <c r="B10" s="108" t="s">
        <v>142</v>
      </c>
      <c r="C10" s="109"/>
      <c r="D10" s="46">
        <v>0</v>
      </c>
      <c r="E10" s="17" t="s">
        <v>4</v>
      </c>
      <c r="F10" s="21">
        <v>0</v>
      </c>
      <c r="G10" s="17" t="s">
        <v>4</v>
      </c>
      <c r="H10" s="2"/>
    </row>
    <row r="11" spans="1:8" x14ac:dyDescent="0.25">
      <c r="A11" s="2"/>
      <c r="B11" s="91" t="s">
        <v>85</v>
      </c>
      <c r="C11" s="92"/>
      <c r="D11" s="15">
        <f>SUM(D10:D10)</f>
        <v>0</v>
      </c>
      <c r="E11" s="16" t="s">
        <v>4</v>
      </c>
      <c r="F11" s="15">
        <f>SUM(F10:F10)</f>
        <v>0</v>
      </c>
      <c r="G11" s="16" t="s">
        <v>4</v>
      </c>
      <c r="H11" s="2"/>
    </row>
    <row r="12" spans="1:8" x14ac:dyDescent="0.25">
      <c r="A12" s="2"/>
      <c r="B12" s="91" t="s">
        <v>95</v>
      </c>
      <c r="C12" s="93"/>
      <c r="D12" s="15">
        <f>D11*(1+'Fane 2. Overblik ØR18-19'!E30/100)</f>
        <v>0</v>
      </c>
      <c r="E12" s="16" t="s">
        <v>4</v>
      </c>
      <c r="F12" s="15">
        <f>F11*(1+'Fane 2. Overblik ØR18-19'!E30/100)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91" t="s">
        <v>137</v>
      </c>
      <c r="C15" s="92"/>
      <c r="D15" s="92"/>
      <c r="E15" s="92"/>
      <c r="F15" s="92"/>
      <c r="G15" s="93"/>
      <c r="H15" s="2"/>
    </row>
    <row r="16" spans="1:8" ht="15" customHeight="1" x14ac:dyDescent="0.25">
      <c r="A16" s="2"/>
      <c r="B16" s="84" t="s">
        <v>155</v>
      </c>
      <c r="C16" s="85"/>
      <c r="D16" s="85"/>
      <c r="E16" s="86"/>
      <c r="F16" s="100" t="s">
        <v>138</v>
      </c>
      <c r="G16" s="100"/>
      <c r="H16" s="2"/>
    </row>
    <row r="17" spans="1:8" x14ac:dyDescent="0.25">
      <c r="A17" s="2"/>
      <c r="B17" s="79" t="s">
        <v>152</v>
      </c>
      <c r="C17" s="80"/>
      <c r="D17" s="80"/>
      <c r="E17" s="81"/>
      <c r="F17" s="21">
        <v>0</v>
      </c>
      <c r="G17" s="17" t="s">
        <v>4</v>
      </c>
      <c r="H17" s="2"/>
    </row>
    <row r="18" spans="1:8" x14ac:dyDescent="0.25">
      <c r="A18" s="2"/>
      <c r="B18" s="91" t="s">
        <v>139</v>
      </c>
      <c r="C18" s="92"/>
      <c r="D18" s="92"/>
      <c r="E18" s="93"/>
      <c r="F18" s="15">
        <f>SUM(F17:F17)</f>
        <v>0</v>
      </c>
      <c r="G18" s="16" t="s">
        <v>4</v>
      </c>
      <c r="H18" s="2"/>
    </row>
    <row r="19" spans="1:8" x14ac:dyDescent="0.25">
      <c r="A19" s="2"/>
      <c r="B19" s="91" t="s">
        <v>140</v>
      </c>
      <c r="C19" s="92"/>
      <c r="D19" s="92"/>
      <c r="E19" s="93"/>
      <c r="F19" s="15">
        <f>F18*(1+'Fane 2. Overblik ØR18-19'!E30/100)</f>
        <v>0</v>
      </c>
      <c r="G19" s="16" t="s">
        <v>4</v>
      </c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</sheetData>
  <sheetProtection password="DFE9" sheet="1" objects="1" scenarios="1"/>
  <mergeCells count="14">
    <mergeCell ref="B19:E19"/>
    <mergeCell ref="B15:G15"/>
    <mergeCell ref="F16:G16"/>
    <mergeCell ref="B12:C12"/>
    <mergeCell ref="B11:C11"/>
    <mergeCell ref="B16:E16"/>
    <mergeCell ref="B17:E17"/>
    <mergeCell ref="B18:E18"/>
    <mergeCell ref="B10:C10"/>
    <mergeCell ref="B3:G4"/>
    <mergeCell ref="B8:G8"/>
    <mergeCell ref="F9:G9"/>
    <mergeCell ref="B9:C9"/>
    <mergeCell ref="D9:E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1. Forside</vt:lpstr>
      <vt:lpstr>Fane 2. Overblik ØR18-19</vt:lpstr>
      <vt:lpstr>Fane 3. Korrigeret grundlag</vt:lpstr>
      <vt:lpstr>Fane 4. Ikke-påvirkelige omk.</vt:lpstr>
      <vt:lpstr>Fane 5. Hist. over el. underdæk</vt:lpstr>
      <vt:lpstr>Fane 6. Gen. inv. i 2016</vt:lpstr>
      <vt:lpstr>Fane 7. Korrektion af PL2016</vt:lpstr>
      <vt:lpstr>Fane 8. Kontrol af PL2016</vt:lpstr>
      <vt:lpstr>Fane 9. Tillæg</vt:lpstr>
      <vt:lpstr>Fane 10. Bortfald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Emil Heesche</cp:lastModifiedBy>
  <cp:lastPrinted>2016-06-14T12:57:30Z</cp:lastPrinted>
  <dcterms:created xsi:type="dcterms:W3CDTF">2016-06-02T08:51:18Z</dcterms:created>
  <dcterms:modified xsi:type="dcterms:W3CDTF">2017-09-12T17:03:38Z</dcterms:modified>
</cp:coreProperties>
</file>