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E3" i="16" l="1"/>
  <c r="D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E4" i="16" l="1"/>
  <c r="D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E5" i="16"/>
  <c r="E6" i="16"/>
  <c r="J3" i="24"/>
  <c r="M3" i="24" s="1"/>
  <c r="D5" i="16"/>
  <c r="D6" i="16"/>
  <c r="F3" i="16" l="1"/>
  <c r="G3" i="16"/>
  <c r="B9" i="12"/>
  <c r="B10" i="12" s="1"/>
  <c r="H3" i="17"/>
  <c r="B4" i="12" s="1"/>
  <c r="I2" i="15"/>
  <c r="K2" i="15" s="1"/>
  <c r="B2" i="12" s="1"/>
  <c r="H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<sst xmlns="http://schemas.openxmlformats.org/spreadsheetml/2006/main" count="112" uniqueCount="76">
  <si>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</si>
  <si>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</si>
  <si>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</si>
  <si>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</si>
  <si>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</si>
  <si>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</si>
  <si>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</si>
  <si>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</si>
  <si>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</si>
  <si>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</si>
  <si>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</si>
  <si>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</si>
  <si>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</si>
  <si>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</si>
  <si>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</si>
  <si>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</si>
  <si>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</si>
  <si>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</si>
  <si>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</si>
  <si>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</si>
  <si>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</si>
  <si>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</si>
  <si>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</si>
  <si>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Grundvandsbeskyttelse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</si>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</sst>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5568055.7980906656</v>
      </c>
      <c r="C2" t="s">
        <v>11</v>
      </c>
    </row>
    <row r="3" spans="1:3" s="2" customFormat="1" x14ac:dyDescent="0.25">
      <c r="A3" s="5" t="s">
        <v>8</v>
      </c>
      <c r="B3" s="37">
        <f>'Miljø- og servicemål'!H3</f>
        <v>1014789.4676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79940.184933333323</v>
      </c>
      <c r="C4" t="s">
        <v>11</v>
      </c>
    </row>
    <row r="5" spans="1:3" s="26" customFormat="1" x14ac:dyDescent="0.25">
      <c r="A5" s="3" t="s">
        <v>12</v>
      </c>
      <c r="B5" s="49">
        <f>SUM(B2:B4)</f>
        <v>6662785.4506239993</v>
      </c>
      <c r="C5" s="64" t="s">
        <v>11</v>
      </c>
    </row>
    <row r="6" spans="1:3" x14ac:dyDescent="0.25">
      <c r="A6" s="48" t="s">
        <v>0</v>
      </c>
      <c r="B6" s="39">
        <f>Investeringer!E3</f>
        <v>4647280.7697709678</v>
      </c>
      <c r="C6" s="23" t="s">
        <v>11</v>
      </c>
    </row>
    <row r="7" spans="1:3" x14ac:dyDescent="0.25">
      <c r="A7" s="4" t="s">
        <v>1</v>
      </c>
      <c r="B7" s="36">
        <f>Investeringer!F3</f>
        <v>1689610.8261268018</v>
      </c>
      <c r="C7" t="s">
        <v>11</v>
      </c>
    </row>
    <row r="8" spans="1:3" x14ac:dyDescent="0.25">
      <c r="A8" s="4" t="s">
        <v>2</v>
      </c>
      <c r="B8" s="36">
        <f>Investeringer!G3</f>
        <v>407206.92632001603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200012</v>
      </c>
      <c r="C9" t="s">
        <v>11</v>
      </c>
    </row>
    <row r="10" spans="1:3" s="22" customFormat="1" x14ac:dyDescent="0.25">
      <c r="A10" s="3" t="s">
        <v>48</v>
      </c>
      <c r="B10" s="49">
        <f>SUM(B6:B9)</f>
        <v>6944110.5222177859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7602623</v>
      </c>
      <c r="C11" t="s">
        <v>11</v>
      </c>
    </row>
    <row r="12" spans="1:3" s="22" customFormat="1" x14ac:dyDescent="0.25">
      <c r="A12" s="3" t="s">
        <v>69</v>
      </c>
      <c r="B12" s="49">
        <f>SUM(B11:B11)</f>
        <v>7602623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59</v>
      </c>
      <c r="B14" s="38">
        <f>SUM(B5,B10,B12)</f>
        <v>21209518.972841784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8">
        <f>B14*Pristalsregulering!C8*Pristalsregulering!C9</f>
        <v>21397260.120314445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60</v>
      </c>
      <c r="D1" s="61" t="s">
        <v>61</v>
      </c>
      <c r="E1" s="61" t="s">
        <v>53</v>
      </c>
      <c r="F1" s="53" t="s">
        <v>62</v>
      </c>
      <c r="G1" s="53" t="s">
        <v>70</v>
      </c>
      <c r="H1" s="53" t="s">
        <v>63</v>
      </c>
      <c r="I1" s="53" t="s">
        <v>49</v>
      </c>
      <c r="J1" s="11" t="s">
        <v>64</v>
      </c>
      <c r="K1" s="11" t="s">
        <v>65</v>
      </c>
    </row>
    <row r="2" spans="1:11" s="23" customFormat="1" ht="15.75" thickTop="1" x14ac:dyDescent="0.25">
      <c r="A2" s="28">
        <v>2015</v>
      </c>
      <c r="B2" s="50">
        <v>4432415</v>
      </c>
      <c r="C2" s="50">
        <v>0</v>
      </c>
      <c r="D2" s="50">
        <f>B2+C2</f>
        <v>4432415</v>
      </c>
      <c r="E2" s="51">
        <f>D2</f>
        <v>4432415</v>
      </c>
      <c r="F2" s="50">
        <v>5873342.4808210814</v>
      </c>
      <c r="G2" s="50">
        <v>0</v>
      </c>
      <c r="H2" s="50">
        <f>F2-G2</f>
        <v>5873342.4808210814</v>
      </c>
      <c r="I2" s="50">
        <f>AVERAGEIF(E2:E4,"&lt;&gt;0")</f>
        <v>5568055.7980906656</v>
      </c>
      <c r="J2" s="50">
        <v>3973910.3886987111</v>
      </c>
      <c r="K2" s="40">
        <f>IF(H2&gt;I2,IF(I2&gt;J2,I2,J2),H2)</f>
        <v>5568055.7980906656</v>
      </c>
    </row>
    <row r="3" spans="1:11" s="23" customFormat="1" x14ac:dyDescent="0.25">
      <c r="A3" s="28">
        <v>2014</v>
      </c>
      <c r="B3" s="50">
        <v>5860281</v>
      </c>
      <c r="C3" s="50"/>
      <c r="D3" s="50">
        <f t="shared" ref="D3:D4" si="0">B3+C3</f>
        <v>5860281</v>
      </c>
      <c r="E3" s="51">
        <f>D3*Pristalsregulering!C7</f>
        <v>5864969.224799999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6307056</v>
      </c>
      <c r="C4" s="50"/>
      <c r="D4" s="50">
        <f t="shared" si="0"/>
        <v>6307056</v>
      </c>
      <c r="E4" s="51">
        <f>D4*Pristalsregulering!$C$6*Pristalsregulering!$C$7</f>
        <v>6406783.1694719987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LZ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56" customWidth="1"/>
    <col min="5" max="5" width="30.7109375" customWidth="1"/>
    <col min="6" max="6" width="30.7109375" style="56" customWidth="1"/>
    <col min="7" max="7" width="30.7109375" customWidth="1"/>
    <col min="8" max="8" width="30.7109375" style="56" customWidth="1"/>
    <col min="9" max="9" width="9.140625" hidden="1" customWidth="1"/>
    <col min="10" max="118" width="0" hidden="1" customWidth="1"/>
    <col min="119" max="120" width="9.140625" hidden="1" customWidth="1"/>
    <col min="121" max="228" width="0" hidden="1" customWidth="1"/>
    <col min="229" max="231" width="9.140625" hidden="1" customWidth="1"/>
    <col min="232" max="338" width="0" hidden="1" customWidth="1"/>
    <col min="339" max="16384" width="9.140625" hidden="1"/>
  </cols>
  <sheetData>
    <row r="1" spans="1:8" s="27" customFormat="1" ht="15.75" thickBot="1" x14ac:dyDescent="0.3">
      <c r="A1" s="9"/>
      <c r="B1" s="33" t="s">
        <v>72</v>
      </c>
      <c r="C1" s="33"/>
      <c r="D1" s="76" t="s">
        <v>73</v>
      </c>
      <c r="E1" s="10"/>
      <c r="F1" s="76" t="s">
        <v>74</v>
      </c>
      <c r="G1" s="33"/>
      <c r="H1" s="65"/>
    </row>
    <row r="2" spans="1:8" ht="30.75" thickTop="1" x14ac:dyDescent="0.25">
      <c r="A2" s="17" t="s">
        <v>13</v>
      </c>
      <c r="B2" s="34" t="s">
        <v>56</v>
      </c>
      <c r="C2" s="35" t="s">
        <v>23</v>
      </c>
      <c r="D2" s="57" t="s">
        <v>22</v>
      </c>
      <c r="E2" s="35" t="s">
        <v>23</v>
      </c>
      <c r="F2" s="58" t="s">
        <v>22</v>
      </c>
      <c r="G2" s="35" t="s">
        <v>23</v>
      </c>
      <c r="H2" s="54" t="s">
        <v>24</v>
      </c>
    </row>
    <row r="3" spans="1:8" s="22" customFormat="1" x14ac:dyDescent="0.25">
      <c r="A3" s="28">
        <v>2016</v>
      </c>
      <c r="B3" s="74">
        <v>0</v>
      </c>
      <c r="C3" s="75">
        <v>0</v>
      </c>
      <c r="D3" s="46">
        <f>B3/Pristalsregulering!$C$8</f>
        <v>0</v>
      </c>
      <c r="E3" s="36">
        <f>C3/Pristalsregulering!$C$8</f>
        <v>0</v>
      </c>
      <c r="F3" s="46">
        <f>IF(D4=0,0,AVERAGEIF(D4:D6,"&lt;&gt;0"))+D3</f>
        <v>187650</v>
      </c>
      <c r="G3" s="39">
        <f>IF(E4=0,0,AVERAGEIF(E4:E6,"&lt;&gt;0"))+E3</f>
        <v>827139.46759999997</v>
      </c>
      <c r="H3" s="59">
        <f>SUM(F3:G3)</f>
        <v>1014789.4676</v>
      </c>
    </row>
    <row r="4" spans="1:8" x14ac:dyDescent="0.25">
      <c r="A4" s="28">
        <v>2015</v>
      </c>
      <c r="B4" s="36">
        <v>187650</v>
      </c>
      <c r="C4" s="36">
        <v>836206</v>
      </c>
      <c r="D4" s="46">
        <f>B4</f>
        <v>187650</v>
      </c>
      <c r="E4" s="36">
        <f>C4</f>
        <v>836206</v>
      </c>
      <c r="F4" s="46"/>
      <c r="G4" s="39"/>
      <c r="H4" s="55"/>
    </row>
    <row r="5" spans="1:8" x14ac:dyDescent="0.25">
      <c r="A5" s="28">
        <v>2014</v>
      </c>
      <c r="B5" s="36"/>
      <c r="C5" s="36">
        <v>817419</v>
      </c>
      <c r="D5" s="46">
        <f>B5*Pristalsregulering!$C$7</f>
        <v>0</v>
      </c>
      <c r="E5" s="36">
        <f>C5*Pristalsregulering!$C$7</f>
        <v>818072.93519999995</v>
      </c>
      <c r="F5" s="46"/>
      <c r="G5" s="36"/>
      <c r="H5" s="46"/>
    </row>
    <row r="6" spans="1:8" x14ac:dyDescent="0.25">
      <c r="A6" s="28">
        <v>2013</v>
      </c>
      <c r="B6" s="36"/>
      <c r="C6" s="36"/>
      <c r="D6" s="46">
        <f>B6*Pristalsregulering!$C$7*Pristalsregulering!$C$6</f>
        <v>0</v>
      </c>
      <c r="E6" s="36">
        <f>C6*Pristalsregulering!$C$7*Pristalsregulering!$C$6</f>
        <v>0</v>
      </c>
      <c r="F6" s="46"/>
      <c r="G6" s="36"/>
      <c r="H6" s="46"/>
    </row>
    <row r="7" spans="1:8" hidden="1" x14ac:dyDescent="0.25"/>
    <row r="8" spans="1:8" hidden="1" x14ac:dyDescent="0.25"/>
    <row r="9" spans="1:8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25</v>
      </c>
      <c r="C1" s="78"/>
      <c r="D1" s="78"/>
      <c r="E1" s="79" t="s">
        <v>54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7" t="s">
        <v>28</v>
      </c>
      <c r="H2" s="6" t="s">
        <v>30</v>
      </c>
    </row>
    <row r="3" spans="1:8" x14ac:dyDescent="0.25">
      <c r="A3" s="31">
        <v>2015</v>
      </c>
      <c r="B3" s="42">
        <v>22000</v>
      </c>
      <c r="C3" s="43">
        <v>77640</v>
      </c>
      <c r="D3" s="43">
        <v>0</v>
      </c>
      <c r="E3" s="42">
        <f>B3</f>
        <v>22000</v>
      </c>
      <c r="F3" s="43">
        <f t="shared" ref="F3:G3" si="0">C3</f>
        <v>77640</v>
      </c>
      <c r="G3" s="44">
        <f t="shared" si="0"/>
        <v>0</v>
      </c>
      <c r="H3" s="45">
        <f>IF(E3=0,0,AVERAGEIF(E3:E5,"&lt;&gt;0"))+IF(F3=0,0,AVERAGEIF(F3:F5,"&lt;&gt;0"))+IF(G3=0,0,AVERAGEIF(G3:G5,"&lt;&gt;0"))</f>
        <v>79940.184933333323</v>
      </c>
    </row>
    <row r="4" spans="1:8" x14ac:dyDescent="0.25">
      <c r="A4" s="31">
        <v>2014</v>
      </c>
      <c r="B4" s="42">
        <v>21800</v>
      </c>
      <c r="C4" s="43">
        <v>39200</v>
      </c>
      <c r="D4" s="43">
        <v>0</v>
      </c>
      <c r="E4" s="42">
        <f>B4*Pristalsregulering!$C$7</f>
        <v>21817.439999999999</v>
      </c>
      <c r="F4" s="43">
        <f>C4*Pristalsregulering!$C$7</f>
        <v>39231.359999999993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21500</v>
      </c>
      <c r="C5" s="43">
        <v>56400</v>
      </c>
      <c r="D5" s="43">
        <v>0</v>
      </c>
      <c r="E5" s="42">
        <f>B5*Pristalsregulering!$C$7*Pristalsregulering!$C$6</f>
        <v>21839.957999999995</v>
      </c>
      <c r="F5" s="43">
        <f>C5*Pristalsregulering!$C$7*Pristalsregulering!$C$6</f>
        <v>57291.796799999989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80" t="s">
        <v>67</v>
      </c>
      <c r="C1" s="80"/>
      <c r="D1" s="81"/>
      <c r="E1" s="82" t="s">
        <v>68</v>
      </c>
      <c r="F1" s="82"/>
      <c r="G1" s="82"/>
    </row>
    <row r="2" spans="1:7" s="22" customFormat="1" ht="15.75" thickTop="1" x14ac:dyDescent="0.25">
      <c r="A2" s="71" t="s">
        <v>13</v>
      </c>
      <c r="B2" s="23" t="s">
        <v>66</v>
      </c>
      <c r="C2" s="23" t="s">
        <v>1</v>
      </c>
      <c r="D2" s="28" t="s">
        <v>75</v>
      </c>
      <c r="E2" s="22" t="s">
        <v>0</v>
      </c>
      <c r="F2" s="22" t="s">
        <v>1</v>
      </c>
      <c r="G2" s="22" t="s">
        <v>75</v>
      </c>
    </row>
    <row r="3" spans="1:7" s="22" customFormat="1" x14ac:dyDescent="0.25">
      <c r="A3" s="72">
        <v>2015</v>
      </c>
      <c r="B3" s="39">
        <v>4268655.4491826706</v>
      </c>
      <c r="C3" s="39">
        <v>1642740.2750000004</v>
      </c>
      <c r="D3" s="41">
        <v>405659.54</v>
      </c>
      <c r="E3" s="36">
        <f>B3*Pristalsregulering!C2*Pristalsregulering!C3*Pristalsregulering!C4*Pristalsregulering!C5*Pristalsregulering!C6*Pristalsregulering!C7</f>
        <v>4647280.7697709678</v>
      </c>
      <c r="F3" s="36">
        <v>1689610.8261268018</v>
      </c>
      <c r="G3" s="36">
        <f xml:space="preserve"> D3/Pristalsregulering!$C$8</f>
        <v>407206.92632001603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41</v>
      </c>
      <c r="C1" s="78"/>
      <c r="D1" s="78"/>
      <c r="E1" s="78"/>
      <c r="F1" s="79" t="s">
        <v>55</v>
      </c>
      <c r="G1" s="80"/>
      <c r="H1" s="80"/>
      <c r="I1" s="80"/>
      <c r="J1" s="83" t="s">
        <v>30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2" t="s">
        <v>45</v>
      </c>
      <c r="F2" s="7" t="s">
        <v>42</v>
      </c>
      <c r="G2" s="7" t="s">
        <v>43</v>
      </c>
      <c r="H2" s="7" t="s">
        <v>44</v>
      </c>
      <c r="I2" s="52" t="s">
        <v>45</v>
      </c>
      <c r="J2" s="20" t="s">
        <v>46</v>
      </c>
      <c r="K2" s="20" t="s">
        <v>43</v>
      </c>
      <c r="L2" s="15" t="s">
        <v>71</v>
      </c>
      <c r="M2" s="6" t="s">
        <v>29</v>
      </c>
      <c r="N2" s="32"/>
    </row>
    <row r="3" spans="1:14" x14ac:dyDescent="0.25">
      <c r="A3" s="28">
        <v>2015</v>
      </c>
      <c r="B3" s="46">
        <v>0</v>
      </c>
      <c r="C3" s="39">
        <v>200012</v>
      </c>
      <c r="D3" s="39">
        <v>0</v>
      </c>
      <c r="E3" s="41">
        <v>0</v>
      </c>
      <c r="F3" s="39">
        <f>B3</f>
        <v>0</v>
      </c>
      <c r="G3" s="39">
        <f>C3</f>
        <v>200012</v>
      </c>
      <c r="H3" s="39">
        <f>D3</f>
        <v>0</v>
      </c>
      <c r="I3" s="41">
        <f>E3</f>
        <v>0</v>
      </c>
      <c r="J3" s="43">
        <f>AVERAGE(F3:F5)</f>
        <v>0</v>
      </c>
      <c r="K3" s="43">
        <f>G3</f>
        <v>200012</v>
      </c>
      <c r="L3" s="44">
        <f>AVERAGE(H3:H5)+AVERAGE(I3:I5)</f>
        <v>0</v>
      </c>
      <c r="M3" s="45">
        <f>SUM(J3:L3)</f>
        <v>200012</v>
      </c>
      <c r="N3" s="23"/>
    </row>
    <row r="4" spans="1:14" x14ac:dyDescent="0.25">
      <c r="A4" s="28">
        <v>2014</v>
      </c>
      <c r="B4" s="46">
        <v>0</v>
      </c>
      <c r="C4" s="39">
        <v>135406</v>
      </c>
      <c r="D4" s="39">
        <v>0</v>
      </c>
      <c r="E4" s="41">
        <v>0</v>
      </c>
      <c r="F4" s="39">
        <f>IF(B4="","",B4*Pristalsregulering!$C$7)</f>
        <v>0</v>
      </c>
      <c r="G4" s="39">
        <f>IF(C4="","",C4*Pristalsregulering!$C$7)</f>
        <v>135514.3248</v>
      </c>
      <c r="H4" s="39">
        <f>IF(D4="","",D4*Pristalsregulering!$C$7)</f>
        <v>0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18781</v>
      </c>
      <c r="D5" s="39">
        <v>0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19077.965171999997</v>
      </c>
      <c r="H5" s="39">
        <f>IF(D5="","",D5*Pristalsregulering!$C$7*Pristalsregulering!$C$6)</f>
        <v>0</v>
      </c>
      <c r="I5" s="41">
        <f>IF(E5="","",E5*Pristalsregulering!$C$7*Pristalsregulering!$C$6)</f>
        <v>0</v>
      </c>
      <c r="J5" s="36"/>
      <c r="L5" s="41"/>
      <c r="M5" s="36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31</v>
      </c>
      <c r="C1" s="68" t="s">
        <v>32</v>
      </c>
      <c r="D1" s="68" t="s">
        <v>33</v>
      </c>
      <c r="E1" s="68" t="s">
        <v>34</v>
      </c>
      <c r="F1" s="68" t="s">
        <v>35</v>
      </c>
      <c r="G1" s="68" t="s">
        <v>36</v>
      </c>
      <c r="H1" s="68" t="s">
        <v>37</v>
      </c>
      <c r="I1" s="68" t="s">
        <v>38</v>
      </c>
      <c r="J1" s="68" t="s">
        <v>39</v>
      </c>
      <c r="K1" s="68" t="s">
        <v>57</v>
      </c>
      <c r="L1" s="69" t="s">
        <v>40</v>
      </c>
      <c r="M1" s="14" t="s">
        <v>29</v>
      </c>
    </row>
    <row r="2" spans="1:13" ht="15.75" thickTop="1" x14ac:dyDescent="0.25">
      <c r="A2" s="31">
        <v>2015</v>
      </c>
      <c r="B2" s="43">
        <v>16262</v>
      </c>
      <c r="C2" s="43">
        <v>0</v>
      </c>
      <c r="D2" s="43">
        <v>26975</v>
      </c>
      <c r="E2" s="43">
        <v>0</v>
      </c>
      <c r="F2" s="43">
        <v>0</v>
      </c>
      <c r="G2" s="43">
        <v>7559386</v>
      </c>
      <c r="H2" s="43" t="s">
        <v>47</v>
      </c>
      <c r="I2" s="43">
        <v>0</v>
      </c>
      <c r="J2" s="43">
        <v>0</v>
      </c>
      <c r="K2" s="43"/>
      <c r="L2" s="44"/>
      <c r="M2" s="45">
        <f>SUM(B2:L2)</f>
        <v>7602623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58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2017-09-12T14:54:21Z</dcterms:modified>
</cp:coreProperties>
</file>