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6" i="16"/>
  <c r="G5" i="16"/>
  <c r="J3" i="24"/>
  <c r="M3" i="24" s="1"/>
  <c r="F5" i="16"/>
  <c r="G6" i="16"/>
  <c r="H5" i="16"/>
  <c r="L3" i="16" s="1"/>
  <c r="F6" i="16"/>
  <c r="H6" i="16"/>
  <c r="I5" i="16"/>
  <c r="M3" i="16" s="1"/>
  <c r="J3" i="16" l="1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<sst xmlns="http://schemas.openxmlformats.org/spreadsheetml/2006/main" count="119" uniqueCount="79">
  <si>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</si>
  <si>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</si>
  <si>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</si>
  <si>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</si>
  <si>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</si>
  <si>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</si>
  <si>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</si>
  <si>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</si>
  <si>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</si>
  <si>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</si>
  <si>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</si>
  <si>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</si>
  <si>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</si>
  <si>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</si>
  <si>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</si>
  <si>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</si>
  <si>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</si>
  <si>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</si>
  <si>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</si>
  <si>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</si>
  <si>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</si>
  <si>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</si>
  <si>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</si>
  <si>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</si>
  <si>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Udtagning af vandprøver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</si>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</sst>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2728679.4169526622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73910.985996305957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54171.566289333328</v>
      </c>
      <c r="C4" t="s">
        <v>11</v>
      </c>
    </row>
    <row r="5" spans="1:3" s="26" customFormat="1" x14ac:dyDescent="0.25">
      <c r="A5" s="3" t="s">
        <v>12</v>
      </c>
      <c r="B5" s="49">
        <f>SUM(B2:B4)</f>
        <v>2856761.9692383013</v>
      </c>
      <c r="C5" s="64" t="s">
        <v>11</v>
      </c>
    </row>
    <row r="6" spans="1:3" x14ac:dyDescent="0.25">
      <c r="A6" s="48" t="s">
        <v>0</v>
      </c>
      <c r="B6" s="39">
        <f>Investeringer!E3</f>
        <v>2373641.6912161843</v>
      </c>
      <c r="C6" s="23" t="s">
        <v>11</v>
      </c>
    </row>
    <row r="7" spans="1:3" x14ac:dyDescent="0.25">
      <c r="A7" s="4" t="s">
        <v>1</v>
      </c>
      <c r="B7" s="36">
        <f>Investeringer!F3</f>
        <v>528207.03024942509</v>
      </c>
      <c r="C7" t="s">
        <v>11</v>
      </c>
    </row>
    <row r="8" spans="1:3" x14ac:dyDescent="0.25">
      <c r="A8" s="4" t="s">
        <v>2</v>
      </c>
      <c r="B8" s="36">
        <f>Investeringer!G3</f>
        <v>145836.76637890653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39730.587284000001</v>
      </c>
      <c r="C9" t="s">
        <v>11</v>
      </c>
    </row>
    <row r="10" spans="1:3" s="22" customFormat="1" x14ac:dyDescent="0.25">
      <c r="A10" s="3" t="s">
        <v>51</v>
      </c>
      <c r="B10" s="49">
        <f>SUM(B6:B9)</f>
        <v>3087416.0751285162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2693504</v>
      </c>
      <c r="C11" t="s">
        <v>11</v>
      </c>
    </row>
    <row r="12" spans="1:3" s="22" customFormat="1" x14ac:dyDescent="0.25">
      <c r="A12" s="3" t="s">
        <v>72</v>
      </c>
      <c r="B12" s="49">
        <f>SUM(B11:B11)</f>
        <v>2693504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8637682.0443668179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8714140.560026221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2780708</v>
      </c>
      <c r="C2" s="50">
        <v>22538</v>
      </c>
      <c r="D2" s="50">
        <f>B2+C2</f>
        <v>2803246</v>
      </c>
      <c r="E2" s="51">
        <f>D2</f>
        <v>2803246</v>
      </c>
      <c r="F2" s="50">
        <v>2728679.4169526622</v>
      </c>
      <c r="G2" s="50">
        <v>0</v>
      </c>
      <c r="H2" s="50">
        <f>F2-G2</f>
        <v>2728679.4169526622</v>
      </c>
      <c r="I2" s="50">
        <f>AVERAGEIF(E2:E4,"&lt;&gt;0")</f>
        <v>2775090.4063013331</v>
      </c>
      <c r="J2" s="50">
        <v>2109524.5663415086</v>
      </c>
      <c r="K2" s="40">
        <f>IF(H2&gt;I2,IF(I2&gt;J2,I2,J2),H2)</f>
        <v>2728679.4169526622</v>
      </c>
    </row>
    <row r="3" spans="1:11" s="23" customFormat="1" x14ac:dyDescent="0.25">
      <c r="A3" s="28">
        <v>2014</v>
      </c>
      <c r="B3" s="50">
        <v>2749156</v>
      </c>
      <c r="C3" s="50"/>
      <c r="D3" s="50">
        <f t="shared" ref="D3:D4" si="0">B3+C3</f>
        <v>2749156</v>
      </c>
      <c r="E3" s="51">
        <f>D3*Pristalsregulering!C7</f>
        <v>2751355.3247999996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2727542</v>
      </c>
      <c r="C4" s="50"/>
      <c r="D4" s="50">
        <f t="shared" si="0"/>
        <v>2727542</v>
      </c>
      <c r="E4" s="51">
        <f>D4*Pristalsregulering!$C$6*Pristalsregulering!$C$7</f>
        <v>2770669.8941039997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7" width="0" hidden="1" customWidth="1"/>
    <col min="98" max="98" width="9.140625" hidden="1" customWidth="1"/>
    <col min="99" max="101" width="0" hidden="1" customWidth="1"/>
    <col min="102" max="102" width="9.140625" hidden="1" customWidth="1"/>
    <col min="103" max="119" width="0" hidden="1" customWidth="1"/>
    <col min="120" max="120" width="9.140625" hidden="1" customWidth="1"/>
    <col min="121" max="123" width="0" hidden="1" customWidth="1"/>
    <col min="124" max="124" width="9.140625" hidden="1" customWidth="1"/>
    <col min="125" max="180" width="0" hidden="1" customWidth="1"/>
    <col min="181" max="181" width="9.140625" hidden="1" customWidth="1"/>
    <col min="182" max="184" width="0" hidden="1" customWidth="1"/>
    <col min="185" max="185" width="9.140625" hidden="1" customWidth="1"/>
    <col min="186" max="202" width="0" hidden="1" customWidth="1"/>
    <col min="203" max="203" width="9.140625" hidden="1" customWidth="1"/>
    <col min="204" max="206" width="0" hidden="1" customWidth="1"/>
    <col min="207" max="207" width="9.140625" hidden="1" customWidth="1"/>
    <col min="208" max="210" width="0" hidden="1" customWidth="1"/>
    <col min="211" max="211" width="9.140625" hidden="1" customWidth="1"/>
    <col min="212" max="224" width="0" hidden="1" customWidth="1"/>
    <col min="225" max="225" width="9.140625" hidden="1" customWidth="1"/>
    <col min="226" max="228" width="0" hidden="1" customWidth="1"/>
    <col min="229" max="229" width="9.140625" hidden="1" customWidth="1"/>
    <col min="230" max="232" width="0" hidden="1" customWidth="1"/>
    <col min="233" max="233" width="9.140625" hidden="1" customWidth="1"/>
    <col min="234" max="263" width="0" hidden="1" customWidth="1"/>
    <col min="264" max="264" width="9.140625" hidden="1" customWidth="1"/>
    <col min="265" max="267" width="0" hidden="1" customWidth="1"/>
    <col min="268" max="268" width="9.140625" hidden="1" customWidth="1"/>
    <col min="269" max="285" width="0" hidden="1" customWidth="1"/>
    <col min="286" max="286" width="9.140625" hidden="1" customWidth="1"/>
    <col min="287" max="289" width="0" hidden="1" customWidth="1"/>
    <col min="290" max="290" width="9.140625" hidden="1" customWidth="1"/>
    <col min="291" max="293" width="0" hidden="1" customWidth="1"/>
    <col min="294" max="294" width="9.140625" hidden="1" customWidth="1"/>
    <col min="295" max="307" width="0" hidden="1" customWidth="1"/>
    <col min="308" max="308" width="9.140625" hidden="1" customWidth="1"/>
    <col min="309" max="311" width="0" hidden="1" customWidth="1"/>
    <col min="312" max="312" width="9.140625" hidden="1" customWidth="1"/>
    <col min="313" max="315" width="0" hidden="1" customWidth="1"/>
    <col min="316" max="316" width="9.140625" hidden="1" customWidth="1"/>
    <col min="317" max="319" width="0" hidden="1" customWidth="1"/>
    <col min="320" max="320" width="9.140625" hidden="1" customWidth="1"/>
    <col min="321" max="329" width="0" hidden="1" customWidth="1"/>
    <col min="330" max="330" width="9.140625" hidden="1" customWidth="1"/>
    <col min="331" max="333" width="0" hidden="1" customWidth="1"/>
    <col min="334" max="334" width="9.140625" hidden="1" customWidth="1"/>
    <col min="335" max="337" width="0" hidden="1" customWidth="1"/>
    <col min="338" max="338" width="9.140625" hidden="1" customWidth="1"/>
    <col min="339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38261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38406.946396305961</v>
      </c>
      <c r="J3" s="46">
        <f>IF(F4=0,0,AVERAGEIF(F4:F6,"&lt;&gt;0"))+F3</f>
        <v>14822.641199999998</v>
      </c>
      <c r="K3" s="39">
        <f>IF(G4=0,0,AVERAGEIF(G4:G6,"&lt;&gt;0"))+G3</f>
        <v>10539.177199999998</v>
      </c>
      <c r="L3" s="39">
        <f>IF(H4=0,0,AVERAGEIF(H4:H6,"&lt;&gt;0"))+H3</f>
        <v>10142.2212</v>
      </c>
      <c r="M3" s="39">
        <f>IF(I4=0,0,AVERAGEIF(I4:I6,"&lt;&gt;0"))+I3</f>
        <v>38406.946396305961</v>
      </c>
      <c r="N3" s="59">
        <f>SUM(J3:M3)</f>
        <v>73910.985996305957</v>
      </c>
    </row>
    <row r="4" spans="1:14" x14ac:dyDescent="0.25">
      <c r="A4" s="28">
        <v>2015</v>
      </c>
      <c r="B4" s="36">
        <v>14280</v>
      </c>
      <c r="C4" s="36">
        <v>10627</v>
      </c>
      <c r="D4" s="36">
        <v>12225</v>
      </c>
      <c r="E4" s="36"/>
      <c r="F4" s="46">
        <f>B4</f>
        <v>14280</v>
      </c>
      <c r="G4" s="36">
        <f t="shared" ref="G4:I4" si="0">C4</f>
        <v>10627</v>
      </c>
      <c r="H4" s="36">
        <f t="shared" si="0"/>
        <v>12225</v>
      </c>
      <c r="I4" s="36">
        <f t="shared" si="0"/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15353</v>
      </c>
      <c r="C5" s="36">
        <v>10443</v>
      </c>
      <c r="D5" s="36">
        <v>8053</v>
      </c>
      <c r="E5" s="36"/>
      <c r="F5" s="46">
        <f>B5*Pristalsregulering!$C$7</f>
        <v>15365.282399999998</v>
      </c>
      <c r="G5" s="36">
        <f>C5*Pristalsregulering!$C$7</f>
        <v>10451.354399999998</v>
      </c>
      <c r="H5" s="36">
        <f>D5*Pristalsregulering!$C$7</f>
        <v>8059.442399999999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16600</v>
      </c>
      <c r="C3" s="43">
        <v>39750</v>
      </c>
      <c r="D3" s="43">
        <v>0</v>
      </c>
      <c r="E3" s="42">
        <f>B3</f>
        <v>16600</v>
      </c>
      <c r="F3" s="43">
        <f t="shared" ref="F3:G3" si="0">C3</f>
        <v>39750</v>
      </c>
      <c r="G3" s="44">
        <f t="shared" si="0"/>
        <v>0</v>
      </c>
      <c r="H3" s="45">
        <f>IF(E3=0,0,AVERAGEIF(E3:E5,"&lt;&gt;0"))+IF(F3=0,0,AVERAGEIF(F3:F5,"&lt;&gt;0"))+IF(G3=0,0,AVERAGEIF(G3:G5,"&lt;&gt;0"))</f>
        <v>54171.566289333328</v>
      </c>
    </row>
    <row r="4" spans="1:8" x14ac:dyDescent="0.25">
      <c r="A4" s="31">
        <v>2014</v>
      </c>
      <c r="B4" s="42">
        <v>16300</v>
      </c>
      <c r="C4" s="43">
        <v>32545</v>
      </c>
      <c r="D4" s="43">
        <v>0</v>
      </c>
      <c r="E4" s="42">
        <f>B4*Pristalsregulering!$C$7</f>
        <v>16313.039999999999</v>
      </c>
      <c r="F4" s="43">
        <f>C4*Pristalsregulering!$C$7</f>
        <v>32571.035999999996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16000</v>
      </c>
      <c r="C5" s="43">
        <v>40389</v>
      </c>
      <c r="D5" s="43">
        <v>0</v>
      </c>
      <c r="E5" s="42">
        <f>B5*Pristalsregulering!$C$7*Pristalsregulering!$C$6</f>
        <v>16252.991999999998</v>
      </c>
      <c r="F5" s="43">
        <f>C5*Pristalsregulering!$C$7*Pristalsregulering!$C$6</f>
        <v>41027.630867999993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2180255.3023101473</v>
      </c>
      <c r="C3" s="39">
        <v>512032.63833333342</v>
      </c>
      <c r="D3" s="41">
        <v>145282.58666666667</v>
      </c>
      <c r="E3" s="36">
        <f>B3*Pristalsregulering!C2*Pristalsregulering!C3*Pristalsregulering!C4*Pristalsregulering!C5*Pristalsregulering!C6*Pristalsregulering!C7</f>
        <v>2373641.6912161843</v>
      </c>
      <c r="F3" s="36">
        <v>528207.03024942509</v>
      </c>
      <c r="G3" s="36">
        <f xml:space="preserve"> D3/Pristalsregulering!$C$8</f>
        <v>145836.76637890653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20547</v>
      </c>
      <c r="C3" s="39">
        <v>899</v>
      </c>
      <c r="D3" s="39">
        <v>0</v>
      </c>
      <c r="E3" s="41">
        <v>0</v>
      </c>
      <c r="F3" s="39">
        <f>B3</f>
        <v>20547</v>
      </c>
      <c r="G3" s="39">
        <f>C3</f>
        <v>899</v>
      </c>
      <c r="H3" s="39">
        <f>D3</f>
        <v>0</v>
      </c>
      <c r="I3" s="41">
        <f>E3</f>
        <v>0</v>
      </c>
      <c r="J3" s="43">
        <f>AVERAGE(F3:F5)</f>
        <v>38831.587284000001</v>
      </c>
      <c r="K3" s="43">
        <f>G3</f>
        <v>899</v>
      </c>
      <c r="L3" s="44">
        <f>AVERAGE(H3:H5)+AVERAGE(I3:I5)</f>
        <v>0</v>
      </c>
      <c r="M3" s="45">
        <f>SUM(J3:L3)</f>
        <v>39730.587284000001</v>
      </c>
      <c r="N3" s="23"/>
    </row>
    <row r="4" spans="1:14" x14ac:dyDescent="0.25">
      <c r="A4" s="28">
        <v>2014</v>
      </c>
      <c r="B4" s="46">
        <v>26982</v>
      </c>
      <c r="C4" s="39">
        <v>27</v>
      </c>
      <c r="D4" s="39">
        <v>0</v>
      </c>
      <c r="E4" s="41">
        <v>0</v>
      </c>
      <c r="F4" s="39">
        <f>IF(B4="","",B4*Pristalsregulering!$C$7)</f>
        <v>27003.585599999999</v>
      </c>
      <c r="G4" s="39">
        <f>IF(C4="","",C4*Pristalsregulering!$C$7)</f>
        <v>27.021599999999999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67871</v>
      </c>
      <c r="C5" s="39">
        <v>0</v>
      </c>
      <c r="D5" s="39">
        <v>0</v>
      </c>
      <c r="E5" s="41">
        <v>0</v>
      </c>
      <c r="F5" s="39">
        <f>IF(B5="","",B5*Pristalsregulering!$C$7*Pristalsregulering!$C$6)</f>
        <v>68944.17625199999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42</v>
      </c>
      <c r="L1" s="68" t="s">
        <v>60</v>
      </c>
      <c r="M1" s="69" t="s">
        <v>43</v>
      </c>
      <c r="N1" s="14" t="s">
        <v>31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2660981</v>
      </c>
      <c r="H2" s="43" t="s">
        <v>50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2693504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2017-09-13T13:04:19Z</dcterms:modified>
</cp:coreProperties>
</file>